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BC\Documents\Daniel Streamlit\Assignment #2 - Daniel Raydan - ID 202371151\2- Bubble chart\"/>
    </mc:Choice>
  </mc:AlternateContent>
  <xr:revisionPtr revIDLastSave="0" documentId="13_ncr:1_{C28CE420-768B-418E-8AFC-4B3A34F663A6}" xr6:coauthVersionLast="37" xr6:coauthVersionMax="37" xr10:uidLastSave="{00000000-0000-0000-0000-000000000000}"/>
  <bookViews>
    <workbookView xWindow="0" yWindow="0" windowWidth="20490" windowHeight="5145" xr2:uid="{00000000-000D-0000-FFFF-FFFF00000000}"/>
  </bookViews>
  <sheets>
    <sheet name="Orders" sheetId="1" r:id="rId1"/>
    <sheet name="Rest of the Orders" sheetId="2" r:id="rId2"/>
    <sheet name="2009 Orders" sheetId="3" r:id="rId3"/>
    <sheet name="Returns" sheetId="4" r:id="rId4"/>
    <sheet name="Users" sheetId="5" r:id="rId5"/>
  </sheets>
  <definedNames>
    <definedName name="_xlnm._FilterDatabase" localSheetId="2" hidden="1">'2009 Orders'!$A$1:$U$2154</definedName>
    <definedName name="_xlnm._FilterDatabase" localSheetId="0" hidden="1">Orders!$A$1:$X$8400</definedName>
    <definedName name="_xlnm._FilterDatabase" localSheetId="1" hidden="1">'Rest of the Orders'!$A$1:$U$6247</definedName>
  </definedNames>
  <calcPr calcId="179021"/>
  <extLst>
    <ext uri="GoogleSheetsCustomDataVersion1">
      <go:sheetsCustomData xmlns:go="http://customooxmlschemas.google.com/" r:id="rId9" roundtripDataSignature="AMtx7mi5HBl9udF9/vcNfZc/LKwcPN5k7A=="/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V7719" i="1"/>
  <c r="V7727" i="1"/>
  <c r="V7735" i="1"/>
  <c r="V7783" i="1"/>
  <c r="V7791" i="1"/>
  <c r="V7815" i="1"/>
  <c r="V7823" i="1"/>
  <c r="V7847" i="1"/>
  <c r="V7871" i="1"/>
  <c r="V7879" i="1"/>
  <c r="V7903" i="1"/>
  <c r="V7911" i="1"/>
  <c r="V7935" i="1"/>
  <c r="V7943" i="1"/>
  <c r="V7967" i="1"/>
  <c r="V7975" i="1"/>
  <c r="V7991" i="1"/>
  <c r="V7999" i="1"/>
  <c r="V8007" i="1"/>
  <c r="V8023" i="1"/>
  <c r="V8031" i="1"/>
  <c r="V8055" i="1"/>
  <c r="V8063" i="1"/>
  <c r="V8079" i="1"/>
  <c r="V8111" i="1"/>
  <c r="V8119" i="1"/>
  <c r="V8143" i="1"/>
  <c r="V8151" i="1"/>
  <c r="V8167" i="1"/>
  <c r="V8175" i="1"/>
  <c r="C2154" i="3"/>
  <c r="U2154" i="3" s="1"/>
  <c r="C2153" i="3"/>
  <c r="U2153" i="3" s="1"/>
  <c r="C2152" i="3"/>
  <c r="U2152" i="3" s="1"/>
  <c r="C2151" i="3"/>
  <c r="U2151" i="3" s="1"/>
  <c r="C2150" i="3"/>
  <c r="U2150" i="3" s="1"/>
  <c r="C2149" i="3"/>
  <c r="U2149" i="3" s="1"/>
  <c r="C2148" i="3"/>
  <c r="U2148" i="3" s="1"/>
  <c r="C2147" i="3"/>
  <c r="U2147" i="3" s="1"/>
  <c r="C2146" i="3"/>
  <c r="U2146" i="3" s="1"/>
  <c r="U2145" i="3"/>
  <c r="C2145" i="3"/>
  <c r="C2144" i="3"/>
  <c r="U2144" i="3" s="1"/>
  <c r="C2143" i="3"/>
  <c r="U2143" i="3" s="1"/>
  <c r="C2142" i="3"/>
  <c r="U2142" i="3" s="1"/>
  <c r="U2141" i="3"/>
  <c r="C2141" i="3"/>
  <c r="C2140" i="3"/>
  <c r="U2140" i="3" s="1"/>
  <c r="C2139" i="3"/>
  <c r="U2139" i="3" s="1"/>
  <c r="C2138" i="3"/>
  <c r="U2138" i="3" s="1"/>
  <c r="U2137" i="3"/>
  <c r="C2137" i="3"/>
  <c r="C2136" i="3"/>
  <c r="U2136" i="3" s="1"/>
  <c r="C2135" i="3"/>
  <c r="U2135" i="3" s="1"/>
  <c r="C2134" i="3"/>
  <c r="U2134" i="3" s="1"/>
  <c r="U2133" i="3"/>
  <c r="C2133" i="3"/>
  <c r="C2132" i="3"/>
  <c r="U2132" i="3" s="1"/>
  <c r="C2131" i="3"/>
  <c r="U2131" i="3" s="1"/>
  <c r="C2130" i="3"/>
  <c r="U2130" i="3" s="1"/>
  <c r="U2129" i="3"/>
  <c r="C2129" i="3"/>
  <c r="C2128" i="3"/>
  <c r="U2128" i="3" s="1"/>
  <c r="C2127" i="3"/>
  <c r="U2127" i="3" s="1"/>
  <c r="C2126" i="3"/>
  <c r="U2126" i="3" s="1"/>
  <c r="U2125" i="3"/>
  <c r="C2125" i="3"/>
  <c r="C2124" i="3"/>
  <c r="U2124" i="3" s="1"/>
  <c r="C2123" i="3"/>
  <c r="U2123" i="3" s="1"/>
  <c r="C2122" i="3"/>
  <c r="U2122" i="3" s="1"/>
  <c r="U2121" i="3"/>
  <c r="C2121" i="3"/>
  <c r="C2120" i="3"/>
  <c r="U2120" i="3" s="1"/>
  <c r="C2119" i="3"/>
  <c r="U2119" i="3" s="1"/>
  <c r="C2118" i="3"/>
  <c r="U2118" i="3" s="1"/>
  <c r="U2117" i="3"/>
  <c r="C2117" i="3"/>
  <c r="C2116" i="3"/>
  <c r="U2116" i="3" s="1"/>
  <c r="C2115" i="3"/>
  <c r="U2115" i="3" s="1"/>
  <c r="C2114" i="3"/>
  <c r="U2114" i="3" s="1"/>
  <c r="U2113" i="3"/>
  <c r="C2113" i="3"/>
  <c r="C2112" i="3"/>
  <c r="U2112" i="3" s="1"/>
  <c r="C2111" i="3"/>
  <c r="U2111" i="3" s="1"/>
  <c r="C2110" i="3"/>
  <c r="U2110" i="3" s="1"/>
  <c r="U2109" i="3"/>
  <c r="C2109" i="3"/>
  <c r="C2108" i="3"/>
  <c r="U2108" i="3" s="1"/>
  <c r="C2107" i="3"/>
  <c r="U2107" i="3" s="1"/>
  <c r="C2106" i="3"/>
  <c r="U2106" i="3" s="1"/>
  <c r="U2105" i="3"/>
  <c r="C2105" i="3"/>
  <c r="C2104" i="3"/>
  <c r="U2104" i="3" s="1"/>
  <c r="C2103" i="3"/>
  <c r="U2103" i="3" s="1"/>
  <c r="C2102" i="3"/>
  <c r="U2102" i="3" s="1"/>
  <c r="U2101" i="3"/>
  <c r="C2101" i="3"/>
  <c r="C2100" i="3"/>
  <c r="U2100" i="3" s="1"/>
  <c r="C2099" i="3"/>
  <c r="U2099" i="3" s="1"/>
  <c r="C2098" i="3"/>
  <c r="U2098" i="3" s="1"/>
  <c r="U2097" i="3"/>
  <c r="C2097" i="3"/>
  <c r="C2096" i="3"/>
  <c r="U2096" i="3" s="1"/>
  <c r="C2095" i="3"/>
  <c r="U2095" i="3" s="1"/>
  <c r="C2094" i="3"/>
  <c r="U2094" i="3" s="1"/>
  <c r="U2093" i="3"/>
  <c r="C2093" i="3"/>
  <c r="C2092" i="3"/>
  <c r="U2092" i="3" s="1"/>
  <c r="C2091" i="3"/>
  <c r="U2091" i="3" s="1"/>
  <c r="C2090" i="3"/>
  <c r="U2090" i="3" s="1"/>
  <c r="U2089" i="3"/>
  <c r="C2089" i="3"/>
  <c r="C2088" i="3"/>
  <c r="U2088" i="3" s="1"/>
  <c r="C2087" i="3"/>
  <c r="U2087" i="3" s="1"/>
  <c r="C2086" i="3"/>
  <c r="U2086" i="3" s="1"/>
  <c r="U2085" i="3"/>
  <c r="C2085" i="3"/>
  <c r="C2084" i="3"/>
  <c r="U2084" i="3" s="1"/>
  <c r="C2083" i="3"/>
  <c r="U2083" i="3" s="1"/>
  <c r="C2082" i="3"/>
  <c r="U2082" i="3" s="1"/>
  <c r="U2081" i="3"/>
  <c r="C2081" i="3"/>
  <c r="C2080" i="3"/>
  <c r="U2080" i="3" s="1"/>
  <c r="C2079" i="3"/>
  <c r="U2079" i="3" s="1"/>
  <c r="C2078" i="3"/>
  <c r="U2078" i="3" s="1"/>
  <c r="U2077" i="3"/>
  <c r="C2077" i="3"/>
  <c r="C2076" i="3"/>
  <c r="U2076" i="3" s="1"/>
  <c r="C2075" i="3"/>
  <c r="U2075" i="3" s="1"/>
  <c r="C2074" i="3"/>
  <c r="U2074" i="3" s="1"/>
  <c r="U2073" i="3"/>
  <c r="C2073" i="3"/>
  <c r="C2072" i="3"/>
  <c r="U2072" i="3" s="1"/>
  <c r="C2071" i="3"/>
  <c r="U2071" i="3" s="1"/>
  <c r="C2070" i="3"/>
  <c r="U2070" i="3" s="1"/>
  <c r="U2069" i="3"/>
  <c r="C2069" i="3"/>
  <c r="C2068" i="3"/>
  <c r="U2068" i="3" s="1"/>
  <c r="C2067" i="3"/>
  <c r="U2067" i="3" s="1"/>
  <c r="C2066" i="3"/>
  <c r="U2066" i="3" s="1"/>
  <c r="U2065" i="3"/>
  <c r="C2065" i="3"/>
  <c r="C2064" i="3"/>
  <c r="U2064" i="3" s="1"/>
  <c r="C2063" i="3"/>
  <c r="U2063" i="3" s="1"/>
  <c r="C2062" i="3"/>
  <c r="U2062" i="3" s="1"/>
  <c r="U2061" i="3"/>
  <c r="C2061" i="3"/>
  <c r="C2060" i="3"/>
  <c r="U2060" i="3" s="1"/>
  <c r="C2059" i="3"/>
  <c r="U2059" i="3" s="1"/>
  <c r="C2058" i="3"/>
  <c r="U2058" i="3" s="1"/>
  <c r="U2057" i="3"/>
  <c r="C2057" i="3"/>
  <c r="C2056" i="3"/>
  <c r="U2056" i="3" s="1"/>
  <c r="C2055" i="3"/>
  <c r="U2055" i="3" s="1"/>
  <c r="C2054" i="3"/>
  <c r="U2054" i="3" s="1"/>
  <c r="U2053" i="3"/>
  <c r="C2053" i="3"/>
  <c r="C2052" i="3"/>
  <c r="U2052" i="3" s="1"/>
  <c r="C2051" i="3"/>
  <c r="U2051" i="3" s="1"/>
  <c r="C2050" i="3"/>
  <c r="U2050" i="3" s="1"/>
  <c r="U2049" i="3"/>
  <c r="C2049" i="3"/>
  <c r="C2048" i="3"/>
  <c r="U2048" i="3" s="1"/>
  <c r="C2047" i="3"/>
  <c r="U2047" i="3" s="1"/>
  <c r="C2046" i="3"/>
  <c r="U2046" i="3" s="1"/>
  <c r="C2045" i="3"/>
  <c r="U2045" i="3" s="1"/>
  <c r="C2044" i="3"/>
  <c r="U2044" i="3" s="1"/>
  <c r="C2043" i="3"/>
  <c r="U2043" i="3" s="1"/>
  <c r="C2042" i="3"/>
  <c r="U2042" i="3" s="1"/>
  <c r="U2041" i="3"/>
  <c r="C2041" i="3"/>
  <c r="C2040" i="3"/>
  <c r="U2040" i="3" s="1"/>
  <c r="C2039" i="3"/>
  <c r="U2039" i="3" s="1"/>
  <c r="C2038" i="3"/>
  <c r="U2038" i="3" s="1"/>
  <c r="U2037" i="3"/>
  <c r="C2037" i="3"/>
  <c r="C2036" i="3"/>
  <c r="U2036" i="3" s="1"/>
  <c r="C2035" i="3"/>
  <c r="U2035" i="3" s="1"/>
  <c r="C2034" i="3"/>
  <c r="U2034" i="3" s="1"/>
  <c r="U2033" i="3"/>
  <c r="C2033" i="3"/>
  <c r="C2032" i="3"/>
  <c r="U2032" i="3" s="1"/>
  <c r="C2031" i="3"/>
  <c r="U2031" i="3" s="1"/>
  <c r="C2030" i="3"/>
  <c r="U2030" i="3" s="1"/>
  <c r="U2029" i="3"/>
  <c r="C2029" i="3"/>
  <c r="C2028" i="3"/>
  <c r="U2028" i="3" s="1"/>
  <c r="C2027" i="3"/>
  <c r="U2027" i="3" s="1"/>
  <c r="C2026" i="3"/>
  <c r="U2026" i="3" s="1"/>
  <c r="U2025" i="3"/>
  <c r="C2025" i="3"/>
  <c r="C2024" i="3"/>
  <c r="U2024" i="3" s="1"/>
  <c r="C2023" i="3"/>
  <c r="U2023" i="3" s="1"/>
  <c r="C2022" i="3"/>
  <c r="U2022" i="3" s="1"/>
  <c r="U2021" i="3"/>
  <c r="C2021" i="3"/>
  <c r="C2020" i="3"/>
  <c r="U2020" i="3" s="1"/>
  <c r="C2019" i="3"/>
  <c r="U2019" i="3" s="1"/>
  <c r="C2018" i="3"/>
  <c r="U2018" i="3" s="1"/>
  <c r="U2017" i="3"/>
  <c r="C2017" i="3"/>
  <c r="C2016" i="3"/>
  <c r="U2016" i="3" s="1"/>
  <c r="C2015" i="3"/>
  <c r="U2015" i="3" s="1"/>
  <c r="C2014" i="3"/>
  <c r="U2014" i="3" s="1"/>
  <c r="U2013" i="3"/>
  <c r="C2013" i="3"/>
  <c r="C2012" i="3"/>
  <c r="U2012" i="3" s="1"/>
  <c r="C2011" i="3"/>
  <c r="U2011" i="3" s="1"/>
  <c r="C2010" i="3"/>
  <c r="U2010" i="3" s="1"/>
  <c r="U2009" i="3"/>
  <c r="C2009" i="3"/>
  <c r="C2008" i="3"/>
  <c r="U2008" i="3" s="1"/>
  <c r="C2007" i="3"/>
  <c r="U2007" i="3" s="1"/>
  <c r="C2006" i="3"/>
  <c r="U2006" i="3" s="1"/>
  <c r="U2005" i="3"/>
  <c r="C2005" i="3"/>
  <c r="C2004" i="3"/>
  <c r="U2004" i="3" s="1"/>
  <c r="C2003" i="3"/>
  <c r="U2003" i="3" s="1"/>
  <c r="C2002" i="3"/>
  <c r="U2002" i="3" s="1"/>
  <c r="U2001" i="3"/>
  <c r="C2001" i="3"/>
  <c r="C2000" i="3"/>
  <c r="U2000" i="3" s="1"/>
  <c r="C1999" i="3"/>
  <c r="U1999" i="3" s="1"/>
  <c r="C1998" i="3"/>
  <c r="U1998" i="3" s="1"/>
  <c r="U1997" i="3"/>
  <c r="C1997" i="3"/>
  <c r="C1996" i="3"/>
  <c r="U1996" i="3" s="1"/>
  <c r="C1995" i="3"/>
  <c r="U1995" i="3" s="1"/>
  <c r="C1994" i="3"/>
  <c r="U1994" i="3" s="1"/>
  <c r="U1993" i="3"/>
  <c r="C1993" i="3"/>
  <c r="C1992" i="3"/>
  <c r="U1992" i="3" s="1"/>
  <c r="C1991" i="3"/>
  <c r="U1991" i="3" s="1"/>
  <c r="C1990" i="3"/>
  <c r="U1990" i="3" s="1"/>
  <c r="U1989" i="3"/>
  <c r="C1989" i="3"/>
  <c r="C1988" i="3"/>
  <c r="U1988" i="3" s="1"/>
  <c r="C1987" i="3"/>
  <c r="U1987" i="3" s="1"/>
  <c r="C1986" i="3"/>
  <c r="U1986" i="3" s="1"/>
  <c r="U1985" i="3"/>
  <c r="C1985" i="3"/>
  <c r="U1984" i="3"/>
  <c r="C1984" i="3"/>
  <c r="U1983" i="3"/>
  <c r="C1983" i="3"/>
  <c r="U1982" i="3"/>
  <c r="C1982" i="3"/>
  <c r="U1981" i="3"/>
  <c r="C1981" i="3"/>
  <c r="U1980" i="3"/>
  <c r="C1980" i="3"/>
  <c r="U1979" i="3"/>
  <c r="C1979" i="3"/>
  <c r="U1978" i="3"/>
  <c r="C1978" i="3"/>
  <c r="U1977" i="3"/>
  <c r="C1977" i="3"/>
  <c r="U1976" i="3"/>
  <c r="C1976" i="3"/>
  <c r="U1975" i="3"/>
  <c r="C1975" i="3"/>
  <c r="U1974" i="3"/>
  <c r="C1974" i="3"/>
  <c r="U1973" i="3"/>
  <c r="C1973" i="3"/>
  <c r="U1972" i="3"/>
  <c r="C1972" i="3"/>
  <c r="U1971" i="3"/>
  <c r="C1971" i="3"/>
  <c r="U1970" i="3"/>
  <c r="C1970" i="3"/>
  <c r="U1969" i="3"/>
  <c r="C1969" i="3"/>
  <c r="U1968" i="3"/>
  <c r="C1968" i="3"/>
  <c r="U1967" i="3"/>
  <c r="C1967" i="3"/>
  <c r="U1966" i="3"/>
  <c r="C1966" i="3"/>
  <c r="U1965" i="3"/>
  <c r="C1965" i="3"/>
  <c r="U1964" i="3"/>
  <c r="C1964" i="3"/>
  <c r="U1963" i="3"/>
  <c r="C1963" i="3"/>
  <c r="U1962" i="3"/>
  <c r="C1962" i="3"/>
  <c r="U1961" i="3"/>
  <c r="C1961" i="3"/>
  <c r="U1960" i="3"/>
  <c r="C1960" i="3"/>
  <c r="U1959" i="3"/>
  <c r="C1959" i="3"/>
  <c r="U1958" i="3"/>
  <c r="C1958" i="3"/>
  <c r="U1957" i="3"/>
  <c r="C1957" i="3"/>
  <c r="U1956" i="3"/>
  <c r="C1956" i="3"/>
  <c r="U1955" i="3"/>
  <c r="C1955" i="3"/>
  <c r="U1954" i="3"/>
  <c r="C1954" i="3"/>
  <c r="U1953" i="3"/>
  <c r="C1953" i="3"/>
  <c r="U1952" i="3"/>
  <c r="C1952" i="3"/>
  <c r="U1951" i="3"/>
  <c r="C1951" i="3"/>
  <c r="U1950" i="3"/>
  <c r="C1950" i="3"/>
  <c r="U1949" i="3"/>
  <c r="C1949" i="3"/>
  <c r="U1948" i="3"/>
  <c r="C1948" i="3"/>
  <c r="U1947" i="3"/>
  <c r="C1947" i="3"/>
  <c r="U1946" i="3"/>
  <c r="C1946" i="3"/>
  <c r="U1945" i="3"/>
  <c r="C1945" i="3"/>
  <c r="U1944" i="3"/>
  <c r="C1944" i="3"/>
  <c r="U1943" i="3"/>
  <c r="C1943" i="3"/>
  <c r="U1942" i="3"/>
  <c r="C1942" i="3"/>
  <c r="U1941" i="3"/>
  <c r="C1941" i="3"/>
  <c r="U1940" i="3"/>
  <c r="C1940" i="3"/>
  <c r="U1939" i="3"/>
  <c r="C1939" i="3"/>
  <c r="U1938" i="3"/>
  <c r="C1938" i="3"/>
  <c r="U1937" i="3"/>
  <c r="C1937" i="3"/>
  <c r="U1936" i="3"/>
  <c r="C1936" i="3"/>
  <c r="U1935" i="3"/>
  <c r="C1935" i="3"/>
  <c r="U1934" i="3"/>
  <c r="C1934" i="3"/>
  <c r="U1933" i="3"/>
  <c r="C1933" i="3"/>
  <c r="U1932" i="3"/>
  <c r="C1932" i="3"/>
  <c r="U1931" i="3"/>
  <c r="C1931" i="3"/>
  <c r="U1930" i="3"/>
  <c r="C1930" i="3"/>
  <c r="U1929" i="3"/>
  <c r="C1929" i="3"/>
  <c r="U1928" i="3"/>
  <c r="C1928" i="3"/>
  <c r="U1927" i="3"/>
  <c r="C1927" i="3"/>
  <c r="U1926" i="3"/>
  <c r="C1926" i="3"/>
  <c r="U1925" i="3"/>
  <c r="C1925" i="3"/>
  <c r="U1924" i="3"/>
  <c r="C1924" i="3"/>
  <c r="U1923" i="3"/>
  <c r="C1923" i="3"/>
  <c r="U1922" i="3"/>
  <c r="C1922" i="3"/>
  <c r="U1921" i="3"/>
  <c r="C1921" i="3"/>
  <c r="U1920" i="3"/>
  <c r="C1920" i="3"/>
  <c r="U1919" i="3"/>
  <c r="C1919" i="3"/>
  <c r="U1918" i="3"/>
  <c r="C1918" i="3"/>
  <c r="U1917" i="3"/>
  <c r="C1917" i="3"/>
  <c r="U1916" i="3"/>
  <c r="C1916" i="3"/>
  <c r="U1915" i="3"/>
  <c r="C1915" i="3"/>
  <c r="U1914" i="3"/>
  <c r="C1914" i="3"/>
  <c r="U1913" i="3"/>
  <c r="C1913" i="3"/>
  <c r="U1912" i="3"/>
  <c r="C1912" i="3"/>
  <c r="U1911" i="3"/>
  <c r="C1911" i="3"/>
  <c r="U1910" i="3"/>
  <c r="C1910" i="3"/>
  <c r="U1909" i="3"/>
  <c r="C1909" i="3"/>
  <c r="U1908" i="3"/>
  <c r="C1908" i="3"/>
  <c r="U1907" i="3"/>
  <c r="C1907" i="3"/>
  <c r="U1906" i="3"/>
  <c r="C1906" i="3"/>
  <c r="U1905" i="3"/>
  <c r="C1905" i="3"/>
  <c r="U1904" i="3"/>
  <c r="C1904" i="3"/>
  <c r="U1903" i="3"/>
  <c r="C1903" i="3"/>
  <c r="U1902" i="3"/>
  <c r="C1902" i="3"/>
  <c r="U1901" i="3"/>
  <c r="C1901" i="3"/>
  <c r="U1900" i="3"/>
  <c r="C1900" i="3"/>
  <c r="U1899" i="3"/>
  <c r="C1899" i="3"/>
  <c r="U1898" i="3"/>
  <c r="C1898" i="3"/>
  <c r="U1897" i="3"/>
  <c r="C1897" i="3"/>
  <c r="U1896" i="3"/>
  <c r="C1896" i="3"/>
  <c r="U1895" i="3"/>
  <c r="C1895" i="3"/>
  <c r="U1894" i="3"/>
  <c r="C1894" i="3"/>
  <c r="U1893" i="3"/>
  <c r="C1893" i="3"/>
  <c r="U1892" i="3"/>
  <c r="C1892" i="3"/>
  <c r="U1891" i="3"/>
  <c r="C1891" i="3"/>
  <c r="U1890" i="3"/>
  <c r="C1890" i="3"/>
  <c r="U1889" i="3"/>
  <c r="C1889" i="3"/>
  <c r="U1888" i="3"/>
  <c r="C1888" i="3"/>
  <c r="U1887" i="3"/>
  <c r="C1887" i="3"/>
  <c r="U1886" i="3"/>
  <c r="C1886" i="3"/>
  <c r="U1885" i="3"/>
  <c r="C1885" i="3"/>
  <c r="U1884" i="3"/>
  <c r="C1884" i="3"/>
  <c r="U1883" i="3"/>
  <c r="C1883" i="3"/>
  <c r="U1882" i="3"/>
  <c r="C1882" i="3"/>
  <c r="U1881" i="3"/>
  <c r="C1881" i="3"/>
  <c r="U1880" i="3"/>
  <c r="C1880" i="3"/>
  <c r="U1879" i="3"/>
  <c r="C1879" i="3"/>
  <c r="U1878" i="3"/>
  <c r="C1878" i="3"/>
  <c r="U1877" i="3"/>
  <c r="C1877" i="3"/>
  <c r="U1876" i="3"/>
  <c r="C1876" i="3"/>
  <c r="U1875" i="3"/>
  <c r="C1875" i="3"/>
  <c r="U1874" i="3"/>
  <c r="C1874" i="3"/>
  <c r="U1873" i="3"/>
  <c r="C1873" i="3"/>
  <c r="U1872" i="3"/>
  <c r="C1872" i="3"/>
  <c r="U1871" i="3"/>
  <c r="C1871" i="3"/>
  <c r="U1870" i="3"/>
  <c r="C1870" i="3"/>
  <c r="U1869" i="3"/>
  <c r="C1869" i="3"/>
  <c r="U1868" i="3"/>
  <c r="C1868" i="3"/>
  <c r="U1867" i="3"/>
  <c r="C1867" i="3"/>
  <c r="U1866" i="3"/>
  <c r="C1866" i="3"/>
  <c r="U1865" i="3"/>
  <c r="C1865" i="3"/>
  <c r="U1864" i="3"/>
  <c r="C1864" i="3"/>
  <c r="U1863" i="3"/>
  <c r="C1863" i="3"/>
  <c r="U1862" i="3"/>
  <c r="C1862" i="3"/>
  <c r="U1861" i="3"/>
  <c r="C1861" i="3"/>
  <c r="U1860" i="3"/>
  <c r="C1860" i="3"/>
  <c r="U1859" i="3"/>
  <c r="C1859" i="3"/>
  <c r="U1858" i="3"/>
  <c r="C1858" i="3"/>
  <c r="U1857" i="3"/>
  <c r="C1857" i="3"/>
  <c r="U1856" i="3"/>
  <c r="C1856" i="3"/>
  <c r="U1855" i="3"/>
  <c r="C1855" i="3"/>
  <c r="U1854" i="3"/>
  <c r="C1854" i="3"/>
  <c r="U1853" i="3"/>
  <c r="C1853" i="3"/>
  <c r="U1852" i="3"/>
  <c r="C1852" i="3"/>
  <c r="U1851" i="3"/>
  <c r="C1851" i="3"/>
  <c r="U1850" i="3"/>
  <c r="C1850" i="3"/>
  <c r="U1849" i="3"/>
  <c r="C1849" i="3"/>
  <c r="U1848" i="3"/>
  <c r="C1848" i="3"/>
  <c r="U1847" i="3"/>
  <c r="C1847" i="3"/>
  <c r="U1846" i="3"/>
  <c r="C1846" i="3"/>
  <c r="U1845" i="3"/>
  <c r="C1845" i="3"/>
  <c r="U1844" i="3"/>
  <c r="C1844" i="3"/>
  <c r="U1843" i="3"/>
  <c r="C1843" i="3"/>
  <c r="U1842" i="3"/>
  <c r="C1842" i="3"/>
  <c r="U1841" i="3"/>
  <c r="C1841" i="3"/>
  <c r="U1840" i="3"/>
  <c r="C1840" i="3"/>
  <c r="U1839" i="3"/>
  <c r="C1839" i="3"/>
  <c r="U1838" i="3"/>
  <c r="C1838" i="3"/>
  <c r="U1837" i="3"/>
  <c r="C1837" i="3"/>
  <c r="U1836" i="3"/>
  <c r="C1836" i="3"/>
  <c r="U1835" i="3"/>
  <c r="C1835" i="3"/>
  <c r="U1834" i="3"/>
  <c r="C1834" i="3"/>
  <c r="U1833" i="3"/>
  <c r="C1833" i="3"/>
  <c r="U1832" i="3"/>
  <c r="C1832" i="3"/>
  <c r="U1831" i="3"/>
  <c r="C1831" i="3"/>
  <c r="U1830" i="3"/>
  <c r="C1830" i="3"/>
  <c r="U1829" i="3"/>
  <c r="C1829" i="3"/>
  <c r="U1828" i="3"/>
  <c r="C1828" i="3"/>
  <c r="U1827" i="3"/>
  <c r="C1827" i="3"/>
  <c r="U1826" i="3"/>
  <c r="C1826" i="3"/>
  <c r="U1825" i="3"/>
  <c r="C1825" i="3"/>
  <c r="U1824" i="3"/>
  <c r="C1824" i="3"/>
  <c r="U1823" i="3"/>
  <c r="C1823" i="3"/>
  <c r="U1822" i="3"/>
  <c r="C1822" i="3"/>
  <c r="U1821" i="3"/>
  <c r="C1821" i="3"/>
  <c r="U1820" i="3"/>
  <c r="C1820" i="3"/>
  <c r="U1819" i="3"/>
  <c r="C1819" i="3"/>
  <c r="U1818" i="3"/>
  <c r="C1818" i="3"/>
  <c r="U1817" i="3"/>
  <c r="C1817" i="3"/>
  <c r="U1816" i="3"/>
  <c r="C1816" i="3"/>
  <c r="U1815" i="3"/>
  <c r="C1815" i="3"/>
  <c r="U1814" i="3"/>
  <c r="C1814" i="3"/>
  <c r="U1813" i="3"/>
  <c r="C1813" i="3"/>
  <c r="U1812" i="3"/>
  <c r="C1812" i="3"/>
  <c r="U1811" i="3"/>
  <c r="C1811" i="3"/>
  <c r="U1810" i="3"/>
  <c r="C1810" i="3"/>
  <c r="U1809" i="3"/>
  <c r="C1809" i="3"/>
  <c r="U1808" i="3"/>
  <c r="C1808" i="3"/>
  <c r="U1807" i="3"/>
  <c r="C1807" i="3"/>
  <c r="U1806" i="3"/>
  <c r="C1806" i="3"/>
  <c r="U1805" i="3"/>
  <c r="C1805" i="3"/>
  <c r="U1804" i="3"/>
  <c r="C1804" i="3"/>
  <c r="U1803" i="3"/>
  <c r="C1803" i="3"/>
  <c r="U1802" i="3"/>
  <c r="C1802" i="3"/>
  <c r="U1801" i="3"/>
  <c r="C1801" i="3"/>
  <c r="U1800" i="3"/>
  <c r="C1800" i="3"/>
  <c r="U1799" i="3"/>
  <c r="C1799" i="3"/>
  <c r="U1798" i="3"/>
  <c r="C1798" i="3"/>
  <c r="U1797" i="3"/>
  <c r="C1797" i="3"/>
  <c r="U1796" i="3"/>
  <c r="C1796" i="3"/>
  <c r="U1795" i="3"/>
  <c r="C1795" i="3"/>
  <c r="U1794" i="3"/>
  <c r="C1794" i="3"/>
  <c r="U1793" i="3"/>
  <c r="C1793" i="3"/>
  <c r="U1792" i="3"/>
  <c r="C1792" i="3"/>
  <c r="U1791" i="3"/>
  <c r="C1791" i="3"/>
  <c r="U1790" i="3"/>
  <c r="C1790" i="3"/>
  <c r="U1789" i="3"/>
  <c r="C1789" i="3"/>
  <c r="U1788" i="3"/>
  <c r="C1788" i="3"/>
  <c r="U1787" i="3"/>
  <c r="C1787" i="3"/>
  <c r="U1786" i="3"/>
  <c r="C1786" i="3"/>
  <c r="U1785" i="3"/>
  <c r="C1785" i="3"/>
  <c r="U1784" i="3"/>
  <c r="C1784" i="3"/>
  <c r="U1783" i="3"/>
  <c r="C1783" i="3"/>
  <c r="U1782" i="3"/>
  <c r="C1782" i="3"/>
  <c r="U1781" i="3"/>
  <c r="C1781" i="3"/>
  <c r="U1780" i="3"/>
  <c r="C1780" i="3"/>
  <c r="U1779" i="3"/>
  <c r="C1779" i="3"/>
  <c r="U1778" i="3"/>
  <c r="C1778" i="3"/>
  <c r="U1777" i="3"/>
  <c r="C1777" i="3"/>
  <c r="U1776" i="3"/>
  <c r="C1776" i="3"/>
  <c r="U1775" i="3"/>
  <c r="C1775" i="3"/>
  <c r="U1774" i="3"/>
  <c r="C1774" i="3"/>
  <c r="U1773" i="3"/>
  <c r="C1773" i="3"/>
  <c r="U1772" i="3"/>
  <c r="C1772" i="3"/>
  <c r="U1771" i="3"/>
  <c r="C1771" i="3"/>
  <c r="U1770" i="3"/>
  <c r="C1770" i="3"/>
  <c r="U1769" i="3"/>
  <c r="C1769" i="3"/>
  <c r="U1768" i="3"/>
  <c r="C1768" i="3"/>
  <c r="U1767" i="3"/>
  <c r="C1767" i="3"/>
  <c r="U1766" i="3"/>
  <c r="C1766" i="3"/>
  <c r="U1765" i="3"/>
  <c r="C1765" i="3"/>
  <c r="U1764" i="3"/>
  <c r="C1764" i="3"/>
  <c r="U1763" i="3"/>
  <c r="C1763" i="3"/>
  <c r="U1762" i="3"/>
  <c r="C1762" i="3"/>
  <c r="U1761" i="3"/>
  <c r="C1761" i="3"/>
  <c r="U1760" i="3"/>
  <c r="C1760" i="3"/>
  <c r="U1759" i="3"/>
  <c r="C1759" i="3"/>
  <c r="U1758" i="3"/>
  <c r="C1758" i="3"/>
  <c r="U1757" i="3"/>
  <c r="C1757" i="3"/>
  <c r="U1756" i="3"/>
  <c r="C1756" i="3"/>
  <c r="U1755" i="3"/>
  <c r="C1755" i="3"/>
  <c r="U1754" i="3"/>
  <c r="C1754" i="3"/>
  <c r="U1753" i="3"/>
  <c r="C1753" i="3"/>
  <c r="U1752" i="3"/>
  <c r="C1752" i="3"/>
  <c r="U1751" i="3"/>
  <c r="C1751" i="3"/>
  <c r="U1750" i="3"/>
  <c r="C1750" i="3"/>
  <c r="U1749" i="3"/>
  <c r="C1749" i="3"/>
  <c r="U1748" i="3"/>
  <c r="C1748" i="3"/>
  <c r="U1747" i="3"/>
  <c r="C1747" i="3"/>
  <c r="U1746" i="3"/>
  <c r="C1746" i="3"/>
  <c r="U1745" i="3"/>
  <c r="C1745" i="3"/>
  <c r="U1744" i="3"/>
  <c r="C1744" i="3"/>
  <c r="U1743" i="3"/>
  <c r="C1743" i="3"/>
  <c r="U1742" i="3"/>
  <c r="C1742" i="3"/>
  <c r="U1741" i="3"/>
  <c r="C1741" i="3"/>
  <c r="U1740" i="3"/>
  <c r="C1740" i="3"/>
  <c r="U1739" i="3"/>
  <c r="C1739" i="3"/>
  <c r="U1738" i="3"/>
  <c r="C1738" i="3"/>
  <c r="U1737" i="3"/>
  <c r="C1737" i="3"/>
  <c r="U1736" i="3"/>
  <c r="C1736" i="3"/>
  <c r="U1735" i="3"/>
  <c r="C1735" i="3"/>
  <c r="U1734" i="3"/>
  <c r="C1734" i="3"/>
  <c r="U1733" i="3"/>
  <c r="C1733" i="3"/>
  <c r="U1732" i="3"/>
  <c r="C1732" i="3"/>
  <c r="U1731" i="3"/>
  <c r="C1731" i="3"/>
  <c r="U1730" i="3"/>
  <c r="C1730" i="3"/>
  <c r="U1729" i="3"/>
  <c r="C1729" i="3"/>
  <c r="U1728" i="3"/>
  <c r="C1728" i="3"/>
  <c r="U1727" i="3"/>
  <c r="C1727" i="3"/>
  <c r="U1726" i="3"/>
  <c r="C1726" i="3"/>
  <c r="U1725" i="3"/>
  <c r="C1725" i="3"/>
  <c r="U1724" i="3"/>
  <c r="C1724" i="3"/>
  <c r="U1723" i="3"/>
  <c r="C1723" i="3"/>
  <c r="U1722" i="3"/>
  <c r="C1722" i="3"/>
  <c r="U1721" i="3"/>
  <c r="C1721" i="3"/>
  <c r="U1720" i="3"/>
  <c r="C1720" i="3"/>
  <c r="U1719" i="3"/>
  <c r="C1719" i="3"/>
  <c r="U1718" i="3"/>
  <c r="C1718" i="3"/>
  <c r="U1717" i="3"/>
  <c r="C1717" i="3"/>
  <c r="U1716" i="3"/>
  <c r="C1716" i="3"/>
  <c r="U1715" i="3"/>
  <c r="C1715" i="3"/>
  <c r="U1714" i="3"/>
  <c r="C1714" i="3"/>
  <c r="U1713" i="3"/>
  <c r="C1713" i="3"/>
  <c r="U1712" i="3"/>
  <c r="C1712" i="3"/>
  <c r="U1711" i="3"/>
  <c r="C1711" i="3"/>
  <c r="U1710" i="3"/>
  <c r="C1710" i="3"/>
  <c r="U1709" i="3"/>
  <c r="C1709" i="3"/>
  <c r="U1708" i="3"/>
  <c r="C1708" i="3"/>
  <c r="U1707" i="3"/>
  <c r="C1707" i="3"/>
  <c r="U1706" i="3"/>
  <c r="C1706" i="3"/>
  <c r="U1705" i="3"/>
  <c r="C1705" i="3"/>
  <c r="U1704" i="3"/>
  <c r="C1704" i="3"/>
  <c r="U1703" i="3"/>
  <c r="C1703" i="3"/>
  <c r="U1702" i="3"/>
  <c r="C1702" i="3"/>
  <c r="U1701" i="3"/>
  <c r="C1701" i="3"/>
  <c r="U1700" i="3"/>
  <c r="C1700" i="3"/>
  <c r="U1699" i="3"/>
  <c r="C1699" i="3"/>
  <c r="U1698" i="3"/>
  <c r="C1698" i="3"/>
  <c r="U1697" i="3"/>
  <c r="C1697" i="3"/>
  <c r="U1696" i="3"/>
  <c r="C1696" i="3"/>
  <c r="U1695" i="3"/>
  <c r="C1695" i="3"/>
  <c r="U1694" i="3"/>
  <c r="C1694" i="3"/>
  <c r="U1693" i="3"/>
  <c r="C1693" i="3"/>
  <c r="U1692" i="3"/>
  <c r="C1692" i="3"/>
  <c r="U1691" i="3"/>
  <c r="C1691" i="3"/>
  <c r="U1690" i="3"/>
  <c r="C1690" i="3"/>
  <c r="U1689" i="3"/>
  <c r="C1689" i="3"/>
  <c r="U1688" i="3"/>
  <c r="C1688" i="3"/>
  <c r="U1687" i="3"/>
  <c r="C1687" i="3"/>
  <c r="U1686" i="3"/>
  <c r="C1686" i="3"/>
  <c r="U1685" i="3"/>
  <c r="C1685" i="3"/>
  <c r="U1684" i="3"/>
  <c r="C1684" i="3"/>
  <c r="U1683" i="3"/>
  <c r="C1683" i="3"/>
  <c r="U1682" i="3"/>
  <c r="C1682" i="3"/>
  <c r="U1681" i="3"/>
  <c r="C1681" i="3"/>
  <c r="U1680" i="3"/>
  <c r="C1680" i="3"/>
  <c r="U1679" i="3"/>
  <c r="C1679" i="3"/>
  <c r="U1678" i="3"/>
  <c r="C1678" i="3"/>
  <c r="U1677" i="3"/>
  <c r="C1677" i="3"/>
  <c r="U1676" i="3"/>
  <c r="C1676" i="3"/>
  <c r="U1675" i="3"/>
  <c r="C1675" i="3"/>
  <c r="U1674" i="3"/>
  <c r="C1674" i="3"/>
  <c r="U1673" i="3"/>
  <c r="C1673" i="3"/>
  <c r="U1672" i="3"/>
  <c r="C1672" i="3"/>
  <c r="U1671" i="3"/>
  <c r="C1671" i="3"/>
  <c r="U1670" i="3"/>
  <c r="C1670" i="3"/>
  <c r="U1669" i="3"/>
  <c r="C1669" i="3"/>
  <c r="U1668" i="3"/>
  <c r="C1668" i="3"/>
  <c r="U1667" i="3"/>
  <c r="C1667" i="3"/>
  <c r="U1666" i="3"/>
  <c r="C1666" i="3"/>
  <c r="U1665" i="3"/>
  <c r="C1665" i="3"/>
  <c r="U1664" i="3"/>
  <c r="C1664" i="3"/>
  <c r="U1663" i="3"/>
  <c r="C1663" i="3"/>
  <c r="U1662" i="3"/>
  <c r="C1662" i="3"/>
  <c r="U1661" i="3"/>
  <c r="C1661" i="3"/>
  <c r="U1660" i="3"/>
  <c r="C1660" i="3"/>
  <c r="U1659" i="3"/>
  <c r="C1659" i="3"/>
  <c r="U1658" i="3"/>
  <c r="C1658" i="3"/>
  <c r="U1657" i="3"/>
  <c r="C1657" i="3"/>
  <c r="U1656" i="3"/>
  <c r="C1656" i="3"/>
  <c r="U1655" i="3"/>
  <c r="C1655" i="3"/>
  <c r="U1654" i="3"/>
  <c r="C1654" i="3"/>
  <c r="U1653" i="3"/>
  <c r="C1653" i="3"/>
  <c r="U1652" i="3"/>
  <c r="C1652" i="3"/>
  <c r="U1651" i="3"/>
  <c r="C1651" i="3"/>
  <c r="U1650" i="3"/>
  <c r="C1650" i="3"/>
  <c r="U1649" i="3"/>
  <c r="C1649" i="3"/>
  <c r="U1648" i="3"/>
  <c r="C1648" i="3"/>
  <c r="U1647" i="3"/>
  <c r="C1647" i="3"/>
  <c r="U1646" i="3"/>
  <c r="C1646" i="3"/>
  <c r="U1645" i="3"/>
  <c r="C1645" i="3"/>
  <c r="U1644" i="3"/>
  <c r="C1644" i="3"/>
  <c r="U1643" i="3"/>
  <c r="C1643" i="3"/>
  <c r="U1642" i="3"/>
  <c r="C1642" i="3"/>
  <c r="U1641" i="3"/>
  <c r="C1641" i="3"/>
  <c r="U1640" i="3"/>
  <c r="C1640" i="3"/>
  <c r="U1639" i="3"/>
  <c r="C1639" i="3"/>
  <c r="U1638" i="3"/>
  <c r="C1638" i="3"/>
  <c r="U1637" i="3"/>
  <c r="C1637" i="3"/>
  <c r="U1636" i="3"/>
  <c r="C1636" i="3"/>
  <c r="U1635" i="3"/>
  <c r="C1635" i="3"/>
  <c r="U1634" i="3"/>
  <c r="C1634" i="3"/>
  <c r="U1633" i="3"/>
  <c r="C1633" i="3"/>
  <c r="U1632" i="3"/>
  <c r="C1632" i="3"/>
  <c r="U1631" i="3"/>
  <c r="C1631" i="3"/>
  <c r="U1630" i="3"/>
  <c r="C1630" i="3"/>
  <c r="U1629" i="3"/>
  <c r="C1629" i="3"/>
  <c r="U1628" i="3"/>
  <c r="C1628" i="3"/>
  <c r="U1627" i="3"/>
  <c r="C1627" i="3"/>
  <c r="U1626" i="3"/>
  <c r="C1626" i="3"/>
  <c r="U1625" i="3"/>
  <c r="C1625" i="3"/>
  <c r="U1624" i="3"/>
  <c r="C1624" i="3"/>
  <c r="U1623" i="3"/>
  <c r="C1623" i="3"/>
  <c r="U1622" i="3"/>
  <c r="C1622" i="3"/>
  <c r="U1621" i="3"/>
  <c r="C1621" i="3"/>
  <c r="U1620" i="3"/>
  <c r="C1620" i="3"/>
  <c r="U1619" i="3"/>
  <c r="C1619" i="3"/>
  <c r="U1618" i="3"/>
  <c r="C1618" i="3"/>
  <c r="U1617" i="3"/>
  <c r="C1617" i="3"/>
  <c r="U1616" i="3"/>
  <c r="C1616" i="3"/>
  <c r="U1615" i="3"/>
  <c r="C1615" i="3"/>
  <c r="U1614" i="3"/>
  <c r="C1614" i="3"/>
  <c r="U1613" i="3"/>
  <c r="C1613" i="3"/>
  <c r="U1612" i="3"/>
  <c r="C1612" i="3"/>
  <c r="U1611" i="3"/>
  <c r="C1611" i="3"/>
  <c r="U1610" i="3"/>
  <c r="C1610" i="3"/>
  <c r="U1609" i="3"/>
  <c r="C1609" i="3"/>
  <c r="U1608" i="3"/>
  <c r="C1608" i="3"/>
  <c r="U1607" i="3"/>
  <c r="C1607" i="3"/>
  <c r="U1606" i="3"/>
  <c r="C1606" i="3"/>
  <c r="U1605" i="3"/>
  <c r="C1605" i="3"/>
  <c r="U1604" i="3"/>
  <c r="C1604" i="3"/>
  <c r="U1603" i="3"/>
  <c r="C1603" i="3"/>
  <c r="U1602" i="3"/>
  <c r="C1602" i="3"/>
  <c r="U1601" i="3"/>
  <c r="C1601" i="3"/>
  <c r="U1600" i="3"/>
  <c r="C1600" i="3"/>
  <c r="U1599" i="3"/>
  <c r="C1599" i="3"/>
  <c r="U1598" i="3"/>
  <c r="C1598" i="3"/>
  <c r="U1597" i="3"/>
  <c r="C1597" i="3"/>
  <c r="U1596" i="3"/>
  <c r="C1596" i="3"/>
  <c r="U1595" i="3"/>
  <c r="C1595" i="3"/>
  <c r="U1594" i="3"/>
  <c r="C1594" i="3"/>
  <c r="U1593" i="3"/>
  <c r="C1593" i="3"/>
  <c r="U1592" i="3"/>
  <c r="C1592" i="3"/>
  <c r="C1591" i="3"/>
  <c r="U1591" i="3" s="1"/>
  <c r="U1590" i="3"/>
  <c r="C1590" i="3"/>
  <c r="C1589" i="3"/>
  <c r="U1589" i="3" s="1"/>
  <c r="U1588" i="3"/>
  <c r="C1588" i="3"/>
  <c r="C1587" i="3"/>
  <c r="U1587" i="3" s="1"/>
  <c r="U1586" i="3"/>
  <c r="C1586" i="3"/>
  <c r="C1585" i="3"/>
  <c r="U1585" i="3" s="1"/>
  <c r="U1584" i="3"/>
  <c r="C1584" i="3"/>
  <c r="C1583" i="3"/>
  <c r="U1583" i="3" s="1"/>
  <c r="U1582" i="3"/>
  <c r="C1582" i="3"/>
  <c r="C1581" i="3"/>
  <c r="U1581" i="3" s="1"/>
  <c r="U1580" i="3"/>
  <c r="C1580" i="3"/>
  <c r="C1579" i="3"/>
  <c r="U1579" i="3" s="1"/>
  <c r="U1578" i="3"/>
  <c r="C1578" i="3"/>
  <c r="C1577" i="3"/>
  <c r="U1577" i="3" s="1"/>
  <c r="U1576" i="3"/>
  <c r="C1576" i="3"/>
  <c r="C1575" i="3"/>
  <c r="U1575" i="3" s="1"/>
  <c r="U1574" i="3"/>
  <c r="C1574" i="3"/>
  <c r="C1573" i="3"/>
  <c r="U1573" i="3" s="1"/>
  <c r="U1572" i="3"/>
  <c r="C1572" i="3"/>
  <c r="C1571" i="3"/>
  <c r="U1571" i="3" s="1"/>
  <c r="U1570" i="3"/>
  <c r="C1570" i="3"/>
  <c r="C1569" i="3"/>
  <c r="U1569" i="3" s="1"/>
  <c r="U1568" i="3"/>
  <c r="C1568" i="3"/>
  <c r="C1567" i="3"/>
  <c r="U1567" i="3" s="1"/>
  <c r="U1566" i="3"/>
  <c r="C1566" i="3"/>
  <c r="C1565" i="3"/>
  <c r="U1565" i="3" s="1"/>
  <c r="U1564" i="3"/>
  <c r="C1564" i="3"/>
  <c r="C1563" i="3"/>
  <c r="U1563" i="3" s="1"/>
  <c r="U1562" i="3"/>
  <c r="C1562" i="3"/>
  <c r="C1561" i="3"/>
  <c r="U1561" i="3" s="1"/>
  <c r="U1560" i="3"/>
  <c r="C1560" i="3"/>
  <c r="C1559" i="3"/>
  <c r="U1559" i="3" s="1"/>
  <c r="U1558" i="3"/>
  <c r="C1558" i="3"/>
  <c r="C1557" i="3"/>
  <c r="U1557" i="3" s="1"/>
  <c r="U1556" i="3"/>
  <c r="C1556" i="3"/>
  <c r="C1555" i="3"/>
  <c r="U1555" i="3" s="1"/>
  <c r="U1554" i="3"/>
  <c r="C1554" i="3"/>
  <c r="C1553" i="3"/>
  <c r="U1553" i="3" s="1"/>
  <c r="U1552" i="3"/>
  <c r="C1552" i="3"/>
  <c r="C1551" i="3"/>
  <c r="U1551" i="3" s="1"/>
  <c r="U1550" i="3"/>
  <c r="C1550" i="3"/>
  <c r="C1549" i="3"/>
  <c r="U1549" i="3" s="1"/>
  <c r="U1548" i="3"/>
  <c r="C1548" i="3"/>
  <c r="C1547" i="3"/>
  <c r="U1547" i="3" s="1"/>
  <c r="U1546" i="3"/>
  <c r="C1546" i="3"/>
  <c r="C1545" i="3"/>
  <c r="U1545" i="3" s="1"/>
  <c r="U1544" i="3"/>
  <c r="C1544" i="3"/>
  <c r="C1543" i="3"/>
  <c r="U1543" i="3" s="1"/>
  <c r="U1542" i="3"/>
  <c r="C1542" i="3"/>
  <c r="C1541" i="3"/>
  <c r="U1541" i="3" s="1"/>
  <c r="U1540" i="3"/>
  <c r="C1540" i="3"/>
  <c r="C1539" i="3"/>
  <c r="U1539" i="3" s="1"/>
  <c r="U1538" i="3"/>
  <c r="C1538" i="3"/>
  <c r="C1537" i="3"/>
  <c r="U1537" i="3" s="1"/>
  <c r="U1536" i="3"/>
  <c r="C1536" i="3"/>
  <c r="C1535" i="3"/>
  <c r="U1535" i="3" s="1"/>
  <c r="U1534" i="3"/>
  <c r="C1534" i="3"/>
  <c r="C1533" i="3"/>
  <c r="U1533" i="3" s="1"/>
  <c r="U1532" i="3"/>
  <c r="C1532" i="3"/>
  <c r="C1531" i="3"/>
  <c r="U1531" i="3" s="1"/>
  <c r="U1530" i="3"/>
  <c r="C1530" i="3"/>
  <c r="C1529" i="3"/>
  <c r="U1529" i="3" s="1"/>
  <c r="U1528" i="3"/>
  <c r="C1528" i="3"/>
  <c r="C1527" i="3"/>
  <c r="U1527" i="3" s="1"/>
  <c r="U1526" i="3"/>
  <c r="C1526" i="3"/>
  <c r="C1525" i="3"/>
  <c r="U1525" i="3" s="1"/>
  <c r="U1524" i="3"/>
  <c r="C1524" i="3"/>
  <c r="C1523" i="3"/>
  <c r="U1523" i="3" s="1"/>
  <c r="U1522" i="3"/>
  <c r="C1522" i="3"/>
  <c r="C1521" i="3"/>
  <c r="U1521" i="3" s="1"/>
  <c r="U1520" i="3"/>
  <c r="C1520" i="3"/>
  <c r="C1519" i="3"/>
  <c r="U1519" i="3" s="1"/>
  <c r="U1518" i="3"/>
  <c r="C1518" i="3"/>
  <c r="C1517" i="3"/>
  <c r="U1517" i="3" s="1"/>
  <c r="U1516" i="3"/>
  <c r="C1516" i="3"/>
  <c r="C1515" i="3"/>
  <c r="U1515" i="3" s="1"/>
  <c r="U1514" i="3"/>
  <c r="C1514" i="3"/>
  <c r="C1513" i="3"/>
  <c r="U1513" i="3" s="1"/>
  <c r="C1512" i="3"/>
  <c r="U1512" i="3" s="1"/>
  <c r="C1511" i="3"/>
  <c r="U1511" i="3" s="1"/>
  <c r="C1510" i="3"/>
  <c r="U1510" i="3" s="1"/>
  <c r="C1509" i="3"/>
  <c r="U1509" i="3" s="1"/>
  <c r="U1508" i="3"/>
  <c r="C1508" i="3"/>
  <c r="C1507" i="3"/>
  <c r="U1507" i="3" s="1"/>
  <c r="U1506" i="3"/>
  <c r="C1506" i="3"/>
  <c r="C1505" i="3"/>
  <c r="U1505" i="3" s="1"/>
  <c r="C1504" i="3"/>
  <c r="U1504" i="3" s="1"/>
  <c r="C1503" i="3"/>
  <c r="U1503" i="3" s="1"/>
  <c r="C1502" i="3"/>
  <c r="U1502" i="3" s="1"/>
  <c r="C1501" i="3"/>
  <c r="U1501" i="3" s="1"/>
  <c r="U1500" i="3"/>
  <c r="C1500" i="3"/>
  <c r="C1499" i="3"/>
  <c r="U1499" i="3" s="1"/>
  <c r="U1498" i="3"/>
  <c r="C1498" i="3"/>
  <c r="C1497" i="3"/>
  <c r="U1497" i="3" s="1"/>
  <c r="C1496" i="3"/>
  <c r="U1496" i="3" s="1"/>
  <c r="C1495" i="3"/>
  <c r="U1495" i="3" s="1"/>
  <c r="C1494" i="3"/>
  <c r="U1494" i="3" s="1"/>
  <c r="C1493" i="3"/>
  <c r="U1493" i="3" s="1"/>
  <c r="U1492" i="3"/>
  <c r="C1492" i="3"/>
  <c r="C1491" i="3"/>
  <c r="U1491" i="3" s="1"/>
  <c r="U1490" i="3"/>
  <c r="C1490" i="3"/>
  <c r="C1489" i="3"/>
  <c r="U1489" i="3" s="1"/>
  <c r="C1488" i="3"/>
  <c r="U1488" i="3" s="1"/>
  <c r="C1487" i="3"/>
  <c r="U1487" i="3" s="1"/>
  <c r="C1486" i="3"/>
  <c r="U1486" i="3" s="1"/>
  <c r="C1485" i="3"/>
  <c r="U1485" i="3" s="1"/>
  <c r="U1484" i="3"/>
  <c r="C1484" i="3"/>
  <c r="C1483" i="3"/>
  <c r="U1483" i="3" s="1"/>
  <c r="U1482" i="3"/>
  <c r="C1482" i="3"/>
  <c r="C1481" i="3"/>
  <c r="U1481" i="3" s="1"/>
  <c r="C1480" i="3"/>
  <c r="U1480" i="3" s="1"/>
  <c r="C1479" i="3"/>
  <c r="U1479" i="3" s="1"/>
  <c r="C1478" i="3"/>
  <c r="U1478" i="3" s="1"/>
  <c r="C1477" i="3"/>
  <c r="U1477" i="3" s="1"/>
  <c r="U1476" i="3"/>
  <c r="C1476" i="3"/>
  <c r="C1475" i="3"/>
  <c r="U1475" i="3" s="1"/>
  <c r="U1474" i="3"/>
  <c r="C1474" i="3"/>
  <c r="C1473" i="3"/>
  <c r="U1473" i="3" s="1"/>
  <c r="C1472" i="3"/>
  <c r="U1472" i="3" s="1"/>
  <c r="C1471" i="3"/>
  <c r="U1471" i="3" s="1"/>
  <c r="C1470" i="3"/>
  <c r="U1470" i="3" s="1"/>
  <c r="C1469" i="3"/>
  <c r="U1469" i="3" s="1"/>
  <c r="U1468" i="3"/>
  <c r="C1468" i="3"/>
  <c r="C1467" i="3"/>
  <c r="U1467" i="3" s="1"/>
  <c r="U1466" i="3"/>
  <c r="C1466" i="3"/>
  <c r="C1465" i="3"/>
  <c r="U1465" i="3" s="1"/>
  <c r="C1464" i="3"/>
  <c r="U1464" i="3" s="1"/>
  <c r="C1463" i="3"/>
  <c r="U1463" i="3" s="1"/>
  <c r="C1462" i="3"/>
  <c r="U1462" i="3" s="1"/>
  <c r="C1461" i="3"/>
  <c r="U1461" i="3" s="1"/>
  <c r="U1460" i="3"/>
  <c r="C1460" i="3"/>
  <c r="C1459" i="3"/>
  <c r="U1459" i="3" s="1"/>
  <c r="U1458" i="3"/>
  <c r="C1458" i="3"/>
  <c r="C1457" i="3"/>
  <c r="U1457" i="3" s="1"/>
  <c r="C1456" i="3"/>
  <c r="U1456" i="3" s="1"/>
  <c r="C1455" i="3"/>
  <c r="U1455" i="3" s="1"/>
  <c r="C1454" i="3"/>
  <c r="U1454" i="3" s="1"/>
  <c r="C1453" i="3"/>
  <c r="U1453" i="3" s="1"/>
  <c r="U1452" i="3"/>
  <c r="C1452" i="3"/>
  <c r="C1451" i="3"/>
  <c r="U1451" i="3" s="1"/>
  <c r="U1450" i="3"/>
  <c r="C1450" i="3"/>
  <c r="C1449" i="3"/>
  <c r="U1449" i="3" s="1"/>
  <c r="C1448" i="3"/>
  <c r="U1448" i="3" s="1"/>
  <c r="C1447" i="3"/>
  <c r="U1447" i="3" s="1"/>
  <c r="C1446" i="3"/>
  <c r="U1446" i="3" s="1"/>
  <c r="C1445" i="3"/>
  <c r="U1445" i="3" s="1"/>
  <c r="U1444" i="3"/>
  <c r="C1444" i="3"/>
  <c r="C1443" i="3"/>
  <c r="U1443" i="3" s="1"/>
  <c r="U1442" i="3"/>
  <c r="C1442" i="3"/>
  <c r="C1441" i="3"/>
  <c r="U1441" i="3" s="1"/>
  <c r="C1440" i="3"/>
  <c r="U1440" i="3" s="1"/>
  <c r="C1439" i="3"/>
  <c r="U1439" i="3" s="1"/>
  <c r="C1438" i="3"/>
  <c r="U1438" i="3" s="1"/>
  <c r="C1437" i="3"/>
  <c r="U1437" i="3" s="1"/>
  <c r="U1436" i="3"/>
  <c r="C1436" i="3"/>
  <c r="C1435" i="3"/>
  <c r="U1435" i="3" s="1"/>
  <c r="U1434" i="3"/>
  <c r="C1434" i="3"/>
  <c r="C1433" i="3"/>
  <c r="U1433" i="3" s="1"/>
  <c r="C1432" i="3"/>
  <c r="U1432" i="3" s="1"/>
  <c r="C1431" i="3"/>
  <c r="U1431" i="3" s="1"/>
  <c r="C1430" i="3"/>
  <c r="U1430" i="3" s="1"/>
  <c r="C1429" i="3"/>
  <c r="U1429" i="3" s="1"/>
  <c r="U1428" i="3"/>
  <c r="C1428" i="3"/>
  <c r="C1427" i="3"/>
  <c r="U1427" i="3" s="1"/>
  <c r="U1426" i="3"/>
  <c r="C1426" i="3"/>
  <c r="C1425" i="3"/>
  <c r="U1425" i="3" s="1"/>
  <c r="C1424" i="3"/>
  <c r="U1424" i="3" s="1"/>
  <c r="U1423" i="3"/>
  <c r="C1423" i="3"/>
  <c r="C1422" i="3"/>
  <c r="U1422" i="3" s="1"/>
  <c r="U1421" i="3"/>
  <c r="C1421" i="3"/>
  <c r="C1420" i="3"/>
  <c r="U1420" i="3" s="1"/>
  <c r="U1419" i="3"/>
  <c r="C1419" i="3"/>
  <c r="C1418" i="3"/>
  <c r="U1418" i="3" s="1"/>
  <c r="U1417" i="3"/>
  <c r="C1417" i="3"/>
  <c r="C1416" i="3"/>
  <c r="U1416" i="3" s="1"/>
  <c r="U1415" i="3"/>
  <c r="C1415" i="3"/>
  <c r="C1414" i="3"/>
  <c r="U1414" i="3" s="1"/>
  <c r="U1413" i="3"/>
  <c r="C1413" i="3"/>
  <c r="C1412" i="3"/>
  <c r="U1412" i="3" s="1"/>
  <c r="U1411" i="3"/>
  <c r="C1411" i="3"/>
  <c r="C1410" i="3"/>
  <c r="U1410" i="3" s="1"/>
  <c r="U1409" i="3"/>
  <c r="C1409" i="3"/>
  <c r="C1408" i="3"/>
  <c r="U1408" i="3" s="1"/>
  <c r="U1407" i="3"/>
  <c r="C1407" i="3"/>
  <c r="C1406" i="3"/>
  <c r="U1406" i="3" s="1"/>
  <c r="U1405" i="3"/>
  <c r="C1405" i="3"/>
  <c r="C1404" i="3"/>
  <c r="U1404" i="3" s="1"/>
  <c r="U1403" i="3"/>
  <c r="C1403" i="3"/>
  <c r="C1402" i="3"/>
  <c r="U1402" i="3" s="1"/>
  <c r="U1401" i="3"/>
  <c r="C1401" i="3"/>
  <c r="C1400" i="3"/>
  <c r="U1400" i="3" s="1"/>
  <c r="U1399" i="3"/>
  <c r="C1399" i="3"/>
  <c r="C1398" i="3"/>
  <c r="U1398" i="3" s="1"/>
  <c r="U1397" i="3"/>
  <c r="C1397" i="3"/>
  <c r="C1396" i="3"/>
  <c r="U1396" i="3" s="1"/>
  <c r="U1395" i="3"/>
  <c r="C1395" i="3"/>
  <c r="C1394" i="3"/>
  <c r="U1394" i="3" s="1"/>
  <c r="U1393" i="3"/>
  <c r="C1393" i="3"/>
  <c r="C1392" i="3"/>
  <c r="U1392" i="3" s="1"/>
  <c r="U1391" i="3"/>
  <c r="C1391" i="3"/>
  <c r="C1390" i="3"/>
  <c r="U1390" i="3" s="1"/>
  <c r="U1389" i="3"/>
  <c r="C1389" i="3"/>
  <c r="C1388" i="3"/>
  <c r="U1388" i="3" s="1"/>
  <c r="U1387" i="3"/>
  <c r="C1387" i="3"/>
  <c r="C1386" i="3"/>
  <c r="U1386" i="3" s="1"/>
  <c r="U1385" i="3"/>
  <c r="C1385" i="3"/>
  <c r="C1384" i="3"/>
  <c r="U1384" i="3" s="1"/>
  <c r="U1383" i="3"/>
  <c r="C1383" i="3"/>
  <c r="C1382" i="3"/>
  <c r="U1382" i="3" s="1"/>
  <c r="U1381" i="3"/>
  <c r="C1381" i="3"/>
  <c r="C1380" i="3"/>
  <c r="U1380" i="3" s="1"/>
  <c r="U1379" i="3"/>
  <c r="C1379" i="3"/>
  <c r="C1378" i="3"/>
  <c r="U1378" i="3" s="1"/>
  <c r="U1377" i="3"/>
  <c r="C1377" i="3"/>
  <c r="C1376" i="3"/>
  <c r="U1376" i="3" s="1"/>
  <c r="U1375" i="3"/>
  <c r="C1375" i="3"/>
  <c r="C1374" i="3"/>
  <c r="U1374" i="3" s="1"/>
  <c r="U1373" i="3"/>
  <c r="C1373" i="3"/>
  <c r="C1372" i="3"/>
  <c r="U1372" i="3" s="1"/>
  <c r="U1371" i="3"/>
  <c r="C1371" i="3"/>
  <c r="C1370" i="3"/>
  <c r="U1370" i="3" s="1"/>
  <c r="U1369" i="3"/>
  <c r="C1369" i="3"/>
  <c r="C1368" i="3"/>
  <c r="U1368" i="3" s="1"/>
  <c r="U1367" i="3"/>
  <c r="C1367" i="3"/>
  <c r="C1366" i="3"/>
  <c r="U1366" i="3" s="1"/>
  <c r="U1365" i="3"/>
  <c r="C1365" i="3"/>
  <c r="C1364" i="3"/>
  <c r="U1364" i="3" s="1"/>
  <c r="U1363" i="3"/>
  <c r="C1363" i="3"/>
  <c r="C1362" i="3"/>
  <c r="U1362" i="3" s="1"/>
  <c r="U1361" i="3"/>
  <c r="C1361" i="3"/>
  <c r="C1360" i="3"/>
  <c r="U1360" i="3" s="1"/>
  <c r="U1359" i="3"/>
  <c r="C1359" i="3"/>
  <c r="C1358" i="3"/>
  <c r="U1358" i="3" s="1"/>
  <c r="U1357" i="3"/>
  <c r="C1357" i="3"/>
  <c r="C1356" i="3"/>
  <c r="U1356" i="3" s="1"/>
  <c r="U1355" i="3"/>
  <c r="C1355" i="3"/>
  <c r="C1354" i="3"/>
  <c r="U1354" i="3" s="1"/>
  <c r="U1353" i="3"/>
  <c r="C1353" i="3"/>
  <c r="C1352" i="3"/>
  <c r="U1352" i="3" s="1"/>
  <c r="U1351" i="3"/>
  <c r="C1351" i="3"/>
  <c r="C1350" i="3"/>
  <c r="U1350" i="3" s="1"/>
  <c r="U1349" i="3"/>
  <c r="C1349" i="3"/>
  <c r="C1348" i="3"/>
  <c r="U1348" i="3" s="1"/>
  <c r="U1347" i="3"/>
  <c r="C1347" i="3"/>
  <c r="C1346" i="3"/>
  <c r="U1346" i="3" s="1"/>
  <c r="U1345" i="3"/>
  <c r="C1345" i="3"/>
  <c r="C1344" i="3"/>
  <c r="U1344" i="3" s="1"/>
  <c r="U1343" i="3"/>
  <c r="C1343" i="3"/>
  <c r="C1342" i="3"/>
  <c r="U1342" i="3" s="1"/>
  <c r="U1341" i="3"/>
  <c r="C1341" i="3"/>
  <c r="C1340" i="3"/>
  <c r="U1340" i="3" s="1"/>
  <c r="U1339" i="3"/>
  <c r="C1339" i="3"/>
  <c r="C1338" i="3"/>
  <c r="U1338" i="3" s="1"/>
  <c r="U1337" i="3"/>
  <c r="C1337" i="3"/>
  <c r="C1336" i="3"/>
  <c r="U1336" i="3" s="1"/>
  <c r="U1335" i="3"/>
  <c r="C1335" i="3"/>
  <c r="C1334" i="3"/>
  <c r="U1334" i="3" s="1"/>
  <c r="U1333" i="3"/>
  <c r="C1333" i="3"/>
  <c r="C1332" i="3"/>
  <c r="U1332" i="3" s="1"/>
  <c r="U1331" i="3"/>
  <c r="C1331" i="3"/>
  <c r="C1330" i="3"/>
  <c r="U1330" i="3" s="1"/>
  <c r="U1329" i="3"/>
  <c r="C1329" i="3"/>
  <c r="C1328" i="3"/>
  <c r="U1328" i="3" s="1"/>
  <c r="U1327" i="3"/>
  <c r="C1327" i="3"/>
  <c r="C1326" i="3"/>
  <c r="U1326" i="3" s="1"/>
  <c r="U1325" i="3"/>
  <c r="C1325" i="3"/>
  <c r="C1324" i="3"/>
  <c r="U1324" i="3" s="1"/>
  <c r="U1323" i="3"/>
  <c r="C1323" i="3"/>
  <c r="C1322" i="3"/>
  <c r="U1322" i="3" s="1"/>
  <c r="U1321" i="3"/>
  <c r="C1321" i="3"/>
  <c r="C1320" i="3"/>
  <c r="U1320" i="3" s="1"/>
  <c r="U1319" i="3"/>
  <c r="C1319" i="3"/>
  <c r="C1318" i="3"/>
  <c r="U1318" i="3" s="1"/>
  <c r="U1317" i="3"/>
  <c r="C1317" i="3"/>
  <c r="C1316" i="3"/>
  <c r="U1316" i="3" s="1"/>
  <c r="U1315" i="3"/>
  <c r="C1315" i="3"/>
  <c r="C1314" i="3"/>
  <c r="U1314" i="3" s="1"/>
  <c r="U1313" i="3"/>
  <c r="C1313" i="3"/>
  <c r="C1312" i="3"/>
  <c r="U1312" i="3" s="1"/>
  <c r="U1311" i="3"/>
  <c r="C1311" i="3"/>
  <c r="C1310" i="3"/>
  <c r="U1310" i="3" s="1"/>
  <c r="U1309" i="3"/>
  <c r="C1309" i="3"/>
  <c r="C1308" i="3"/>
  <c r="U1308" i="3" s="1"/>
  <c r="U1307" i="3"/>
  <c r="C1307" i="3"/>
  <c r="C1306" i="3"/>
  <c r="U1306" i="3" s="1"/>
  <c r="U1305" i="3"/>
  <c r="C1305" i="3"/>
  <c r="C1304" i="3"/>
  <c r="U1304" i="3" s="1"/>
  <c r="U1303" i="3"/>
  <c r="C1303" i="3"/>
  <c r="C1302" i="3"/>
  <c r="U1302" i="3" s="1"/>
  <c r="U1301" i="3"/>
  <c r="C1301" i="3"/>
  <c r="C1300" i="3"/>
  <c r="U1300" i="3" s="1"/>
  <c r="U1299" i="3"/>
  <c r="C1299" i="3"/>
  <c r="C1298" i="3"/>
  <c r="U1298" i="3" s="1"/>
  <c r="U1297" i="3"/>
  <c r="C1297" i="3"/>
  <c r="C1296" i="3"/>
  <c r="U1296" i="3" s="1"/>
  <c r="U1295" i="3"/>
  <c r="C1295" i="3"/>
  <c r="C1294" i="3"/>
  <c r="U1294" i="3" s="1"/>
  <c r="U1293" i="3"/>
  <c r="C1293" i="3"/>
  <c r="C1292" i="3"/>
  <c r="U1292" i="3" s="1"/>
  <c r="U1291" i="3"/>
  <c r="C1291" i="3"/>
  <c r="C1290" i="3"/>
  <c r="U1290" i="3" s="1"/>
  <c r="U1289" i="3"/>
  <c r="C1289" i="3"/>
  <c r="C1288" i="3"/>
  <c r="U1288" i="3" s="1"/>
  <c r="U1287" i="3"/>
  <c r="C1287" i="3"/>
  <c r="C1286" i="3"/>
  <c r="U1286" i="3" s="1"/>
  <c r="U1285" i="3"/>
  <c r="C1285" i="3"/>
  <c r="C1284" i="3"/>
  <c r="U1284" i="3" s="1"/>
  <c r="U1283" i="3"/>
  <c r="C1283" i="3"/>
  <c r="C1282" i="3"/>
  <c r="U1282" i="3" s="1"/>
  <c r="U1281" i="3"/>
  <c r="C1281" i="3"/>
  <c r="C1280" i="3"/>
  <c r="U1280" i="3" s="1"/>
  <c r="U1279" i="3"/>
  <c r="C1279" i="3"/>
  <c r="C1278" i="3"/>
  <c r="U1278" i="3" s="1"/>
  <c r="U1277" i="3"/>
  <c r="C1277" i="3"/>
  <c r="C1276" i="3"/>
  <c r="U1276" i="3" s="1"/>
  <c r="U1275" i="3"/>
  <c r="C1275" i="3"/>
  <c r="C1274" i="3"/>
  <c r="U1274" i="3" s="1"/>
  <c r="U1273" i="3"/>
  <c r="C1273" i="3"/>
  <c r="C1272" i="3"/>
  <c r="U1272" i="3" s="1"/>
  <c r="U1271" i="3"/>
  <c r="C1271" i="3"/>
  <c r="C1270" i="3"/>
  <c r="U1270" i="3" s="1"/>
  <c r="U1269" i="3"/>
  <c r="C1269" i="3"/>
  <c r="C1268" i="3"/>
  <c r="U1268" i="3" s="1"/>
  <c r="U1267" i="3"/>
  <c r="C1267" i="3"/>
  <c r="C1266" i="3"/>
  <c r="U1266" i="3" s="1"/>
  <c r="U1265" i="3"/>
  <c r="C1265" i="3"/>
  <c r="C1264" i="3"/>
  <c r="U1264" i="3" s="1"/>
  <c r="U1263" i="3"/>
  <c r="C1263" i="3"/>
  <c r="C1262" i="3"/>
  <c r="U1262" i="3" s="1"/>
  <c r="U1261" i="3"/>
  <c r="C1261" i="3"/>
  <c r="C1260" i="3"/>
  <c r="U1260" i="3" s="1"/>
  <c r="U1259" i="3"/>
  <c r="C1259" i="3"/>
  <c r="C1258" i="3"/>
  <c r="U1258" i="3" s="1"/>
  <c r="U1257" i="3"/>
  <c r="C1257" i="3"/>
  <c r="C1256" i="3"/>
  <c r="U1256" i="3" s="1"/>
  <c r="U1255" i="3"/>
  <c r="C1255" i="3"/>
  <c r="C1254" i="3"/>
  <c r="U1254" i="3" s="1"/>
  <c r="U1253" i="3"/>
  <c r="C1253" i="3"/>
  <c r="C1252" i="3"/>
  <c r="U1252" i="3" s="1"/>
  <c r="U1251" i="3"/>
  <c r="C1251" i="3"/>
  <c r="C1250" i="3"/>
  <c r="U1250" i="3" s="1"/>
  <c r="U1249" i="3"/>
  <c r="C1249" i="3"/>
  <c r="C1248" i="3"/>
  <c r="U1248" i="3" s="1"/>
  <c r="U1247" i="3"/>
  <c r="C1247" i="3"/>
  <c r="C1246" i="3"/>
  <c r="U1246" i="3" s="1"/>
  <c r="U1245" i="3"/>
  <c r="C1245" i="3"/>
  <c r="C1244" i="3"/>
  <c r="U1244" i="3" s="1"/>
  <c r="U1243" i="3"/>
  <c r="C1243" i="3"/>
  <c r="C1242" i="3"/>
  <c r="U1242" i="3" s="1"/>
  <c r="U1241" i="3"/>
  <c r="C1241" i="3"/>
  <c r="C1240" i="3"/>
  <c r="U1240" i="3" s="1"/>
  <c r="U1239" i="3"/>
  <c r="C1239" i="3"/>
  <c r="C1238" i="3"/>
  <c r="U1238" i="3" s="1"/>
  <c r="U1237" i="3"/>
  <c r="C1237" i="3"/>
  <c r="C1236" i="3"/>
  <c r="U1236" i="3" s="1"/>
  <c r="U1235" i="3"/>
  <c r="C1235" i="3"/>
  <c r="C1234" i="3"/>
  <c r="U1234" i="3" s="1"/>
  <c r="U1233" i="3"/>
  <c r="C1233" i="3"/>
  <c r="C1232" i="3"/>
  <c r="U1232" i="3" s="1"/>
  <c r="U1231" i="3"/>
  <c r="C1231" i="3"/>
  <c r="C1230" i="3"/>
  <c r="U1230" i="3" s="1"/>
  <c r="U1229" i="3"/>
  <c r="C1229" i="3"/>
  <c r="C1228" i="3"/>
  <c r="U1228" i="3" s="1"/>
  <c r="U1227" i="3"/>
  <c r="C1227" i="3"/>
  <c r="C1226" i="3"/>
  <c r="U1226" i="3" s="1"/>
  <c r="U1225" i="3"/>
  <c r="C1225" i="3"/>
  <c r="C1224" i="3"/>
  <c r="U1224" i="3" s="1"/>
  <c r="U1223" i="3"/>
  <c r="C1223" i="3"/>
  <c r="C1222" i="3"/>
  <c r="U1222" i="3" s="1"/>
  <c r="U1221" i="3"/>
  <c r="C1221" i="3"/>
  <c r="C1220" i="3"/>
  <c r="U1220" i="3" s="1"/>
  <c r="U1219" i="3"/>
  <c r="C1219" i="3"/>
  <c r="C1218" i="3"/>
  <c r="U1218" i="3" s="1"/>
  <c r="U1217" i="3"/>
  <c r="C1217" i="3"/>
  <c r="C1216" i="3"/>
  <c r="U1216" i="3" s="1"/>
  <c r="U1215" i="3"/>
  <c r="C1215" i="3"/>
  <c r="C1214" i="3"/>
  <c r="U1214" i="3" s="1"/>
  <c r="U1213" i="3"/>
  <c r="C1213" i="3"/>
  <c r="C1212" i="3"/>
  <c r="U1212" i="3" s="1"/>
  <c r="U1211" i="3"/>
  <c r="C1211" i="3"/>
  <c r="C1210" i="3"/>
  <c r="U1210" i="3" s="1"/>
  <c r="U1209" i="3"/>
  <c r="C1209" i="3"/>
  <c r="C1208" i="3"/>
  <c r="U1208" i="3" s="1"/>
  <c r="U1207" i="3"/>
  <c r="C1207" i="3"/>
  <c r="C1206" i="3"/>
  <c r="U1206" i="3" s="1"/>
  <c r="U1205" i="3"/>
  <c r="C1205" i="3"/>
  <c r="C1204" i="3"/>
  <c r="U1204" i="3" s="1"/>
  <c r="U1203" i="3"/>
  <c r="C1203" i="3"/>
  <c r="C1202" i="3"/>
  <c r="U1202" i="3" s="1"/>
  <c r="U1201" i="3"/>
  <c r="C1201" i="3"/>
  <c r="C1200" i="3"/>
  <c r="U1200" i="3" s="1"/>
  <c r="U1199" i="3"/>
  <c r="C1199" i="3"/>
  <c r="C1198" i="3"/>
  <c r="U1198" i="3" s="1"/>
  <c r="U1197" i="3"/>
  <c r="C1197" i="3"/>
  <c r="C1196" i="3"/>
  <c r="U1196" i="3" s="1"/>
  <c r="U1195" i="3"/>
  <c r="C1195" i="3"/>
  <c r="C1194" i="3"/>
  <c r="U1194" i="3" s="1"/>
  <c r="U1193" i="3"/>
  <c r="C1193" i="3"/>
  <c r="C1192" i="3"/>
  <c r="U1192" i="3" s="1"/>
  <c r="U1191" i="3"/>
  <c r="C1191" i="3"/>
  <c r="C1190" i="3"/>
  <c r="U1190" i="3" s="1"/>
  <c r="U1189" i="3"/>
  <c r="C1189" i="3"/>
  <c r="C1188" i="3"/>
  <c r="U1188" i="3" s="1"/>
  <c r="C1187" i="3"/>
  <c r="U1187" i="3" s="1"/>
  <c r="U1186" i="3"/>
  <c r="C1186" i="3"/>
  <c r="C1185" i="3"/>
  <c r="U1185" i="3" s="1"/>
  <c r="C1184" i="3"/>
  <c r="U1184" i="3" s="1"/>
  <c r="C1183" i="3"/>
  <c r="U1183" i="3" s="1"/>
  <c r="U1182" i="3"/>
  <c r="C1182" i="3"/>
  <c r="C1181" i="3"/>
  <c r="U1181" i="3" s="1"/>
  <c r="C1180" i="3"/>
  <c r="U1180" i="3" s="1"/>
  <c r="C1179" i="3"/>
  <c r="U1179" i="3" s="1"/>
  <c r="U1178" i="3"/>
  <c r="C1178" i="3"/>
  <c r="C1177" i="3"/>
  <c r="U1177" i="3" s="1"/>
  <c r="C1176" i="3"/>
  <c r="U1176" i="3" s="1"/>
  <c r="C1175" i="3"/>
  <c r="U1175" i="3" s="1"/>
  <c r="U1174" i="3"/>
  <c r="C1174" i="3"/>
  <c r="C1173" i="3"/>
  <c r="U1173" i="3" s="1"/>
  <c r="C1172" i="3"/>
  <c r="U1172" i="3" s="1"/>
  <c r="C1171" i="3"/>
  <c r="U1171" i="3" s="1"/>
  <c r="U1170" i="3"/>
  <c r="C1170" i="3"/>
  <c r="C1169" i="3"/>
  <c r="U1169" i="3" s="1"/>
  <c r="C1168" i="3"/>
  <c r="U1168" i="3" s="1"/>
  <c r="C1167" i="3"/>
  <c r="U1167" i="3" s="1"/>
  <c r="U1166" i="3"/>
  <c r="C1166" i="3"/>
  <c r="C1165" i="3"/>
  <c r="U1165" i="3" s="1"/>
  <c r="C1164" i="3"/>
  <c r="U1164" i="3" s="1"/>
  <c r="C1163" i="3"/>
  <c r="U1163" i="3" s="1"/>
  <c r="U1162" i="3"/>
  <c r="C1162" i="3"/>
  <c r="C1161" i="3"/>
  <c r="U1161" i="3" s="1"/>
  <c r="C1160" i="3"/>
  <c r="U1160" i="3" s="1"/>
  <c r="C1159" i="3"/>
  <c r="U1159" i="3" s="1"/>
  <c r="U1158" i="3"/>
  <c r="C1158" i="3"/>
  <c r="C1157" i="3"/>
  <c r="U1157" i="3" s="1"/>
  <c r="C1156" i="3"/>
  <c r="U1156" i="3" s="1"/>
  <c r="C1155" i="3"/>
  <c r="U1155" i="3" s="1"/>
  <c r="U1154" i="3"/>
  <c r="C1154" i="3"/>
  <c r="C1153" i="3"/>
  <c r="U1153" i="3" s="1"/>
  <c r="C1152" i="3"/>
  <c r="U1152" i="3" s="1"/>
  <c r="C1151" i="3"/>
  <c r="U1151" i="3" s="1"/>
  <c r="U1150" i="3"/>
  <c r="C1150" i="3"/>
  <c r="C1149" i="3"/>
  <c r="U1149" i="3" s="1"/>
  <c r="C1148" i="3"/>
  <c r="U1148" i="3" s="1"/>
  <c r="C1147" i="3"/>
  <c r="U1147" i="3" s="1"/>
  <c r="U1146" i="3"/>
  <c r="C1146" i="3"/>
  <c r="C1145" i="3"/>
  <c r="U1145" i="3" s="1"/>
  <c r="C1144" i="3"/>
  <c r="U1144" i="3" s="1"/>
  <c r="C1143" i="3"/>
  <c r="U1143" i="3" s="1"/>
  <c r="U1142" i="3"/>
  <c r="C1142" i="3"/>
  <c r="C1141" i="3"/>
  <c r="U1141" i="3" s="1"/>
  <c r="C1140" i="3"/>
  <c r="U1140" i="3" s="1"/>
  <c r="C1139" i="3"/>
  <c r="U1139" i="3" s="1"/>
  <c r="U1138" i="3"/>
  <c r="C1138" i="3"/>
  <c r="C1137" i="3"/>
  <c r="U1137" i="3" s="1"/>
  <c r="C1136" i="3"/>
  <c r="U1136" i="3" s="1"/>
  <c r="C1135" i="3"/>
  <c r="U1135" i="3" s="1"/>
  <c r="U1134" i="3"/>
  <c r="C1134" i="3"/>
  <c r="C1133" i="3"/>
  <c r="U1133" i="3" s="1"/>
  <c r="C1132" i="3"/>
  <c r="U1132" i="3" s="1"/>
  <c r="C1131" i="3"/>
  <c r="U1131" i="3" s="1"/>
  <c r="U1130" i="3"/>
  <c r="C1130" i="3"/>
  <c r="C1129" i="3"/>
  <c r="U1129" i="3" s="1"/>
  <c r="C1128" i="3"/>
  <c r="U1128" i="3" s="1"/>
  <c r="C1127" i="3"/>
  <c r="U1127" i="3" s="1"/>
  <c r="U1126" i="3"/>
  <c r="C1126" i="3"/>
  <c r="C1125" i="3"/>
  <c r="U1125" i="3" s="1"/>
  <c r="C1124" i="3"/>
  <c r="U1124" i="3" s="1"/>
  <c r="C1123" i="3"/>
  <c r="U1123" i="3" s="1"/>
  <c r="U1122" i="3"/>
  <c r="C1122" i="3"/>
  <c r="C1121" i="3"/>
  <c r="U1121" i="3" s="1"/>
  <c r="C1120" i="3"/>
  <c r="U1120" i="3" s="1"/>
  <c r="C1119" i="3"/>
  <c r="U1119" i="3" s="1"/>
  <c r="U1118" i="3"/>
  <c r="C1118" i="3"/>
  <c r="C1117" i="3"/>
  <c r="U1117" i="3" s="1"/>
  <c r="C1116" i="3"/>
  <c r="U1116" i="3" s="1"/>
  <c r="C1115" i="3"/>
  <c r="U1115" i="3" s="1"/>
  <c r="U1114" i="3"/>
  <c r="C1114" i="3"/>
  <c r="C1113" i="3"/>
  <c r="U1113" i="3" s="1"/>
  <c r="C1112" i="3"/>
  <c r="U1112" i="3" s="1"/>
  <c r="C1111" i="3"/>
  <c r="U1111" i="3" s="1"/>
  <c r="U1110" i="3"/>
  <c r="C1110" i="3"/>
  <c r="C1109" i="3"/>
  <c r="U1109" i="3" s="1"/>
  <c r="C1108" i="3"/>
  <c r="U1108" i="3" s="1"/>
  <c r="C1107" i="3"/>
  <c r="U1107" i="3" s="1"/>
  <c r="U1106" i="3"/>
  <c r="C1106" i="3"/>
  <c r="C1105" i="3"/>
  <c r="U1105" i="3" s="1"/>
  <c r="C1104" i="3"/>
  <c r="U1104" i="3" s="1"/>
  <c r="C1103" i="3"/>
  <c r="U1103" i="3" s="1"/>
  <c r="U1102" i="3"/>
  <c r="C1102" i="3"/>
  <c r="C1101" i="3"/>
  <c r="U1101" i="3" s="1"/>
  <c r="C1100" i="3"/>
  <c r="U1100" i="3" s="1"/>
  <c r="C1099" i="3"/>
  <c r="U1099" i="3" s="1"/>
  <c r="U1098" i="3"/>
  <c r="C1098" i="3"/>
  <c r="C1097" i="3"/>
  <c r="U1097" i="3" s="1"/>
  <c r="C1096" i="3"/>
  <c r="U1096" i="3" s="1"/>
  <c r="C1095" i="3"/>
  <c r="U1095" i="3" s="1"/>
  <c r="U1094" i="3"/>
  <c r="C1094" i="3"/>
  <c r="C1093" i="3"/>
  <c r="U1093" i="3" s="1"/>
  <c r="C1092" i="3"/>
  <c r="U1092" i="3" s="1"/>
  <c r="C1091" i="3"/>
  <c r="U1091" i="3" s="1"/>
  <c r="U1090" i="3"/>
  <c r="C1090" i="3"/>
  <c r="C1089" i="3"/>
  <c r="U1089" i="3" s="1"/>
  <c r="C1088" i="3"/>
  <c r="U1088" i="3" s="1"/>
  <c r="C1087" i="3"/>
  <c r="U1087" i="3" s="1"/>
  <c r="U1086" i="3"/>
  <c r="C1086" i="3"/>
  <c r="C1085" i="3"/>
  <c r="U1085" i="3" s="1"/>
  <c r="C1084" i="3"/>
  <c r="U1084" i="3" s="1"/>
  <c r="C1083" i="3"/>
  <c r="U1083" i="3" s="1"/>
  <c r="U1082" i="3"/>
  <c r="C1082" i="3"/>
  <c r="C1081" i="3"/>
  <c r="U1081" i="3" s="1"/>
  <c r="C1080" i="3"/>
  <c r="U1080" i="3" s="1"/>
  <c r="C1079" i="3"/>
  <c r="U1079" i="3" s="1"/>
  <c r="U1078" i="3"/>
  <c r="C1078" i="3"/>
  <c r="C1077" i="3"/>
  <c r="U1077" i="3" s="1"/>
  <c r="C1076" i="3"/>
  <c r="U1076" i="3" s="1"/>
  <c r="C1075" i="3"/>
  <c r="U1075" i="3" s="1"/>
  <c r="U1074" i="3"/>
  <c r="C1074" i="3"/>
  <c r="C1073" i="3"/>
  <c r="U1073" i="3" s="1"/>
  <c r="C1072" i="3"/>
  <c r="U1072" i="3" s="1"/>
  <c r="C1071" i="3"/>
  <c r="U1071" i="3" s="1"/>
  <c r="U1070" i="3"/>
  <c r="C1070" i="3"/>
  <c r="C1069" i="3"/>
  <c r="U1069" i="3" s="1"/>
  <c r="C1068" i="3"/>
  <c r="U1068" i="3" s="1"/>
  <c r="C1067" i="3"/>
  <c r="U1067" i="3" s="1"/>
  <c r="U1066" i="3"/>
  <c r="C1066" i="3"/>
  <c r="C1065" i="3"/>
  <c r="U1065" i="3" s="1"/>
  <c r="C1064" i="3"/>
  <c r="U1064" i="3" s="1"/>
  <c r="C1063" i="3"/>
  <c r="U1063" i="3" s="1"/>
  <c r="U1062" i="3"/>
  <c r="C1062" i="3"/>
  <c r="C1061" i="3"/>
  <c r="U1061" i="3" s="1"/>
  <c r="C1060" i="3"/>
  <c r="U1060" i="3" s="1"/>
  <c r="C1059" i="3"/>
  <c r="U1059" i="3" s="1"/>
  <c r="U1058" i="3"/>
  <c r="C1058" i="3"/>
  <c r="C1057" i="3"/>
  <c r="U1057" i="3" s="1"/>
  <c r="C1056" i="3"/>
  <c r="U1056" i="3" s="1"/>
  <c r="C1055" i="3"/>
  <c r="U1055" i="3" s="1"/>
  <c r="U1054" i="3"/>
  <c r="C1054" i="3"/>
  <c r="C1053" i="3"/>
  <c r="U1053" i="3" s="1"/>
  <c r="C1052" i="3"/>
  <c r="U1052" i="3" s="1"/>
  <c r="C1051" i="3"/>
  <c r="U1051" i="3" s="1"/>
  <c r="U1050" i="3"/>
  <c r="C1050" i="3"/>
  <c r="C1049" i="3"/>
  <c r="U1049" i="3" s="1"/>
  <c r="C1048" i="3"/>
  <c r="U1048" i="3" s="1"/>
  <c r="C1047" i="3"/>
  <c r="U1047" i="3" s="1"/>
  <c r="U1046" i="3"/>
  <c r="C1046" i="3"/>
  <c r="C1045" i="3"/>
  <c r="U1045" i="3" s="1"/>
  <c r="C1044" i="3"/>
  <c r="U1044" i="3" s="1"/>
  <c r="C1043" i="3"/>
  <c r="U1043" i="3" s="1"/>
  <c r="U1042" i="3"/>
  <c r="C1042" i="3"/>
  <c r="C1041" i="3"/>
  <c r="U1041" i="3" s="1"/>
  <c r="C1040" i="3"/>
  <c r="U1040" i="3" s="1"/>
  <c r="C1039" i="3"/>
  <c r="U1039" i="3" s="1"/>
  <c r="U1038" i="3"/>
  <c r="C1038" i="3"/>
  <c r="C1037" i="3"/>
  <c r="U1037" i="3" s="1"/>
  <c r="C1036" i="3"/>
  <c r="U1036" i="3" s="1"/>
  <c r="C1035" i="3"/>
  <c r="U1035" i="3" s="1"/>
  <c r="U1034" i="3"/>
  <c r="C1034" i="3"/>
  <c r="C1033" i="3"/>
  <c r="U1033" i="3" s="1"/>
  <c r="C1032" i="3"/>
  <c r="U1032" i="3" s="1"/>
  <c r="C1031" i="3"/>
  <c r="U1031" i="3" s="1"/>
  <c r="U1030" i="3"/>
  <c r="C1030" i="3"/>
  <c r="C1029" i="3"/>
  <c r="U1029" i="3" s="1"/>
  <c r="C1028" i="3"/>
  <c r="U1028" i="3" s="1"/>
  <c r="C1027" i="3"/>
  <c r="U1027" i="3" s="1"/>
  <c r="U1026" i="3"/>
  <c r="C1026" i="3"/>
  <c r="C1025" i="3"/>
  <c r="U1025" i="3" s="1"/>
  <c r="C1024" i="3"/>
  <c r="U1024" i="3" s="1"/>
  <c r="C1023" i="3"/>
  <c r="U1023" i="3" s="1"/>
  <c r="U1022" i="3"/>
  <c r="C1022" i="3"/>
  <c r="C1021" i="3"/>
  <c r="U1021" i="3" s="1"/>
  <c r="C1020" i="3"/>
  <c r="U1020" i="3" s="1"/>
  <c r="C1019" i="3"/>
  <c r="U1019" i="3" s="1"/>
  <c r="U1018" i="3"/>
  <c r="C1018" i="3"/>
  <c r="C1017" i="3"/>
  <c r="U1017" i="3" s="1"/>
  <c r="C1016" i="3"/>
  <c r="U1016" i="3" s="1"/>
  <c r="C1015" i="3"/>
  <c r="U1015" i="3" s="1"/>
  <c r="U1014" i="3"/>
  <c r="C1014" i="3"/>
  <c r="C1013" i="3"/>
  <c r="U1013" i="3" s="1"/>
  <c r="C1012" i="3"/>
  <c r="U1012" i="3" s="1"/>
  <c r="C1011" i="3"/>
  <c r="U1011" i="3" s="1"/>
  <c r="U1010" i="3"/>
  <c r="C1010" i="3"/>
  <c r="C1009" i="3"/>
  <c r="U1009" i="3" s="1"/>
  <c r="C1008" i="3"/>
  <c r="U1008" i="3" s="1"/>
  <c r="C1007" i="3"/>
  <c r="U1007" i="3" s="1"/>
  <c r="U1006" i="3"/>
  <c r="C1006" i="3"/>
  <c r="C1005" i="3"/>
  <c r="U1005" i="3" s="1"/>
  <c r="C1004" i="3"/>
  <c r="U1004" i="3" s="1"/>
  <c r="C1003" i="3"/>
  <c r="U1003" i="3" s="1"/>
  <c r="U1002" i="3"/>
  <c r="C1002" i="3"/>
  <c r="C1001" i="3"/>
  <c r="U1001" i="3" s="1"/>
  <c r="C1000" i="3"/>
  <c r="U1000" i="3" s="1"/>
  <c r="C999" i="3"/>
  <c r="U999" i="3" s="1"/>
  <c r="U998" i="3"/>
  <c r="C998" i="3"/>
  <c r="C997" i="3"/>
  <c r="U997" i="3" s="1"/>
  <c r="C996" i="3"/>
  <c r="U996" i="3" s="1"/>
  <c r="C995" i="3"/>
  <c r="U995" i="3" s="1"/>
  <c r="U994" i="3"/>
  <c r="C994" i="3"/>
  <c r="C993" i="3"/>
  <c r="U993" i="3" s="1"/>
  <c r="C992" i="3"/>
  <c r="U992" i="3" s="1"/>
  <c r="C991" i="3"/>
  <c r="U991" i="3" s="1"/>
  <c r="U990" i="3"/>
  <c r="C990" i="3"/>
  <c r="C989" i="3"/>
  <c r="U989" i="3" s="1"/>
  <c r="C988" i="3"/>
  <c r="U988" i="3" s="1"/>
  <c r="C987" i="3"/>
  <c r="U987" i="3" s="1"/>
  <c r="U986" i="3"/>
  <c r="C986" i="3"/>
  <c r="C985" i="3"/>
  <c r="U985" i="3" s="1"/>
  <c r="C984" i="3"/>
  <c r="U984" i="3" s="1"/>
  <c r="C983" i="3"/>
  <c r="U983" i="3" s="1"/>
  <c r="U982" i="3"/>
  <c r="C982" i="3"/>
  <c r="C981" i="3"/>
  <c r="U981" i="3" s="1"/>
  <c r="C980" i="3"/>
  <c r="U980" i="3" s="1"/>
  <c r="C979" i="3"/>
  <c r="U979" i="3" s="1"/>
  <c r="U978" i="3"/>
  <c r="C978" i="3"/>
  <c r="C977" i="3"/>
  <c r="U977" i="3" s="1"/>
  <c r="C976" i="3"/>
  <c r="U976" i="3" s="1"/>
  <c r="C975" i="3"/>
  <c r="U975" i="3" s="1"/>
  <c r="U974" i="3"/>
  <c r="C974" i="3"/>
  <c r="C973" i="3"/>
  <c r="U973" i="3" s="1"/>
  <c r="C972" i="3"/>
  <c r="U972" i="3" s="1"/>
  <c r="C971" i="3"/>
  <c r="U971" i="3" s="1"/>
  <c r="U970" i="3"/>
  <c r="C970" i="3"/>
  <c r="C969" i="3"/>
  <c r="U969" i="3" s="1"/>
  <c r="C968" i="3"/>
  <c r="U968" i="3" s="1"/>
  <c r="C967" i="3"/>
  <c r="U967" i="3" s="1"/>
  <c r="U966" i="3"/>
  <c r="C966" i="3"/>
  <c r="C965" i="3"/>
  <c r="U965" i="3" s="1"/>
  <c r="C964" i="3"/>
  <c r="U964" i="3" s="1"/>
  <c r="C963" i="3"/>
  <c r="U963" i="3" s="1"/>
  <c r="U962" i="3"/>
  <c r="C962" i="3"/>
  <c r="C961" i="3"/>
  <c r="U961" i="3" s="1"/>
  <c r="C960" i="3"/>
  <c r="U960" i="3" s="1"/>
  <c r="C959" i="3"/>
  <c r="U959" i="3" s="1"/>
  <c r="U958" i="3"/>
  <c r="C958" i="3"/>
  <c r="C957" i="3"/>
  <c r="U957" i="3" s="1"/>
  <c r="C956" i="3"/>
  <c r="U956" i="3" s="1"/>
  <c r="C955" i="3"/>
  <c r="U955" i="3" s="1"/>
  <c r="U954" i="3"/>
  <c r="C954" i="3"/>
  <c r="C953" i="3"/>
  <c r="U953" i="3" s="1"/>
  <c r="C952" i="3"/>
  <c r="U952" i="3" s="1"/>
  <c r="C951" i="3"/>
  <c r="U951" i="3" s="1"/>
  <c r="U950" i="3"/>
  <c r="C950" i="3"/>
  <c r="C949" i="3"/>
  <c r="U949" i="3" s="1"/>
  <c r="C948" i="3"/>
  <c r="U948" i="3" s="1"/>
  <c r="C947" i="3"/>
  <c r="U947" i="3" s="1"/>
  <c r="U946" i="3"/>
  <c r="C946" i="3"/>
  <c r="C945" i="3"/>
  <c r="U945" i="3" s="1"/>
  <c r="C944" i="3"/>
  <c r="U944" i="3" s="1"/>
  <c r="C943" i="3"/>
  <c r="U943" i="3" s="1"/>
  <c r="U942" i="3"/>
  <c r="C942" i="3"/>
  <c r="C941" i="3"/>
  <c r="U941" i="3" s="1"/>
  <c r="C940" i="3"/>
  <c r="U940" i="3" s="1"/>
  <c r="C939" i="3"/>
  <c r="U939" i="3" s="1"/>
  <c r="U938" i="3"/>
  <c r="C938" i="3"/>
  <c r="C937" i="3"/>
  <c r="U937" i="3" s="1"/>
  <c r="C936" i="3"/>
  <c r="U936" i="3" s="1"/>
  <c r="C935" i="3"/>
  <c r="U935" i="3" s="1"/>
  <c r="U934" i="3"/>
  <c r="C934" i="3"/>
  <c r="C933" i="3"/>
  <c r="U933" i="3" s="1"/>
  <c r="C932" i="3"/>
  <c r="U932" i="3" s="1"/>
  <c r="C931" i="3"/>
  <c r="U931" i="3" s="1"/>
  <c r="U930" i="3"/>
  <c r="C930" i="3"/>
  <c r="C929" i="3"/>
  <c r="U929" i="3" s="1"/>
  <c r="C928" i="3"/>
  <c r="U928" i="3" s="1"/>
  <c r="C927" i="3"/>
  <c r="U927" i="3" s="1"/>
  <c r="U926" i="3"/>
  <c r="C926" i="3"/>
  <c r="C925" i="3"/>
  <c r="U925" i="3" s="1"/>
  <c r="C924" i="3"/>
  <c r="U924" i="3" s="1"/>
  <c r="C923" i="3"/>
  <c r="U923" i="3" s="1"/>
  <c r="U922" i="3"/>
  <c r="C922" i="3"/>
  <c r="C921" i="3"/>
  <c r="U921" i="3" s="1"/>
  <c r="C920" i="3"/>
  <c r="U920" i="3" s="1"/>
  <c r="C919" i="3"/>
  <c r="U919" i="3" s="1"/>
  <c r="U918" i="3"/>
  <c r="C918" i="3"/>
  <c r="C917" i="3"/>
  <c r="U917" i="3" s="1"/>
  <c r="C916" i="3"/>
  <c r="U916" i="3" s="1"/>
  <c r="C915" i="3"/>
  <c r="U915" i="3" s="1"/>
  <c r="U914" i="3"/>
  <c r="C914" i="3"/>
  <c r="C913" i="3"/>
  <c r="U913" i="3" s="1"/>
  <c r="C912" i="3"/>
  <c r="U912" i="3" s="1"/>
  <c r="C911" i="3"/>
  <c r="U911" i="3" s="1"/>
  <c r="U910" i="3"/>
  <c r="C910" i="3"/>
  <c r="C909" i="3"/>
  <c r="U909" i="3" s="1"/>
  <c r="C908" i="3"/>
  <c r="U908" i="3" s="1"/>
  <c r="C907" i="3"/>
  <c r="U907" i="3" s="1"/>
  <c r="U906" i="3"/>
  <c r="C906" i="3"/>
  <c r="C905" i="3"/>
  <c r="U905" i="3" s="1"/>
  <c r="C904" i="3"/>
  <c r="U904" i="3" s="1"/>
  <c r="C903" i="3"/>
  <c r="U903" i="3" s="1"/>
  <c r="U902" i="3"/>
  <c r="C902" i="3"/>
  <c r="C901" i="3"/>
  <c r="U901" i="3" s="1"/>
  <c r="C900" i="3"/>
  <c r="U900" i="3" s="1"/>
  <c r="C899" i="3"/>
  <c r="U899" i="3" s="1"/>
  <c r="U898" i="3"/>
  <c r="C898" i="3"/>
  <c r="C897" i="3"/>
  <c r="U897" i="3" s="1"/>
  <c r="C896" i="3"/>
  <c r="U896" i="3" s="1"/>
  <c r="C895" i="3"/>
  <c r="U895" i="3" s="1"/>
  <c r="U894" i="3"/>
  <c r="C894" i="3"/>
  <c r="C893" i="3"/>
  <c r="U893" i="3" s="1"/>
  <c r="C892" i="3"/>
  <c r="U892" i="3" s="1"/>
  <c r="C891" i="3"/>
  <c r="U891" i="3" s="1"/>
  <c r="U890" i="3"/>
  <c r="C890" i="3"/>
  <c r="C889" i="3"/>
  <c r="U889" i="3" s="1"/>
  <c r="C888" i="3"/>
  <c r="U888" i="3" s="1"/>
  <c r="C887" i="3"/>
  <c r="U887" i="3" s="1"/>
  <c r="U886" i="3"/>
  <c r="C886" i="3"/>
  <c r="C885" i="3"/>
  <c r="U885" i="3" s="1"/>
  <c r="C884" i="3"/>
  <c r="U884" i="3" s="1"/>
  <c r="C883" i="3"/>
  <c r="U883" i="3" s="1"/>
  <c r="U882" i="3"/>
  <c r="C882" i="3"/>
  <c r="C881" i="3"/>
  <c r="U881" i="3" s="1"/>
  <c r="C880" i="3"/>
  <c r="U880" i="3" s="1"/>
  <c r="C879" i="3"/>
  <c r="U879" i="3" s="1"/>
  <c r="U878" i="3"/>
  <c r="C878" i="3"/>
  <c r="C877" i="3"/>
  <c r="U877" i="3" s="1"/>
  <c r="C876" i="3"/>
  <c r="U876" i="3" s="1"/>
  <c r="C875" i="3"/>
  <c r="U875" i="3" s="1"/>
  <c r="U874" i="3"/>
  <c r="C874" i="3"/>
  <c r="C873" i="3"/>
  <c r="U873" i="3" s="1"/>
  <c r="C872" i="3"/>
  <c r="U872" i="3" s="1"/>
  <c r="C871" i="3"/>
  <c r="U871" i="3" s="1"/>
  <c r="U870" i="3"/>
  <c r="C870" i="3"/>
  <c r="C869" i="3"/>
  <c r="U869" i="3" s="1"/>
  <c r="C868" i="3"/>
  <c r="U868" i="3" s="1"/>
  <c r="C867" i="3"/>
  <c r="U867" i="3" s="1"/>
  <c r="U866" i="3"/>
  <c r="C866" i="3"/>
  <c r="C865" i="3"/>
  <c r="U865" i="3" s="1"/>
  <c r="C864" i="3"/>
  <c r="U864" i="3" s="1"/>
  <c r="C863" i="3"/>
  <c r="U863" i="3" s="1"/>
  <c r="U862" i="3"/>
  <c r="C862" i="3"/>
  <c r="C861" i="3"/>
  <c r="U861" i="3" s="1"/>
  <c r="C860" i="3"/>
  <c r="U860" i="3" s="1"/>
  <c r="C859" i="3"/>
  <c r="U859" i="3" s="1"/>
  <c r="U858" i="3"/>
  <c r="C858" i="3"/>
  <c r="C857" i="3"/>
  <c r="U857" i="3" s="1"/>
  <c r="C856" i="3"/>
  <c r="U856" i="3" s="1"/>
  <c r="C855" i="3"/>
  <c r="U855" i="3" s="1"/>
  <c r="U854" i="3"/>
  <c r="C854" i="3"/>
  <c r="C853" i="3"/>
  <c r="U853" i="3" s="1"/>
  <c r="C852" i="3"/>
  <c r="U852" i="3" s="1"/>
  <c r="C851" i="3"/>
  <c r="U851" i="3" s="1"/>
  <c r="U850" i="3"/>
  <c r="C850" i="3"/>
  <c r="C849" i="3"/>
  <c r="U849" i="3" s="1"/>
  <c r="C848" i="3"/>
  <c r="U848" i="3" s="1"/>
  <c r="C847" i="3"/>
  <c r="U847" i="3" s="1"/>
  <c r="C846" i="3"/>
  <c r="U846" i="3" s="1"/>
  <c r="C845" i="3"/>
  <c r="U845" i="3" s="1"/>
  <c r="C844" i="3"/>
  <c r="U844" i="3" s="1"/>
  <c r="C843" i="3"/>
  <c r="U843" i="3" s="1"/>
  <c r="C842" i="3"/>
  <c r="U842" i="3" s="1"/>
  <c r="C841" i="3"/>
  <c r="U841" i="3" s="1"/>
  <c r="C840" i="3"/>
  <c r="U840" i="3" s="1"/>
  <c r="C839" i="3"/>
  <c r="U839" i="3" s="1"/>
  <c r="C838" i="3"/>
  <c r="U838" i="3" s="1"/>
  <c r="C837" i="3"/>
  <c r="U837" i="3" s="1"/>
  <c r="C836" i="3"/>
  <c r="U836" i="3" s="1"/>
  <c r="C835" i="3"/>
  <c r="U835" i="3" s="1"/>
  <c r="C834" i="3"/>
  <c r="U834" i="3" s="1"/>
  <c r="C833" i="3"/>
  <c r="U833" i="3" s="1"/>
  <c r="C832" i="3"/>
  <c r="U832" i="3" s="1"/>
  <c r="C831" i="3"/>
  <c r="U831" i="3" s="1"/>
  <c r="C830" i="3"/>
  <c r="U830" i="3" s="1"/>
  <c r="C829" i="3"/>
  <c r="U829" i="3" s="1"/>
  <c r="C828" i="3"/>
  <c r="U828" i="3" s="1"/>
  <c r="C827" i="3"/>
  <c r="U827" i="3" s="1"/>
  <c r="C826" i="3"/>
  <c r="U826" i="3" s="1"/>
  <c r="C825" i="3"/>
  <c r="U825" i="3" s="1"/>
  <c r="C824" i="3"/>
  <c r="U824" i="3" s="1"/>
  <c r="C823" i="3"/>
  <c r="U823" i="3" s="1"/>
  <c r="C822" i="3"/>
  <c r="U822" i="3" s="1"/>
  <c r="C821" i="3"/>
  <c r="U821" i="3" s="1"/>
  <c r="C820" i="3"/>
  <c r="U820" i="3" s="1"/>
  <c r="C819" i="3"/>
  <c r="U819" i="3" s="1"/>
  <c r="C818" i="3"/>
  <c r="U818" i="3" s="1"/>
  <c r="C817" i="3"/>
  <c r="U817" i="3" s="1"/>
  <c r="C816" i="3"/>
  <c r="U816" i="3" s="1"/>
  <c r="C815" i="3"/>
  <c r="U815" i="3" s="1"/>
  <c r="C814" i="3"/>
  <c r="U814" i="3" s="1"/>
  <c r="C813" i="3"/>
  <c r="U813" i="3" s="1"/>
  <c r="C812" i="3"/>
  <c r="U812" i="3" s="1"/>
  <c r="C811" i="3"/>
  <c r="U811" i="3" s="1"/>
  <c r="C810" i="3"/>
  <c r="U810" i="3" s="1"/>
  <c r="C809" i="3"/>
  <c r="U809" i="3" s="1"/>
  <c r="C808" i="3"/>
  <c r="U808" i="3" s="1"/>
  <c r="C807" i="3"/>
  <c r="U807" i="3" s="1"/>
  <c r="C806" i="3"/>
  <c r="U806" i="3" s="1"/>
  <c r="C805" i="3"/>
  <c r="U805" i="3" s="1"/>
  <c r="C804" i="3"/>
  <c r="U804" i="3" s="1"/>
  <c r="C803" i="3"/>
  <c r="U803" i="3" s="1"/>
  <c r="C802" i="3"/>
  <c r="U802" i="3" s="1"/>
  <c r="C801" i="3"/>
  <c r="U801" i="3" s="1"/>
  <c r="C800" i="3"/>
  <c r="U800" i="3" s="1"/>
  <c r="C799" i="3"/>
  <c r="U799" i="3" s="1"/>
  <c r="C798" i="3"/>
  <c r="U798" i="3" s="1"/>
  <c r="C797" i="3"/>
  <c r="U797" i="3" s="1"/>
  <c r="C796" i="3"/>
  <c r="U796" i="3" s="1"/>
  <c r="C795" i="3"/>
  <c r="U795" i="3" s="1"/>
  <c r="C794" i="3"/>
  <c r="U794" i="3" s="1"/>
  <c r="C793" i="3"/>
  <c r="U793" i="3" s="1"/>
  <c r="C792" i="3"/>
  <c r="U792" i="3" s="1"/>
  <c r="C791" i="3"/>
  <c r="U791" i="3" s="1"/>
  <c r="C790" i="3"/>
  <c r="U790" i="3" s="1"/>
  <c r="C789" i="3"/>
  <c r="U789" i="3" s="1"/>
  <c r="C788" i="3"/>
  <c r="U788" i="3" s="1"/>
  <c r="C787" i="3"/>
  <c r="U787" i="3" s="1"/>
  <c r="C786" i="3"/>
  <c r="U786" i="3" s="1"/>
  <c r="C785" i="3"/>
  <c r="U785" i="3" s="1"/>
  <c r="C784" i="3"/>
  <c r="U784" i="3" s="1"/>
  <c r="C783" i="3"/>
  <c r="U783" i="3" s="1"/>
  <c r="C782" i="3"/>
  <c r="U782" i="3" s="1"/>
  <c r="C781" i="3"/>
  <c r="U781" i="3" s="1"/>
  <c r="C780" i="3"/>
  <c r="U780" i="3" s="1"/>
  <c r="C779" i="3"/>
  <c r="U779" i="3" s="1"/>
  <c r="C778" i="3"/>
  <c r="U778" i="3" s="1"/>
  <c r="C777" i="3"/>
  <c r="U777" i="3" s="1"/>
  <c r="C776" i="3"/>
  <c r="U776" i="3" s="1"/>
  <c r="C775" i="3"/>
  <c r="U775" i="3" s="1"/>
  <c r="C774" i="3"/>
  <c r="U774" i="3" s="1"/>
  <c r="C773" i="3"/>
  <c r="U773" i="3" s="1"/>
  <c r="C772" i="3"/>
  <c r="U772" i="3" s="1"/>
  <c r="C771" i="3"/>
  <c r="U771" i="3" s="1"/>
  <c r="C770" i="3"/>
  <c r="U770" i="3" s="1"/>
  <c r="C769" i="3"/>
  <c r="U769" i="3" s="1"/>
  <c r="C768" i="3"/>
  <c r="U768" i="3" s="1"/>
  <c r="C767" i="3"/>
  <c r="U767" i="3" s="1"/>
  <c r="C766" i="3"/>
  <c r="U766" i="3" s="1"/>
  <c r="C765" i="3"/>
  <c r="U765" i="3" s="1"/>
  <c r="C764" i="3"/>
  <c r="U764" i="3" s="1"/>
  <c r="C763" i="3"/>
  <c r="U763" i="3" s="1"/>
  <c r="C762" i="3"/>
  <c r="U762" i="3" s="1"/>
  <c r="C761" i="3"/>
  <c r="U761" i="3" s="1"/>
  <c r="C760" i="3"/>
  <c r="U760" i="3" s="1"/>
  <c r="C759" i="3"/>
  <c r="U759" i="3" s="1"/>
  <c r="C758" i="3"/>
  <c r="U758" i="3" s="1"/>
  <c r="C757" i="3"/>
  <c r="U757" i="3" s="1"/>
  <c r="C756" i="3"/>
  <c r="U756" i="3" s="1"/>
  <c r="C755" i="3"/>
  <c r="U755" i="3" s="1"/>
  <c r="C754" i="3"/>
  <c r="U754" i="3" s="1"/>
  <c r="C753" i="3"/>
  <c r="U753" i="3" s="1"/>
  <c r="C752" i="3"/>
  <c r="U752" i="3" s="1"/>
  <c r="C751" i="3"/>
  <c r="U751" i="3" s="1"/>
  <c r="C750" i="3"/>
  <c r="U750" i="3" s="1"/>
  <c r="C749" i="3"/>
  <c r="U749" i="3" s="1"/>
  <c r="C748" i="3"/>
  <c r="U748" i="3" s="1"/>
  <c r="C747" i="3"/>
  <c r="U747" i="3" s="1"/>
  <c r="C746" i="3"/>
  <c r="U746" i="3" s="1"/>
  <c r="C745" i="3"/>
  <c r="U745" i="3" s="1"/>
  <c r="C744" i="3"/>
  <c r="U744" i="3" s="1"/>
  <c r="C743" i="3"/>
  <c r="U743" i="3" s="1"/>
  <c r="C742" i="3"/>
  <c r="U742" i="3" s="1"/>
  <c r="C741" i="3"/>
  <c r="U741" i="3" s="1"/>
  <c r="C740" i="3"/>
  <c r="U740" i="3" s="1"/>
  <c r="C739" i="3"/>
  <c r="U739" i="3" s="1"/>
  <c r="C738" i="3"/>
  <c r="U738" i="3" s="1"/>
  <c r="C737" i="3"/>
  <c r="U737" i="3" s="1"/>
  <c r="C736" i="3"/>
  <c r="U736" i="3" s="1"/>
  <c r="C735" i="3"/>
  <c r="U735" i="3" s="1"/>
  <c r="C734" i="3"/>
  <c r="U734" i="3" s="1"/>
  <c r="C733" i="3"/>
  <c r="U733" i="3" s="1"/>
  <c r="C732" i="3"/>
  <c r="U732" i="3" s="1"/>
  <c r="C731" i="3"/>
  <c r="U731" i="3" s="1"/>
  <c r="C730" i="3"/>
  <c r="U730" i="3" s="1"/>
  <c r="C729" i="3"/>
  <c r="U729" i="3" s="1"/>
  <c r="C728" i="3"/>
  <c r="U728" i="3" s="1"/>
  <c r="C727" i="3"/>
  <c r="U727" i="3" s="1"/>
  <c r="C726" i="3"/>
  <c r="U726" i="3" s="1"/>
  <c r="C725" i="3"/>
  <c r="U725" i="3" s="1"/>
  <c r="C724" i="3"/>
  <c r="U724" i="3" s="1"/>
  <c r="C723" i="3"/>
  <c r="U723" i="3" s="1"/>
  <c r="C722" i="3"/>
  <c r="U722" i="3" s="1"/>
  <c r="C721" i="3"/>
  <c r="U721" i="3" s="1"/>
  <c r="C720" i="3"/>
  <c r="U720" i="3" s="1"/>
  <c r="C719" i="3"/>
  <c r="U719" i="3" s="1"/>
  <c r="C718" i="3"/>
  <c r="U718" i="3" s="1"/>
  <c r="C717" i="3"/>
  <c r="U717" i="3" s="1"/>
  <c r="C716" i="3"/>
  <c r="U716" i="3" s="1"/>
  <c r="C715" i="3"/>
  <c r="U715" i="3" s="1"/>
  <c r="C714" i="3"/>
  <c r="U714" i="3" s="1"/>
  <c r="C713" i="3"/>
  <c r="U713" i="3" s="1"/>
  <c r="C712" i="3"/>
  <c r="U712" i="3" s="1"/>
  <c r="C711" i="3"/>
  <c r="U711" i="3" s="1"/>
  <c r="C710" i="3"/>
  <c r="U710" i="3" s="1"/>
  <c r="C709" i="3"/>
  <c r="U709" i="3" s="1"/>
  <c r="C708" i="3"/>
  <c r="U708" i="3" s="1"/>
  <c r="C707" i="3"/>
  <c r="U707" i="3" s="1"/>
  <c r="C706" i="3"/>
  <c r="U706" i="3" s="1"/>
  <c r="C705" i="3"/>
  <c r="U705" i="3" s="1"/>
  <c r="C704" i="3"/>
  <c r="U704" i="3" s="1"/>
  <c r="C703" i="3"/>
  <c r="U703" i="3" s="1"/>
  <c r="C702" i="3"/>
  <c r="U702" i="3" s="1"/>
  <c r="C701" i="3"/>
  <c r="U701" i="3" s="1"/>
  <c r="C700" i="3"/>
  <c r="U700" i="3" s="1"/>
  <c r="C699" i="3"/>
  <c r="U699" i="3" s="1"/>
  <c r="C698" i="3"/>
  <c r="U698" i="3" s="1"/>
  <c r="C697" i="3"/>
  <c r="U697" i="3" s="1"/>
  <c r="C696" i="3"/>
  <c r="U696" i="3" s="1"/>
  <c r="C695" i="3"/>
  <c r="U695" i="3" s="1"/>
  <c r="C694" i="3"/>
  <c r="U694" i="3" s="1"/>
  <c r="C693" i="3"/>
  <c r="U693" i="3" s="1"/>
  <c r="C692" i="3"/>
  <c r="U692" i="3" s="1"/>
  <c r="C691" i="3"/>
  <c r="U691" i="3" s="1"/>
  <c r="C690" i="3"/>
  <c r="U690" i="3" s="1"/>
  <c r="C689" i="3"/>
  <c r="U689" i="3" s="1"/>
  <c r="C688" i="3"/>
  <c r="U688" i="3" s="1"/>
  <c r="C687" i="3"/>
  <c r="U687" i="3" s="1"/>
  <c r="C686" i="3"/>
  <c r="U686" i="3" s="1"/>
  <c r="C685" i="3"/>
  <c r="U685" i="3" s="1"/>
  <c r="C684" i="3"/>
  <c r="U684" i="3" s="1"/>
  <c r="C683" i="3"/>
  <c r="U683" i="3" s="1"/>
  <c r="C682" i="3"/>
  <c r="U682" i="3" s="1"/>
  <c r="C681" i="3"/>
  <c r="U681" i="3" s="1"/>
  <c r="C680" i="3"/>
  <c r="U680" i="3" s="1"/>
  <c r="C679" i="3"/>
  <c r="U679" i="3" s="1"/>
  <c r="C678" i="3"/>
  <c r="U678" i="3" s="1"/>
  <c r="C677" i="3"/>
  <c r="U677" i="3" s="1"/>
  <c r="C676" i="3"/>
  <c r="U676" i="3" s="1"/>
  <c r="C675" i="3"/>
  <c r="U675" i="3" s="1"/>
  <c r="C674" i="3"/>
  <c r="U674" i="3" s="1"/>
  <c r="C673" i="3"/>
  <c r="U673" i="3" s="1"/>
  <c r="C672" i="3"/>
  <c r="U672" i="3" s="1"/>
  <c r="C671" i="3"/>
  <c r="U671" i="3" s="1"/>
  <c r="C670" i="3"/>
  <c r="U670" i="3" s="1"/>
  <c r="C669" i="3"/>
  <c r="U669" i="3" s="1"/>
  <c r="C668" i="3"/>
  <c r="U668" i="3" s="1"/>
  <c r="C667" i="3"/>
  <c r="U667" i="3" s="1"/>
  <c r="C666" i="3"/>
  <c r="U666" i="3" s="1"/>
  <c r="C665" i="3"/>
  <c r="U665" i="3" s="1"/>
  <c r="C664" i="3"/>
  <c r="U664" i="3" s="1"/>
  <c r="C663" i="3"/>
  <c r="U663" i="3" s="1"/>
  <c r="C662" i="3"/>
  <c r="U662" i="3" s="1"/>
  <c r="C661" i="3"/>
  <c r="U661" i="3" s="1"/>
  <c r="C660" i="3"/>
  <c r="U660" i="3" s="1"/>
  <c r="C659" i="3"/>
  <c r="U659" i="3" s="1"/>
  <c r="C658" i="3"/>
  <c r="U658" i="3" s="1"/>
  <c r="C657" i="3"/>
  <c r="U657" i="3" s="1"/>
  <c r="C656" i="3"/>
  <c r="U656" i="3" s="1"/>
  <c r="C655" i="3"/>
  <c r="U655" i="3" s="1"/>
  <c r="C654" i="3"/>
  <c r="U654" i="3" s="1"/>
  <c r="C653" i="3"/>
  <c r="U653" i="3" s="1"/>
  <c r="C652" i="3"/>
  <c r="U652" i="3" s="1"/>
  <c r="C651" i="3"/>
  <c r="U651" i="3" s="1"/>
  <c r="C650" i="3"/>
  <c r="U650" i="3" s="1"/>
  <c r="C649" i="3"/>
  <c r="U649" i="3" s="1"/>
  <c r="C648" i="3"/>
  <c r="U648" i="3" s="1"/>
  <c r="C647" i="3"/>
  <c r="U647" i="3" s="1"/>
  <c r="C646" i="3"/>
  <c r="U646" i="3" s="1"/>
  <c r="C645" i="3"/>
  <c r="U645" i="3" s="1"/>
  <c r="C644" i="3"/>
  <c r="U644" i="3" s="1"/>
  <c r="C643" i="3"/>
  <c r="U643" i="3" s="1"/>
  <c r="C642" i="3"/>
  <c r="U642" i="3" s="1"/>
  <c r="C641" i="3"/>
  <c r="U641" i="3" s="1"/>
  <c r="C640" i="3"/>
  <c r="U640" i="3" s="1"/>
  <c r="C639" i="3"/>
  <c r="U639" i="3" s="1"/>
  <c r="C638" i="3"/>
  <c r="U638" i="3" s="1"/>
  <c r="C637" i="3"/>
  <c r="U637" i="3" s="1"/>
  <c r="C636" i="3"/>
  <c r="U636" i="3" s="1"/>
  <c r="C635" i="3"/>
  <c r="U635" i="3" s="1"/>
  <c r="C634" i="3"/>
  <c r="U634" i="3" s="1"/>
  <c r="C633" i="3"/>
  <c r="U633" i="3" s="1"/>
  <c r="C632" i="3"/>
  <c r="U632" i="3" s="1"/>
  <c r="C631" i="3"/>
  <c r="U631" i="3" s="1"/>
  <c r="C630" i="3"/>
  <c r="U630" i="3" s="1"/>
  <c r="C629" i="3"/>
  <c r="U629" i="3" s="1"/>
  <c r="C628" i="3"/>
  <c r="U628" i="3" s="1"/>
  <c r="C627" i="3"/>
  <c r="U627" i="3" s="1"/>
  <c r="C626" i="3"/>
  <c r="U626" i="3" s="1"/>
  <c r="C625" i="3"/>
  <c r="U625" i="3" s="1"/>
  <c r="C624" i="3"/>
  <c r="U624" i="3" s="1"/>
  <c r="C623" i="3"/>
  <c r="U623" i="3" s="1"/>
  <c r="C622" i="3"/>
  <c r="U622" i="3" s="1"/>
  <c r="C621" i="3"/>
  <c r="U621" i="3" s="1"/>
  <c r="C620" i="3"/>
  <c r="U620" i="3" s="1"/>
  <c r="C619" i="3"/>
  <c r="U619" i="3" s="1"/>
  <c r="C618" i="3"/>
  <c r="U618" i="3" s="1"/>
  <c r="C617" i="3"/>
  <c r="U617" i="3" s="1"/>
  <c r="C616" i="3"/>
  <c r="U616" i="3" s="1"/>
  <c r="C615" i="3"/>
  <c r="U615" i="3" s="1"/>
  <c r="C614" i="3"/>
  <c r="U614" i="3" s="1"/>
  <c r="C613" i="3"/>
  <c r="U613" i="3" s="1"/>
  <c r="C612" i="3"/>
  <c r="U612" i="3" s="1"/>
  <c r="U611" i="3"/>
  <c r="C611" i="3"/>
  <c r="C610" i="3"/>
  <c r="U610" i="3" s="1"/>
  <c r="C609" i="3"/>
  <c r="U609" i="3" s="1"/>
  <c r="C608" i="3"/>
  <c r="U608" i="3" s="1"/>
  <c r="U607" i="3"/>
  <c r="C607" i="3"/>
  <c r="C606" i="3"/>
  <c r="U606" i="3" s="1"/>
  <c r="C605" i="3"/>
  <c r="U605" i="3" s="1"/>
  <c r="C604" i="3"/>
  <c r="U604" i="3" s="1"/>
  <c r="U603" i="3"/>
  <c r="C603" i="3"/>
  <c r="C602" i="3"/>
  <c r="U602" i="3" s="1"/>
  <c r="C601" i="3"/>
  <c r="U601" i="3" s="1"/>
  <c r="C600" i="3"/>
  <c r="U600" i="3" s="1"/>
  <c r="U599" i="3"/>
  <c r="C599" i="3"/>
  <c r="C598" i="3"/>
  <c r="U598" i="3" s="1"/>
  <c r="C597" i="3"/>
  <c r="U597" i="3" s="1"/>
  <c r="C596" i="3"/>
  <c r="U596" i="3" s="1"/>
  <c r="U595" i="3"/>
  <c r="C595" i="3"/>
  <c r="C594" i="3"/>
  <c r="U594" i="3" s="1"/>
  <c r="C593" i="3"/>
  <c r="U593" i="3" s="1"/>
  <c r="C592" i="3"/>
  <c r="U592" i="3" s="1"/>
  <c r="C591" i="3"/>
  <c r="U591" i="3" s="1"/>
  <c r="C590" i="3"/>
  <c r="U590" i="3" s="1"/>
  <c r="C589" i="3"/>
  <c r="U589" i="3" s="1"/>
  <c r="C588" i="3"/>
  <c r="U588" i="3" s="1"/>
  <c r="C587" i="3"/>
  <c r="U587" i="3" s="1"/>
  <c r="C586" i="3"/>
  <c r="U586" i="3" s="1"/>
  <c r="C585" i="3"/>
  <c r="U585" i="3" s="1"/>
  <c r="C584" i="3"/>
  <c r="U584" i="3" s="1"/>
  <c r="C583" i="3"/>
  <c r="U583" i="3" s="1"/>
  <c r="C582" i="3"/>
  <c r="U582" i="3" s="1"/>
  <c r="C581" i="3"/>
  <c r="U581" i="3" s="1"/>
  <c r="C580" i="3"/>
  <c r="U580" i="3" s="1"/>
  <c r="C579" i="3"/>
  <c r="U579" i="3" s="1"/>
  <c r="C578" i="3"/>
  <c r="U578" i="3" s="1"/>
  <c r="C577" i="3"/>
  <c r="U577" i="3" s="1"/>
  <c r="C576" i="3"/>
  <c r="U576" i="3" s="1"/>
  <c r="C575" i="3"/>
  <c r="U575" i="3" s="1"/>
  <c r="C574" i="3"/>
  <c r="U574" i="3" s="1"/>
  <c r="C573" i="3"/>
  <c r="U573" i="3" s="1"/>
  <c r="C572" i="3"/>
  <c r="U572" i="3" s="1"/>
  <c r="C571" i="3"/>
  <c r="U571" i="3" s="1"/>
  <c r="C570" i="3"/>
  <c r="U570" i="3" s="1"/>
  <c r="C569" i="3"/>
  <c r="U569" i="3" s="1"/>
  <c r="C568" i="3"/>
  <c r="U568" i="3" s="1"/>
  <c r="C567" i="3"/>
  <c r="U567" i="3" s="1"/>
  <c r="C566" i="3"/>
  <c r="U566" i="3" s="1"/>
  <c r="C565" i="3"/>
  <c r="U565" i="3" s="1"/>
  <c r="C564" i="3"/>
  <c r="U564" i="3" s="1"/>
  <c r="C563" i="3"/>
  <c r="U563" i="3" s="1"/>
  <c r="C562" i="3"/>
  <c r="U562" i="3" s="1"/>
  <c r="C561" i="3"/>
  <c r="U561" i="3" s="1"/>
  <c r="C560" i="3"/>
  <c r="U560" i="3" s="1"/>
  <c r="C559" i="3"/>
  <c r="U559" i="3" s="1"/>
  <c r="C558" i="3"/>
  <c r="U558" i="3" s="1"/>
  <c r="C557" i="3"/>
  <c r="U557" i="3" s="1"/>
  <c r="C556" i="3"/>
  <c r="U556" i="3" s="1"/>
  <c r="C555" i="3"/>
  <c r="U555" i="3" s="1"/>
  <c r="C554" i="3"/>
  <c r="U554" i="3" s="1"/>
  <c r="C553" i="3"/>
  <c r="U553" i="3" s="1"/>
  <c r="C552" i="3"/>
  <c r="U552" i="3" s="1"/>
  <c r="C551" i="3"/>
  <c r="U551" i="3" s="1"/>
  <c r="C550" i="3"/>
  <c r="U550" i="3" s="1"/>
  <c r="C549" i="3"/>
  <c r="U549" i="3" s="1"/>
  <c r="C548" i="3"/>
  <c r="U548" i="3" s="1"/>
  <c r="C547" i="3"/>
  <c r="U547" i="3" s="1"/>
  <c r="C546" i="3"/>
  <c r="U546" i="3" s="1"/>
  <c r="C545" i="3"/>
  <c r="U545" i="3" s="1"/>
  <c r="C544" i="3"/>
  <c r="U544" i="3" s="1"/>
  <c r="C543" i="3"/>
  <c r="U543" i="3" s="1"/>
  <c r="C542" i="3"/>
  <c r="U542" i="3" s="1"/>
  <c r="C541" i="3"/>
  <c r="U541" i="3" s="1"/>
  <c r="C540" i="3"/>
  <c r="U540" i="3" s="1"/>
  <c r="C539" i="3"/>
  <c r="U539" i="3" s="1"/>
  <c r="C538" i="3"/>
  <c r="U538" i="3" s="1"/>
  <c r="C537" i="3"/>
  <c r="U537" i="3" s="1"/>
  <c r="C536" i="3"/>
  <c r="U536" i="3" s="1"/>
  <c r="C535" i="3"/>
  <c r="U535" i="3" s="1"/>
  <c r="C534" i="3"/>
  <c r="U534" i="3" s="1"/>
  <c r="C533" i="3"/>
  <c r="U533" i="3" s="1"/>
  <c r="C532" i="3"/>
  <c r="U532" i="3" s="1"/>
  <c r="C531" i="3"/>
  <c r="U531" i="3" s="1"/>
  <c r="C530" i="3"/>
  <c r="U530" i="3" s="1"/>
  <c r="C529" i="3"/>
  <c r="U529" i="3" s="1"/>
  <c r="C528" i="3"/>
  <c r="U528" i="3" s="1"/>
  <c r="C527" i="3"/>
  <c r="U527" i="3" s="1"/>
  <c r="C526" i="3"/>
  <c r="U526" i="3" s="1"/>
  <c r="C525" i="3"/>
  <c r="U525" i="3" s="1"/>
  <c r="C524" i="3"/>
  <c r="U524" i="3" s="1"/>
  <c r="C523" i="3"/>
  <c r="U523" i="3" s="1"/>
  <c r="C522" i="3"/>
  <c r="U522" i="3" s="1"/>
  <c r="C521" i="3"/>
  <c r="U521" i="3" s="1"/>
  <c r="C520" i="3"/>
  <c r="U520" i="3" s="1"/>
  <c r="C519" i="3"/>
  <c r="U519" i="3" s="1"/>
  <c r="C518" i="3"/>
  <c r="U518" i="3" s="1"/>
  <c r="C517" i="3"/>
  <c r="U517" i="3" s="1"/>
  <c r="C516" i="3"/>
  <c r="U516" i="3" s="1"/>
  <c r="C515" i="3"/>
  <c r="U515" i="3" s="1"/>
  <c r="C514" i="3"/>
  <c r="U514" i="3" s="1"/>
  <c r="C513" i="3"/>
  <c r="U513" i="3" s="1"/>
  <c r="C512" i="3"/>
  <c r="U512" i="3" s="1"/>
  <c r="C511" i="3"/>
  <c r="U511" i="3" s="1"/>
  <c r="C510" i="3"/>
  <c r="U510" i="3" s="1"/>
  <c r="C509" i="3"/>
  <c r="U509" i="3" s="1"/>
  <c r="C508" i="3"/>
  <c r="U508" i="3" s="1"/>
  <c r="C507" i="3"/>
  <c r="U507" i="3" s="1"/>
  <c r="C506" i="3"/>
  <c r="U506" i="3" s="1"/>
  <c r="C505" i="3"/>
  <c r="U505" i="3" s="1"/>
  <c r="C504" i="3"/>
  <c r="U504" i="3" s="1"/>
  <c r="C503" i="3"/>
  <c r="U503" i="3" s="1"/>
  <c r="C502" i="3"/>
  <c r="U502" i="3" s="1"/>
  <c r="C501" i="3"/>
  <c r="U501" i="3" s="1"/>
  <c r="C500" i="3"/>
  <c r="U500" i="3" s="1"/>
  <c r="C499" i="3"/>
  <c r="U499" i="3" s="1"/>
  <c r="C498" i="3"/>
  <c r="U498" i="3" s="1"/>
  <c r="C497" i="3"/>
  <c r="U497" i="3" s="1"/>
  <c r="C496" i="3"/>
  <c r="U496" i="3" s="1"/>
  <c r="C495" i="3"/>
  <c r="U495" i="3" s="1"/>
  <c r="C494" i="3"/>
  <c r="U494" i="3" s="1"/>
  <c r="C493" i="3"/>
  <c r="U493" i="3" s="1"/>
  <c r="C492" i="3"/>
  <c r="U492" i="3" s="1"/>
  <c r="C491" i="3"/>
  <c r="U491" i="3" s="1"/>
  <c r="C490" i="3"/>
  <c r="U490" i="3" s="1"/>
  <c r="C489" i="3"/>
  <c r="U489" i="3" s="1"/>
  <c r="C488" i="3"/>
  <c r="U488" i="3" s="1"/>
  <c r="C487" i="3"/>
  <c r="U487" i="3" s="1"/>
  <c r="C486" i="3"/>
  <c r="U486" i="3" s="1"/>
  <c r="C485" i="3"/>
  <c r="U485" i="3" s="1"/>
  <c r="C484" i="3"/>
  <c r="U484" i="3" s="1"/>
  <c r="C483" i="3"/>
  <c r="U483" i="3" s="1"/>
  <c r="C482" i="3"/>
  <c r="U482" i="3" s="1"/>
  <c r="C481" i="3"/>
  <c r="U481" i="3" s="1"/>
  <c r="C480" i="3"/>
  <c r="U480" i="3" s="1"/>
  <c r="C479" i="3"/>
  <c r="U479" i="3" s="1"/>
  <c r="C478" i="3"/>
  <c r="U478" i="3" s="1"/>
  <c r="C477" i="3"/>
  <c r="U477" i="3" s="1"/>
  <c r="C476" i="3"/>
  <c r="U476" i="3" s="1"/>
  <c r="C475" i="3"/>
  <c r="U475" i="3" s="1"/>
  <c r="C474" i="3"/>
  <c r="U474" i="3" s="1"/>
  <c r="C473" i="3"/>
  <c r="U473" i="3" s="1"/>
  <c r="C472" i="3"/>
  <c r="U472" i="3" s="1"/>
  <c r="C471" i="3"/>
  <c r="U471" i="3" s="1"/>
  <c r="C470" i="3"/>
  <c r="U470" i="3" s="1"/>
  <c r="C469" i="3"/>
  <c r="U469" i="3" s="1"/>
  <c r="C468" i="3"/>
  <c r="U468" i="3" s="1"/>
  <c r="C467" i="3"/>
  <c r="U467" i="3" s="1"/>
  <c r="C466" i="3"/>
  <c r="U466" i="3" s="1"/>
  <c r="C465" i="3"/>
  <c r="U465" i="3" s="1"/>
  <c r="C464" i="3"/>
  <c r="U464" i="3" s="1"/>
  <c r="C463" i="3"/>
  <c r="U463" i="3" s="1"/>
  <c r="C462" i="3"/>
  <c r="U462" i="3" s="1"/>
  <c r="C461" i="3"/>
  <c r="U461" i="3" s="1"/>
  <c r="C460" i="3"/>
  <c r="U460" i="3" s="1"/>
  <c r="C459" i="3"/>
  <c r="U459" i="3" s="1"/>
  <c r="C458" i="3"/>
  <c r="U458" i="3" s="1"/>
  <c r="C457" i="3"/>
  <c r="U457" i="3" s="1"/>
  <c r="C456" i="3"/>
  <c r="U456" i="3" s="1"/>
  <c r="C455" i="3"/>
  <c r="U455" i="3" s="1"/>
  <c r="C454" i="3"/>
  <c r="U454" i="3" s="1"/>
  <c r="C453" i="3"/>
  <c r="U453" i="3" s="1"/>
  <c r="C452" i="3"/>
  <c r="U452" i="3" s="1"/>
  <c r="C451" i="3"/>
  <c r="U451" i="3" s="1"/>
  <c r="C450" i="3"/>
  <c r="U450" i="3" s="1"/>
  <c r="C449" i="3"/>
  <c r="U449" i="3" s="1"/>
  <c r="C448" i="3"/>
  <c r="U448" i="3" s="1"/>
  <c r="C447" i="3"/>
  <c r="U447" i="3" s="1"/>
  <c r="C446" i="3"/>
  <c r="U446" i="3" s="1"/>
  <c r="C445" i="3"/>
  <c r="U445" i="3" s="1"/>
  <c r="C444" i="3"/>
  <c r="U444" i="3" s="1"/>
  <c r="C443" i="3"/>
  <c r="U443" i="3" s="1"/>
  <c r="C442" i="3"/>
  <c r="U442" i="3" s="1"/>
  <c r="C441" i="3"/>
  <c r="U441" i="3" s="1"/>
  <c r="C440" i="3"/>
  <c r="U440" i="3" s="1"/>
  <c r="C439" i="3"/>
  <c r="U439" i="3" s="1"/>
  <c r="C438" i="3"/>
  <c r="U438" i="3" s="1"/>
  <c r="C437" i="3"/>
  <c r="U437" i="3" s="1"/>
  <c r="C436" i="3"/>
  <c r="U436" i="3" s="1"/>
  <c r="C435" i="3"/>
  <c r="U435" i="3" s="1"/>
  <c r="C434" i="3"/>
  <c r="U434" i="3" s="1"/>
  <c r="C433" i="3"/>
  <c r="U433" i="3" s="1"/>
  <c r="C432" i="3"/>
  <c r="U432" i="3" s="1"/>
  <c r="C431" i="3"/>
  <c r="U431" i="3" s="1"/>
  <c r="C430" i="3"/>
  <c r="U430" i="3" s="1"/>
  <c r="C429" i="3"/>
  <c r="U429" i="3" s="1"/>
  <c r="C428" i="3"/>
  <c r="U428" i="3" s="1"/>
  <c r="C427" i="3"/>
  <c r="U427" i="3" s="1"/>
  <c r="C426" i="3"/>
  <c r="U426" i="3" s="1"/>
  <c r="C425" i="3"/>
  <c r="U425" i="3" s="1"/>
  <c r="C424" i="3"/>
  <c r="U424" i="3" s="1"/>
  <c r="C423" i="3"/>
  <c r="U423" i="3" s="1"/>
  <c r="C422" i="3"/>
  <c r="U422" i="3" s="1"/>
  <c r="C421" i="3"/>
  <c r="U421" i="3" s="1"/>
  <c r="C420" i="3"/>
  <c r="U420" i="3" s="1"/>
  <c r="C419" i="3"/>
  <c r="U419" i="3" s="1"/>
  <c r="C418" i="3"/>
  <c r="U418" i="3" s="1"/>
  <c r="C417" i="3"/>
  <c r="U417" i="3" s="1"/>
  <c r="C416" i="3"/>
  <c r="U416" i="3" s="1"/>
  <c r="C415" i="3"/>
  <c r="U415" i="3" s="1"/>
  <c r="C414" i="3"/>
  <c r="U414" i="3" s="1"/>
  <c r="C413" i="3"/>
  <c r="U413" i="3" s="1"/>
  <c r="C412" i="3"/>
  <c r="U412" i="3" s="1"/>
  <c r="C411" i="3"/>
  <c r="U411" i="3" s="1"/>
  <c r="C410" i="3"/>
  <c r="U410" i="3" s="1"/>
  <c r="C409" i="3"/>
  <c r="U409" i="3" s="1"/>
  <c r="C408" i="3"/>
  <c r="U408" i="3" s="1"/>
  <c r="C407" i="3"/>
  <c r="U407" i="3" s="1"/>
  <c r="C406" i="3"/>
  <c r="U406" i="3" s="1"/>
  <c r="C405" i="3"/>
  <c r="U405" i="3" s="1"/>
  <c r="C404" i="3"/>
  <c r="U404" i="3" s="1"/>
  <c r="C403" i="3"/>
  <c r="U403" i="3" s="1"/>
  <c r="C402" i="3"/>
  <c r="U402" i="3" s="1"/>
  <c r="C401" i="3"/>
  <c r="U401" i="3" s="1"/>
  <c r="C400" i="3"/>
  <c r="U400" i="3" s="1"/>
  <c r="C399" i="3"/>
  <c r="U399" i="3" s="1"/>
  <c r="C398" i="3"/>
  <c r="U398" i="3" s="1"/>
  <c r="C397" i="3"/>
  <c r="U397" i="3" s="1"/>
  <c r="C396" i="3"/>
  <c r="U396" i="3" s="1"/>
  <c r="C395" i="3"/>
  <c r="U395" i="3" s="1"/>
  <c r="C394" i="3"/>
  <c r="U394" i="3" s="1"/>
  <c r="C393" i="3"/>
  <c r="U393" i="3" s="1"/>
  <c r="C392" i="3"/>
  <c r="U392" i="3" s="1"/>
  <c r="C391" i="3"/>
  <c r="U391" i="3" s="1"/>
  <c r="C390" i="3"/>
  <c r="U390" i="3" s="1"/>
  <c r="C389" i="3"/>
  <c r="U389" i="3" s="1"/>
  <c r="C388" i="3"/>
  <c r="U388" i="3" s="1"/>
  <c r="C387" i="3"/>
  <c r="U387" i="3" s="1"/>
  <c r="C386" i="3"/>
  <c r="U386" i="3" s="1"/>
  <c r="C385" i="3"/>
  <c r="U385" i="3" s="1"/>
  <c r="C384" i="3"/>
  <c r="U384" i="3" s="1"/>
  <c r="C383" i="3"/>
  <c r="U383" i="3" s="1"/>
  <c r="C382" i="3"/>
  <c r="U382" i="3" s="1"/>
  <c r="C381" i="3"/>
  <c r="U381" i="3" s="1"/>
  <c r="C380" i="3"/>
  <c r="U380" i="3" s="1"/>
  <c r="C379" i="3"/>
  <c r="U379" i="3" s="1"/>
  <c r="C378" i="3"/>
  <c r="U378" i="3" s="1"/>
  <c r="C377" i="3"/>
  <c r="U377" i="3" s="1"/>
  <c r="C376" i="3"/>
  <c r="U376" i="3" s="1"/>
  <c r="C375" i="3"/>
  <c r="U375" i="3" s="1"/>
  <c r="C374" i="3"/>
  <c r="U374" i="3" s="1"/>
  <c r="C373" i="3"/>
  <c r="U373" i="3" s="1"/>
  <c r="C372" i="3"/>
  <c r="U372" i="3" s="1"/>
  <c r="C371" i="3"/>
  <c r="U371" i="3" s="1"/>
  <c r="C370" i="3"/>
  <c r="U370" i="3" s="1"/>
  <c r="C369" i="3"/>
  <c r="U369" i="3" s="1"/>
  <c r="C368" i="3"/>
  <c r="U368" i="3" s="1"/>
  <c r="C367" i="3"/>
  <c r="U367" i="3" s="1"/>
  <c r="C366" i="3"/>
  <c r="U366" i="3" s="1"/>
  <c r="C365" i="3"/>
  <c r="U365" i="3" s="1"/>
  <c r="C364" i="3"/>
  <c r="U364" i="3" s="1"/>
  <c r="C363" i="3"/>
  <c r="U363" i="3" s="1"/>
  <c r="C362" i="3"/>
  <c r="U362" i="3" s="1"/>
  <c r="C361" i="3"/>
  <c r="U361" i="3" s="1"/>
  <c r="C360" i="3"/>
  <c r="U360" i="3" s="1"/>
  <c r="C359" i="3"/>
  <c r="U359" i="3" s="1"/>
  <c r="C358" i="3"/>
  <c r="U358" i="3" s="1"/>
  <c r="C357" i="3"/>
  <c r="U357" i="3" s="1"/>
  <c r="C356" i="3"/>
  <c r="U356" i="3" s="1"/>
  <c r="C355" i="3"/>
  <c r="U355" i="3" s="1"/>
  <c r="C354" i="3"/>
  <c r="U354" i="3" s="1"/>
  <c r="C353" i="3"/>
  <c r="U353" i="3" s="1"/>
  <c r="C352" i="3"/>
  <c r="U352" i="3" s="1"/>
  <c r="C351" i="3"/>
  <c r="U351" i="3" s="1"/>
  <c r="C350" i="3"/>
  <c r="U350" i="3" s="1"/>
  <c r="C349" i="3"/>
  <c r="U349" i="3" s="1"/>
  <c r="C348" i="3"/>
  <c r="U348" i="3" s="1"/>
  <c r="C347" i="3"/>
  <c r="U347" i="3" s="1"/>
  <c r="C346" i="3"/>
  <c r="U346" i="3" s="1"/>
  <c r="C345" i="3"/>
  <c r="U345" i="3" s="1"/>
  <c r="C344" i="3"/>
  <c r="U344" i="3" s="1"/>
  <c r="C343" i="3"/>
  <c r="U343" i="3" s="1"/>
  <c r="C342" i="3"/>
  <c r="U342" i="3" s="1"/>
  <c r="C341" i="3"/>
  <c r="U341" i="3" s="1"/>
  <c r="C340" i="3"/>
  <c r="U340" i="3" s="1"/>
  <c r="C339" i="3"/>
  <c r="U339" i="3" s="1"/>
  <c r="C338" i="3"/>
  <c r="U338" i="3" s="1"/>
  <c r="C337" i="3"/>
  <c r="U337" i="3" s="1"/>
  <c r="C336" i="3"/>
  <c r="U336" i="3" s="1"/>
  <c r="C335" i="3"/>
  <c r="U335" i="3" s="1"/>
  <c r="C334" i="3"/>
  <c r="U334" i="3" s="1"/>
  <c r="C333" i="3"/>
  <c r="U333" i="3" s="1"/>
  <c r="C332" i="3"/>
  <c r="U332" i="3" s="1"/>
  <c r="C331" i="3"/>
  <c r="U331" i="3" s="1"/>
  <c r="C330" i="3"/>
  <c r="U330" i="3" s="1"/>
  <c r="C329" i="3"/>
  <c r="U329" i="3" s="1"/>
  <c r="C328" i="3"/>
  <c r="U328" i="3" s="1"/>
  <c r="C327" i="3"/>
  <c r="U327" i="3" s="1"/>
  <c r="C326" i="3"/>
  <c r="U326" i="3" s="1"/>
  <c r="C325" i="3"/>
  <c r="U325" i="3" s="1"/>
  <c r="C324" i="3"/>
  <c r="U324" i="3" s="1"/>
  <c r="C323" i="3"/>
  <c r="U323" i="3" s="1"/>
  <c r="C322" i="3"/>
  <c r="U322" i="3" s="1"/>
  <c r="C321" i="3"/>
  <c r="U321" i="3" s="1"/>
  <c r="C320" i="3"/>
  <c r="U320" i="3" s="1"/>
  <c r="C319" i="3"/>
  <c r="U319" i="3" s="1"/>
  <c r="C318" i="3"/>
  <c r="U318" i="3" s="1"/>
  <c r="C317" i="3"/>
  <c r="U317" i="3" s="1"/>
  <c r="C316" i="3"/>
  <c r="U316" i="3" s="1"/>
  <c r="C315" i="3"/>
  <c r="U315" i="3" s="1"/>
  <c r="C314" i="3"/>
  <c r="U314" i="3" s="1"/>
  <c r="C313" i="3"/>
  <c r="U313" i="3" s="1"/>
  <c r="C312" i="3"/>
  <c r="U312" i="3" s="1"/>
  <c r="C311" i="3"/>
  <c r="U311" i="3" s="1"/>
  <c r="C310" i="3"/>
  <c r="U310" i="3" s="1"/>
  <c r="C309" i="3"/>
  <c r="U309" i="3" s="1"/>
  <c r="C308" i="3"/>
  <c r="U308" i="3" s="1"/>
  <c r="C307" i="3"/>
  <c r="U307" i="3" s="1"/>
  <c r="C306" i="3"/>
  <c r="U306" i="3" s="1"/>
  <c r="C305" i="3"/>
  <c r="U305" i="3" s="1"/>
  <c r="C304" i="3"/>
  <c r="U304" i="3" s="1"/>
  <c r="C303" i="3"/>
  <c r="U303" i="3" s="1"/>
  <c r="C302" i="3"/>
  <c r="U302" i="3" s="1"/>
  <c r="C301" i="3"/>
  <c r="U301" i="3" s="1"/>
  <c r="C300" i="3"/>
  <c r="U300" i="3" s="1"/>
  <c r="C299" i="3"/>
  <c r="U299" i="3" s="1"/>
  <c r="C298" i="3"/>
  <c r="U298" i="3" s="1"/>
  <c r="C297" i="3"/>
  <c r="U297" i="3" s="1"/>
  <c r="C296" i="3"/>
  <c r="U296" i="3" s="1"/>
  <c r="C295" i="3"/>
  <c r="U295" i="3" s="1"/>
  <c r="C294" i="3"/>
  <c r="U294" i="3" s="1"/>
  <c r="C293" i="3"/>
  <c r="U293" i="3" s="1"/>
  <c r="C292" i="3"/>
  <c r="U292" i="3" s="1"/>
  <c r="C291" i="3"/>
  <c r="U291" i="3" s="1"/>
  <c r="C290" i="3"/>
  <c r="U290" i="3" s="1"/>
  <c r="C289" i="3"/>
  <c r="U289" i="3" s="1"/>
  <c r="C288" i="3"/>
  <c r="U288" i="3" s="1"/>
  <c r="C287" i="3"/>
  <c r="U287" i="3" s="1"/>
  <c r="C286" i="3"/>
  <c r="U286" i="3" s="1"/>
  <c r="C285" i="3"/>
  <c r="U285" i="3" s="1"/>
  <c r="C284" i="3"/>
  <c r="U284" i="3" s="1"/>
  <c r="C283" i="3"/>
  <c r="U283" i="3" s="1"/>
  <c r="C282" i="3"/>
  <c r="U282" i="3" s="1"/>
  <c r="C281" i="3"/>
  <c r="U281" i="3" s="1"/>
  <c r="C280" i="3"/>
  <c r="U280" i="3" s="1"/>
  <c r="C279" i="3"/>
  <c r="U279" i="3" s="1"/>
  <c r="C278" i="3"/>
  <c r="U278" i="3" s="1"/>
  <c r="C277" i="3"/>
  <c r="U277" i="3" s="1"/>
  <c r="C276" i="3"/>
  <c r="U276" i="3" s="1"/>
  <c r="C275" i="3"/>
  <c r="U275" i="3" s="1"/>
  <c r="C274" i="3"/>
  <c r="U274" i="3" s="1"/>
  <c r="C273" i="3"/>
  <c r="U273" i="3" s="1"/>
  <c r="C272" i="3"/>
  <c r="U272" i="3" s="1"/>
  <c r="C271" i="3"/>
  <c r="U271" i="3" s="1"/>
  <c r="C270" i="3"/>
  <c r="U270" i="3" s="1"/>
  <c r="C269" i="3"/>
  <c r="U269" i="3" s="1"/>
  <c r="C268" i="3"/>
  <c r="U268" i="3" s="1"/>
  <c r="C267" i="3"/>
  <c r="U267" i="3" s="1"/>
  <c r="C266" i="3"/>
  <c r="U266" i="3" s="1"/>
  <c r="C265" i="3"/>
  <c r="U265" i="3" s="1"/>
  <c r="C264" i="3"/>
  <c r="U264" i="3" s="1"/>
  <c r="C263" i="3"/>
  <c r="U263" i="3" s="1"/>
  <c r="C262" i="3"/>
  <c r="U262" i="3" s="1"/>
  <c r="C261" i="3"/>
  <c r="U261" i="3" s="1"/>
  <c r="C260" i="3"/>
  <c r="U260" i="3" s="1"/>
  <c r="C259" i="3"/>
  <c r="U259" i="3" s="1"/>
  <c r="C258" i="3"/>
  <c r="U258" i="3" s="1"/>
  <c r="C257" i="3"/>
  <c r="U257" i="3" s="1"/>
  <c r="C256" i="3"/>
  <c r="U256" i="3" s="1"/>
  <c r="C255" i="3"/>
  <c r="U255" i="3" s="1"/>
  <c r="C254" i="3"/>
  <c r="U254" i="3" s="1"/>
  <c r="C253" i="3"/>
  <c r="U253" i="3" s="1"/>
  <c r="C252" i="3"/>
  <c r="U252" i="3" s="1"/>
  <c r="C251" i="3"/>
  <c r="U251" i="3" s="1"/>
  <c r="C250" i="3"/>
  <c r="U250" i="3" s="1"/>
  <c r="C249" i="3"/>
  <c r="U249" i="3" s="1"/>
  <c r="C248" i="3"/>
  <c r="U248" i="3" s="1"/>
  <c r="C247" i="3"/>
  <c r="U247" i="3" s="1"/>
  <c r="C246" i="3"/>
  <c r="U246" i="3" s="1"/>
  <c r="C245" i="3"/>
  <c r="U245" i="3" s="1"/>
  <c r="C244" i="3"/>
  <c r="U244" i="3" s="1"/>
  <c r="C243" i="3"/>
  <c r="U243" i="3" s="1"/>
  <c r="C242" i="3"/>
  <c r="U242" i="3" s="1"/>
  <c r="C241" i="3"/>
  <c r="U241" i="3" s="1"/>
  <c r="C240" i="3"/>
  <c r="U240" i="3" s="1"/>
  <c r="C239" i="3"/>
  <c r="U239" i="3" s="1"/>
  <c r="C238" i="3"/>
  <c r="U238" i="3" s="1"/>
  <c r="C237" i="3"/>
  <c r="U237" i="3" s="1"/>
  <c r="C236" i="3"/>
  <c r="U236" i="3" s="1"/>
  <c r="C235" i="3"/>
  <c r="U235" i="3" s="1"/>
  <c r="C234" i="3"/>
  <c r="U234" i="3" s="1"/>
  <c r="C233" i="3"/>
  <c r="U233" i="3" s="1"/>
  <c r="C232" i="3"/>
  <c r="U232" i="3" s="1"/>
  <c r="C231" i="3"/>
  <c r="U231" i="3" s="1"/>
  <c r="C230" i="3"/>
  <c r="U230" i="3" s="1"/>
  <c r="C229" i="3"/>
  <c r="U229" i="3" s="1"/>
  <c r="C228" i="3"/>
  <c r="U228" i="3" s="1"/>
  <c r="C227" i="3"/>
  <c r="U227" i="3" s="1"/>
  <c r="C226" i="3"/>
  <c r="U226" i="3" s="1"/>
  <c r="C225" i="3"/>
  <c r="U225" i="3" s="1"/>
  <c r="C224" i="3"/>
  <c r="U224" i="3" s="1"/>
  <c r="C223" i="3"/>
  <c r="U223" i="3" s="1"/>
  <c r="C222" i="3"/>
  <c r="U222" i="3" s="1"/>
  <c r="C221" i="3"/>
  <c r="U221" i="3" s="1"/>
  <c r="C220" i="3"/>
  <c r="U220" i="3" s="1"/>
  <c r="C219" i="3"/>
  <c r="U219" i="3" s="1"/>
  <c r="C218" i="3"/>
  <c r="U218" i="3" s="1"/>
  <c r="C217" i="3"/>
  <c r="U217" i="3" s="1"/>
  <c r="C216" i="3"/>
  <c r="U216" i="3" s="1"/>
  <c r="C215" i="3"/>
  <c r="U215" i="3" s="1"/>
  <c r="C214" i="3"/>
  <c r="U214" i="3" s="1"/>
  <c r="C213" i="3"/>
  <c r="U213" i="3" s="1"/>
  <c r="C212" i="3"/>
  <c r="U212" i="3" s="1"/>
  <c r="C211" i="3"/>
  <c r="U211" i="3" s="1"/>
  <c r="C210" i="3"/>
  <c r="U210" i="3" s="1"/>
  <c r="C209" i="3"/>
  <c r="U209" i="3" s="1"/>
  <c r="C208" i="3"/>
  <c r="U208" i="3" s="1"/>
  <c r="C207" i="3"/>
  <c r="U207" i="3" s="1"/>
  <c r="C206" i="3"/>
  <c r="U206" i="3" s="1"/>
  <c r="C205" i="3"/>
  <c r="U205" i="3" s="1"/>
  <c r="C204" i="3"/>
  <c r="U204" i="3" s="1"/>
  <c r="C203" i="3"/>
  <c r="U203" i="3" s="1"/>
  <c r="C202" i="3"/>
  <c r="U202" i="3" s="1"/>
  <c r="C201" i="3"/>
  <c r="U201" i="3" s="1"/>
  <c r="C200" i="3"/>
  <c r="U200" i="3" s="1"/>
  <c r="C199" i="3"/>
  <c r="U199" i="3" s="1"/>
  <c r="C198" i="3"/>
  <c r="U198" i="3" s="1"/>
  <c r="C197" i="3"/>
  <c r="U197" i="3" s="1"/>
  <c r="C196" i="3"/>
  <c r="U196" i="3" s="1"/>
  <c r="C195" i="3"/>
  <c r="U195" i="3" s="1"/>
  <c r="C194" i="3"/>
  <c r="U194" i="3" s="1"/>
  <c r="C193" i="3"/>
  <c r="U193" i="3" s="1"/>
  <c r="C192" i="3"/>
  <c r="U192" i="3" s="1"/>
  <c r="C191" i="3"/>
  <c r="U191" i="3" s="1"/>
  <c r="C190" i="3"/>
  <c r="U190" i="3" s="1"/>
  <c r="C189" i="3"/>
  <c r="U189" i="3" s="1"/>
  <c r="C188" i="3"/>
  <c r="U188" i="3" s="1"/>
  <c r="C187" i="3"/>
  <c r="U187" i="3" s="1"/>
  <c r="C186" i="3"/>
  <c r="U186" i="3" s="1"/>
  <c r="C185" i="3"/>
  <c r="U185" i="3" s="1"/>
  <c r="C184" i="3"/>
  <c r="U184" i="3" s="1"/>
  <c r="C183" i="3"/>
  <c r="U183" i="3" s="1"/>
  <c r="C182" i="3"/>
  <c r="U182" i="3" s="1"/>
  <c r="C181" i="3"/>
  <c r="U181" i="3" s="1"/>
  <c r="C180" i="3"/>
  <c r="U180" i="3" s="1"/>
  <c r="C179" i="3"/>
  <c r="U179" i="3" s="1"/>
  <c r="C178" i="3"/>
  <c r="U178" i="3" s="1"/>
  <c r="C177" i="3"/>
  <c r="U177" i="3" s="1"/>
  <c r="C176" i="3"/>
  <c r="U176" i="3" s="1"/>
  <c r="C175" i="3"/>
  <c r="U175" i="3" s="1"/>
  <c r="C174" i="3"/>
  <c r="U174" i="3" s="1"/>
  <c r="C173" i="3"/>
  <c r="U173" i="3" s="1"/>
  <c r="C172" i="3"/>
  <c r="U172" i="3" s="1"/>
  <c r="C171" i="3"/>
  <c r="U171" i="3" s="1"/>
  <c r="C170" i="3"/>
  <c r="U170" i="3" s="1"/>
  <c r="C169" i="3"/>
  <c r="U169" i="3" s="1"/>
  <c r="C168" i="3"/>
  <c r="U168" i="3" s="1"/>
  <c r="C167" i="3"/>
  <c r="U167" i="3" s="1"/>
  <c r="C166" i="3"/>
  <c r="U166" i="3" s="1"/>
  <c r="C165" i="3"/>
  <c r="U165" i="3" s="1"/>
  <c r="C164" i="3"/>
  <c r="U164" i="3" s="1"/>
  <c r="C163" i="3"/>
  <c r="U163" i="3" s="1"/>
  <c r="C162" i="3"/>
  <c r="U162" i="3" s="1"/>
  <c r="C161" i="3"/>
  <c r="U161" i="3" s="1"/>
  <c r="C160" i="3"/>
  <c r="U160" i="3" s="1"/>
  <c r="C159" i="3"/>
  <c r="U159" i="3" s="1"/>
  <c r="C158" i="3"/>
  <c r="U158" i="3" s="1"/>
  <c r="C157" i="3"/>
  <c r="U157" i="3" s="1"/>
  <c r="C156" i="3"/>
  <c r="U156" i="3" s="1"/>
  <c r="C155" i="3"/>
  <c r="U155" i="3" s="1"/>
  <c r="C154" i="3"/>
  <c r="U154" i="3" s="1"/>
  <c r="C153" i="3"/>
  <c r="U153" i="3" s="1"/>
  <c r="C152" i="3"/>
  <c r="U152" i="3" s="1"/>
  <c r="C151" i="3"/>
  <c r="U151" i="3" s="1"/>
  <c r="C150" i="3"/>
  <c r="U150" i="3" s="1"/>
  <c r="C149" i="3"/>
  <c r="U149" i="3" s="1"/>
  <c r="C148" i="3"/>
  <c r="U148" i="3" s="1"/>
  <c r="C147" i="3"/>
  <c r="U147" i="3" s="1"/>
  <c r="C146" i="3"/>
  <c r="U146" i="3" s="1"/>
  <c r="C145" i="3"/>
  <c r="U145" i="3" s="1"/>
  <c r="C144" i="3"/>
  <c r="U144" i="3" s="1"/>
  <c r="C143" i="3"/>
  <c r="U143" i="3" s="1"/>
  <c r="C142" i="3"/>
  <c r="U142" i="3" s="1"/>
  <c r="C141" i="3"/>
  <c r="U141" i="3" s="1"/>
  <c r="C140" i="3"/>
  <c r="U140" i="3" s="1"/>
  <c r="C139" i="3"/>
  <c r="U139" i="3" s="1"/>
  <c r="C138" i="3"/>
  <c r="U138" i="3" s="1"/>
  <c r="C137" i="3"/>
  <c r="U137" i="3" s="1"/>
  <c r="C136" i="3"/>
  <c r="U136" i="3" s="1"/>
  <c r="C135" i="3"/>
  <c r="U135" i="3" s="1"/>
  <c r="C134" i="3"/>
  <c r="U134" i="3" s="1"/>
  <c r="C133" i="3"/>
  <c r="U133" i="3" s="1"/>
  <c r="C132" i="3"/>
  <c r="U132" i="3" s="1"/>
  <c r="C131" i="3"/>
  <c r="U131" i="3" s="1"/>
  <c r="C130" i="3"/>
  <c r="U130" i="3" s="1"/>
  <c r="C129" i="3"/>
  <c r="U129" i="3" s="1"/>
  <c r="C128" i="3"/>
  <c r="U128" i="3" s="1"/>
  <c r="C127" i="3"/>
  <c r="U127" i="3" s="1"/>
  <c r="C126" i="3"/>
  <c r="U126" i="3" s="1"/>
  <c r="C125" i="3"/>
  <c r="U125" i="3" s="1"/>
  <c r="C124" i="3"/>
  <c r="U124" i="3" s="1"/>
  <c r="C123" i="3"/>
  <c r="U123" i="3" s="1"/>
  <c r="C122" i="3"/>
  <c r="U122" i="3" s="1"/>
  <c r="C121" i="3"/>
  <c r="U121" i="3" s="1"/>
  <c r="C120" i="3"/>
  <c r="U120" i="3" s="1"/>
  <c r="C119" i="3"/>
  <c r="U119" i="3" s="1"/>
  <c r="C118" i="3"/>
  <c r="U118" i="3" s="1"/>
  <c r="C117" i="3"/>
  <c r="U117" i="3" s="1"/>
  <c r="C116" i="3"/>
  <c r="U116" i="3" s="1"/>
  <c r="C115" i="3"/>
  <c r="U115" i="3" s="1"/>
  <c r="C114" i="3"/>
  <c r="U114" i="3" s="1"/>
  <c r="C113" i="3"/>
  <c r="U113" i="3" s="1"/>
  <c r="C112" i="3"/>
  <c r="U112" i="3" s="1"/>
  <c r="C111" i="3"/>
  <c r="U111" i="3" s="1"/>
  <c r="C110" i="3"/>
  <c r="U110" i="3" s="1"/>
  <c r="C109" i="3"/>
  <c r="U109" i="3" s="1"/>
  <c r="C108" i="3"/>
  <c r="U108" i="3" s="1"/>
  <c r="C107" i="3"/>
  <c r="U107" i="3" s="1"/>
  <c r="C106" i="3"/>
  <c r="U106" i="3" s="1"/>
  <c r="C105" i="3"/>
  <c r="U105" i="3" s="1"/>
  <c r="C104" i="3"/>
  <c r="U104" i="3" s="1"/>
  <c r="C103" i="3"/>
  <c r="U103" i="3" s="1"/>
  <c r="C102" i="3"/>
  <c r="U102" i="3" s="1"/>
  <c r="C101" i="3"/>
  <c r="U101" i="3" s="1"/>
  <c r="C100" i="3"/>
  <c r="U100" i="3" s="1"/>
  <c r="C99" i="3"/>
  <c r="U99" i="3" s="1"/>
  <c r="C98" i="3"/>
  <c r="U98" i="3" s="1"/>
  <c r="C97" i="3"/>
  <c r="U97" i="3" s="1"/>
  <c r="C96" i="3"/>
  <c r="U96" i="3" s="1"/>
  <c r="C95" i="3"/>
  <c r="U95" i="3" s="1"/>
  <c r="C94" i="3"/>
  <c r="U94" i="3" s="1"/>
  <c r="C93" i="3"/>
  <c r="U93" i="3" s="1"/>
  <c r="C92" i="3"/>
  <c r="U92" i="3" s="1"/>
  <c r="C91" i="3"/>
  <c r="U91" i="3" s="1"/>
  <c r="C90" i="3"/>
  <c r="U90" i="3" s="1"/>
  <c r="C89" i="3"/>
  <c r="U89" i="3" s="1"/>
  <c r="C88" i="3"/>
  <c r="U88" i="3" s="1"/>
  <c r="C87" i="3"/>
  <c r="U87" i="3" s="1"/>
  <c r="C86" i="3"/>
  <c r="U86" i="3" s="1"/>
  <c r="C85" i="3"/>
  <c r="U85" i="3" s="1"/>
  <c r="C84" i="3"/>
  <c r="U84" i="3" s="1"/>
  <c r="C83" i="3"/>
  <c r="U83" i="3" s="1"/>
  <c r="C82" i="3"/>
  <c r="U82" i="3" s="1"/>
  <c r="C81" i="3"/>
  <c r="U81" i="3" s="1"/>
  <c r="C80" i="3"/>
  <c r="U80" i="3" s="1"/>
  <c r="C79" i="3"/>
  <c r="U79" i="3" s="1"/>
  <c r="C78" i="3"/>
  <c r="U78" i="3" s="1"/>
  <c r="C77" i="3"/>
  <c r="U77" i="3" s="1"/>
  <c r="C76" i="3"/>
  <c r="U76" i="3" s="1"/>
  <c r="C75" i="3"/>
  <c r="U75" i="3" s="1"/>
  <c r="C74" i="3"/>
  <c r="U74" i="3" s="1"/>
  <c r="C73" i="3"/>
  <c r="U73" i="3" s="1"/>
  <c r="C72" i="3"/>
  <c r="U72" i="3" s="1"/>
  <c r="C71" i="3"/>
  <c r="U71" i="3" s="1"/>
  <c r="C70" i="3"/>
  <c r="U70" i="3" s="1"/>
  <c r="C69" i="3"/>
  <c r="U69" i="3" s="1"/>
  <c r="C68" i="3"/>
  <c r="U68" i="3" s="1"/>
  <c r="C67" i="3"/>
  <c r="U67" i="3" s="1"/>
  <c r="C66" i="3"/>
  <c r="U66" i="3" s="1"/>
  <c r="C65" i="3"/>
  <c r="U65" i="3" s="1"/>
  <c r="C64" i="3"/>
  <c r="U64" i="3" s="1"/>
  <c r="C63" i="3"/>
  <c r="U63" i="3" s="1"/>
  <c r="C62" i="3"/>
  <c r="U62" i="3" s="1"/>
  <c r="C61" i="3"/>
  <c r="U61" i="3" s="1"/>
  <c r="C60" i="3"/>
  <c r="U60" i="3" s="1"/>
  <c r="C59" i="3"/>
  <c r="U59" i="3" s="1"/>
  <c r="C58" i="3"/>
  <c r="U58" i="3" s="1"/>
  <c r="C57" i="3"/>
  <c r="U57" i="3" s="1"/>
  <c r="C56" i="3"/>
  <c r="U56" i="3" s="1"/>
  <c r="C55" i="3"/>
  <c r="U55" i="3" s="1"/>
  <c r="C54" i="3"/>
  <c r="U54" i="3" s="1"/>
  <c r="C53" i="3"/>
  <c r="U53" i="3" s="1"/>
  <c r="C52" i="3"/>
  <c r="U52" i="3" s="1"/>
  <c r="C51" i="3"/>
  <c r="U51" i="3" s="1"/>
  <c r="C50" i="3"/>
  <c r="U50" i="3" s="1"/>
  <c r="C49" i="3"/>
  <c r="U49" i="3" s="1"/>
  <c r="C48" i="3"/>
  <c r="U48" i="3" s="1"/>
  <c r="C47" i="3"/>
  <c r="U47" i="3" s="1"/>
  <c r="C46" i="3"/>
  <c r="U46" i="3" s="1"/>
  <c r="C45" i="3"/>
  <c r="U45" i="3" s="1"/>
  <c r="C44" i="3"/>
  <c r="U44" i="3" s="1"/>
  <c r="C43" i="3"/>
  <c r="U43" i="3" s="1"/>
  <c r="C42" i="3"/>
  <c r="U42" i="3" s="1"/>
  <c r="C41" i="3"/>
  <c r="U41" i="3" s="1"/>
  <c r="C40" i="3"/>
  <c r="U40" i="3" s="1"/>
  <c r="C39" i="3"/>
  <c r="U39" i="3" s="1"/>
  <c r="C38" i="3"/>
  <c r="U38" i="3" s="1"/>
  <c r="C37" i="3"/>
  <c r="U37" i="3" s="1"/>
  <c r="C36" i="3"/>
  <c r="U36" i="3" s="1"/>
  <c r="C35" i="3"/>
  <c r="U35" i="3" s="1"/>
  <c r="C34" i="3"/>
  <c r="U34" i="3" s="1"/>
  <c r="C33" i="3"/>
  <c r="U33" i="3" s="1"/>
  <c r="C32" i="3"/>
  <c r="U32" i="3" s="1"/>
  <c r="C31" i="3"/>
  <c r="U31" i="3" s="1"/>
  <c r="C30" i="3"/>
  <c r="U30" i="3" s="1"/>
  <c r="C29" i="3"/>
  <c r="U29" i="3" s="1"/>
  <c r="C28" i="3"/>
  <c r="U28" i="3" s="1"/>
  <c r="C27" i="3"/>
  <c r="U27" i="3" s="1"/>
  <c r="C26" i="3"/>
  <c r="U26" i="3" s="1"/>
  <c r="C25" i="3"/>
  <c r="U25" i="3" s="1"/>
  <c r="C24" i="3"/>
  <c r="U24" i="3" s="1"/>
  <c r="C23" i="3"/>
  <c r="U23" i="3" s="1"/>
  <c r="C22" i="3"/>
  <c r="U22" i="3" s="1"/>
  <c r="C21" i="3"/>
  <c r="U21" i="3" s="1"/>
  <c r="C20" i="3"/>
  <c r="U20" i="3" s="1"/>
  <c r="C19" i="3"/>
  <c r="U19" i="3" s="1"/>
  <c r="C18" i="3"/>
  <c r="U18" i="3" s="1"/>
  <c r="C17" i="3"/>
  <c r="U17" i="3" s="1"/>
  <c r="C16" i="3"/>
  <c r="U16" i="3" s="1"/>
  <c r="C15" i="3"/>
  <c r="U15" i="3" s="1"/>
  <c r="C14" i="3"/>
  <c r="U14" i="3" s="1"/>
  <c r="C13" i="3"/>
  <c r="U13" i="3" s="1"/>
  <c r="C12" i="3"/>
  <c r="U12" i="3" s="1"/>
  <c r="C11" i="3"/>
  <c r="U11" i="3" s="1"/>
  <c r="C10" i="3"/>
  <c r="U10" i="3" s="1"/>
  <c r="C9" i="3"/>
  <c r="U9" i="3" s="1"/>
  <c r="C8" i="3"/>
  <c r="U8" i="3" s="1"/>
  <c r="C7" i="3"/>
  <c r="U7" i="3" s="1"/>
  <c r="C6" i="3"/>
  <c r="U6" i="3" s="1"/>
  <c r="C5" i="3"/>
  <c r="U5" i="3" s="1"/>
  <c r="C4" i="3"/>
  <c r="U4" i="3" s="1"/>
  <c r="C3" i="3"/>
  <c r="U3" i="3" s="1"/>
  <c r="C2" i="3"/>
  <c r="U2" i="3" s="1"/>
  <c r="C6247" i="2"/>
  <c r="U6247" i="2" s="1"/>
  <c r="C6246" i="2"/>
  <c r="U6246" i="2" s="1"/>
  <c r="C6245" i="2"/>
  <c r="U6245" i="2" s="1"/>
  <c r="C6244" i="2"/>
  <c r="U6244" i="2" s="1"/>
  <c r="C6243" i="2"/>
  <c r="U6243" i="2" s="1"/>
  <c r="C6242" i="2"/>
  <c r="U6242" i="2" s="1"/>
  <c r="C6241" i="2"/>
  <c r="U6241" i="2" s="1"/>
  <c r="C6240" i="2"/>
  <c r="U6240" i="2" s="1"/>
  <c r="C6239" i="2"/>
  <c r="U6239" i="2" s="1"/>
  <c r="C6238" i="2"/>
  <c r="U6238" i="2" s="1"/>
  <c r="C6237" i="2"/>
  <c r="U6237" i="2" s="1"/>
  <c r="C6236" i="2"/>
  <c r="U6236" i="2" s="1"/>
  <c r="C6235" i="2"/>
  <c r="U6235" i="2" s="1"/>
  <c r="C6234" i="2"/>
  <c r="U6234" i="2" s="1"/>
  <c r="C6233" i="2"/>
  <c r="U6233" i="2" s="1"/>
  <c r="C6232" i="2"/>
  <c r="U6232" i="2" s="1"/>
  <c r="C6231" i="2"/>
  <c r="U6231" i="2" s="1"/>
  <c r="C6230" i="2"/>
  <c r="U6230" i="2" s="1"/>
  <c r="C6229" i="2"/>
  <c r="U6229" i="2" s="1"/>
  <c r="C6228" i="2"/>
  <c r="U6228" i="2" s="1"/>
  <c r="C6227" i="2"/>
  <c r="U6227" i="2" s="1"/>
  <c r="C6226" i="2"/>
  <c r="U6226" i="2" s="1"/>
  <c r="C6225" i="2"/>
  <c r="U6225" i="2" s="1"/>
  <c r="C6224" i="2"/>
  <c r="U6224" i="2" s="1"/>
  <c r="C6223" i="2"/>
  <c r="U6223" i="2" s="1"/>
  <c r="C6222" i="2"/>
  <c r="U6222" i="2" s="1"/>
  <c r="C6221" i="2"/>
  <c r="U6221" i="2" s="1"/>
  <c r="C6220" i="2"/>
  <c r="U6220" i="2" s="1"/>
  <c r="C6219" i="2"/>
  <c r="U6219" i="2" s="1"/>
  <c r="C6218" i="2"/>
  <c r="U6218" i="2" s="1"/>
  <c r="C6217" i="2"/>
  <c r="U6217" i="2" s="1"/>
  <c r="C6216" i="2"/>
  <c r="U6216" i="2" s="1"/>
  <c r="C6215" i="2"/>
  <c r="U6215" i="2" s="1"/>
  <c r="C6214" i="2"/>
  <c r="U6214" i="2" s="1"/>
  <c r="C6213" i="2"/>
  <c r="U6213" i="2" s="1"/>
  <c r="C6212" i="2"/>
  <c r="U6212" i="2" s="1"/>
  <c r="C6211" i="2"/>
  <c r="U6211" i="2" s="1"/>
  <c r="C6210" i="2"/>
  <c r="U6210" i="2" s="1"/>
  <c r="C6209" i="2"/>
  <c r="U6209" i="2" s="1"/>
  <c r="C6208" i="2"/>
  <c r="U6208" i="2" s="1"/>
  <c r="C6207" i="2"/>
  <c r="U6207" i="2" s="1"/>
  <c r="C6206" i="2"/>
  <c r="U6206" i="2" s="1"/>
  <c r="C6205" i="2"/>
  <c r="U6205" i="2" s="1"/>
  <c r="C6204" i="2"/>
  <c r="U6204" i="2" s="1"/>
  <c r="C6203" i="2"/>
  <c r="U6203" i="2" s="1"/>
  <c r="C6202" i="2"/>
  <c r="U6202" i="2" s="1"/>
  <c r="C6201" i="2"/>
  <c r="U6201" i="2" s="1"/>
  <c r="C6200" i="2"/>
  <c r="U6200" i="2" s="1"/>
  <c r="C6199" i="2"/>
  <c r="U6199" i="2" s="1"/>
  <c r="C6198" i="2"/>
  <c r="U6198" i="2" s="1"/>
  <c r="C6197" i="2"/>
  <c r="U6197" i="2" s="1"/>
  <c r="C6196" i="2"/>
  <c r="U6196" i="2" s="1"/>
  <c r="C6195" i="2"/>
  <c r="U6195" i="2" s="1"/>
  <c r="C6194" i="2"/>
  <c r="U6194" i="2" s="1"/>
  <c r="C6193" i="2"/>
  <c r="U6193" i="2" s="1"/>
  <c r="C6192" i="2"/>
  <c r="U6192" i="2" s="1"/>
  <c r="C6191" i="2"/>
  <c r="U6191" i="2" s="1"/>
  <c r="C6190" i="2"/>
  <c r="U6190" i="2" s="1"/>
  <c r="C6189" i="2"/>
  <c r="U6189" i="2" s="1"/>
  <c r="C6188" i="2"/>
  <c r="U6188" i="2" s="1"/>
  <c r="C6187" i="2"/>
  <c r="U6187" i="2" s="1"/>
  <c r="C6186" i="2"/>
  <c r="U6186" i="2" s="1"/>
  <c r="C6185" i="2"/>
  <c r="U6185" i="2" s="1"/>
  <c r="C6184" i="2"/>
  <c r="U6184" i="2" s="1"/>
  <c r="C6183" i="2"/>
  <c r="U6183" i="2" s="1"/>
  <c r="C6182" i="2"/>
  <c r="U6182" i="2" s="1"/>
  <c r="C6181" i="2"/>
  <c r="U6181" i="2" s="1"/>
  <c r="C6180" i="2"/>
  <c r="U6180" i="2" s="1"/>
  <c r="C6179" i="2"/>
  <c r="U6179" i="2" s="1"/>
  <c r="C6178" i="2"/>
  <c r="U6178" i="2" s="1"/>
  <c r="C6177" i="2"/>
  <c r="U6177" i="2" s="1"/>
  <c r="C6176" i="2"/>
  <c r="U6176" i="2" s="1"/>
  <c r="C6175" i="2"/>
  <c r="U6175" i="2" s="1"/>
  <c r="C6174" i="2"/>
  <c r="U6174" i="2" s="1"/>
  <c r="C6173" i="2"/>
  <c r="U6173" i="2" s="1"/>
  <c r="C6172" i="2"/>
  <c r="U6172" i="2" s="1"/>
  <c r="C6171" i="2"/>
  <c r="U6171" i="2" s="1"/>
  <c r="C6170" i="2"/>
  <c r="U6170" i="2" s="1"/>
  <c r="C6169" i="2"/>
  <c r="U6169" i="2" s="1"/>
  <c r="C6168" i="2"/>
  <c r="U6168" i="2" s="1"/>
  <c r="C6167" i="2"/>
  <c r="U6167" i="2" s="1"/>
  <c r="C6166" i="2"/>
  <c r="U6166" i="2" s="1"/>
  <c r="C6165" i="2"/>
  <c r="U6165" i="2" s="1"/>
  <c r="C6164" i="2"/>
  <c r="U6164" i="2" s="1"/>
  <c r="C6163" i="2"/>
  <c r="U6163" i="2" s="1"/>
  <c r="U6162" i="2"/>
  <c r="C6162" i="2"/>
  <c r="C6161" i="2"/>
  <c r="U6161" i="2" s="1"/>
  <c r="U6160" i="2"/>
  <c r="C6160" i="2"/>
  <c r="C6159" i="2"/>
  <c r="U6159" i="2" s="1"/>
  <c r="U6158" i="2"/>
  <c r="C6158" i="2"/>
  <c r="C6157" i="2"/>
  <c r="U6157" i="2" s="1"/>
  <c r="U6156" i="2"/>
  <c r="C6156" i="2"/>
  <c r="C6155" i="2"/>
  <c r="U6155" i="2" s="1"/>
  <c r="U6154" i="2"/>
  <c r="C6154" i="2"/>
  <c r="C6153" i="2"/>
  <c r="U6153" i="2" s="1"/>
  <c r="U6152" i="2"/>
  <c r="C6152" i="2"/>
  <c r="C6151" i="2"/>
  <c r="U6151" i="2" s="1"/>
  <c r="U6150" i="2"/>
  <c r="C6150" i="2"/>
  <c r="C6149" i="2"/>
  <c r="U6149" i="2" s="1"/>
  <c r="U6148" i="2"/>
  <c r="C6148" i="2"/>
  <c r="C6147" i="2"/>
  <c r="U6147" i="2" s="1"/>
  <c r="U6146" i="2"/>
  <c r="C6146" i="2"/>
  <c r="C6145" i="2"/>
  <c r="U6145" i="2" s="1"/>
  <c r="U6144" i="2"/>
  <c r="C6144" i="2"/>
  <c r="C6143" i="2"/>
  <c r="U6143" i="2" s="1"/>
  <c r="U6142" i="2"/>
  <c r="C6142" i="2"/>
  <c r="C6141" i="2"/>
  <c r="U6141" i="2" s="1"/>
  <c r="U6140" i="2"/>
  <c r="C6140" i="2"/>
  <c r="C6139" i="2"/>
  <c r="U6139" i="2" s="1"/>
  <c r="U6138" i="2"/>
  <c r="C6138" i="2"/>
  <c r="C6137" i="2"/>
  <c r="U6137" i="2" s="1"/>
  <c r="U6136" i="2"/>
  <c r="C6136" i="2"/>
  <c r="C6135" i="2"/>
  <c r="U6135" i="2" s="1"/>
  <c r="U6134" i="2"/>
  <c r="C6134" i="2"/>
  <c r="C6133" i="2"/>
  <c r="U6133" i="2" s="1"/>
  <c r="U6132" i="2"/>
  <c r="C6132" i="2"/>
  <c r="C6131" i="2"/>
  <c r="U6131" i="2" s="1"/>
  <c r="U6130" i="2"/>
  <c r="C6130" i="2"/>
  <c r="C6129" i="2"/>
  <c r="U6129" i="2" s="1"/>
  <c r="U6128" i="2"/>
  <c r="C6128" i="2"/>
  <c r="C6127" i="2"/>
  <c r="U6127" i="2" s="1"/>
  <c r="U6126" i="2"/>
  <c r="C6126" i="2"/>
  <c r="C6125" i="2"/>
  <c r="U6125" i="2" s="1"/>
  <c r="U6124" i="2"/>
  <c r="C6124" i="2"/>
  <c r="C6123" i="2"/>
  <c r="U6123" i="2" s="1"/>
  <c r="U6122" i="2"/>
  <c r="C6122" i="2"/>
  <c r="C6121" i="2"/>
  <c r="U6121" i="2" s="1"/>
  <c r="U6120" i="2"/>
  <c r="C6120" i="2"/>
  <c r="C6119" i="2"/>
  <c r="U6119" i="2" s="1"/>
  <c r="U6118" i="2"/>
  <c r="C6118" i="2"/>
  <c r="C6117" i="2"/>
  <c r="U6117" i="2" s="1"/>
  <c r="U6116" i="2"/>
  <c r="C6116" i="2"/>
  <c r="C6115" i="2"/>
  <c r="U6115" i="2" s="1"/>
  <c r="U6114" i="2"/>
  <c r="C6114" i="2"/>
  <c r="C6113" i="2"/>
  <c r="U6113" i="2" s="1"/>
  <c r="U6112" i="2"/>
  <c r="C6112" i="2"/>
  <c r="C6111" i="2"/>
  <c r="U6111" i="2" s="1"/>
  <c r="U6110" i="2"/>
  <c r="C6110" i="2"/>
  <c r="C6109" i="2"/>
  <c r="U6109" i="2" s="1"/>
  <c r="U6108" i="2"/>
  <c r="C6108" i="2"/>
  <c r="C6107" i="2"/>
  <c r="U6107" i="2" s="1"/>
  <c r="U6106" i="2"/>
  <c r="C6106" i="2"/>
  <c r="C6105" i="2"/>
  <c r="U6105" i="2" s="1"/>
  <c r="U6104" i="2"/>
  <c r="C6104" i="2"/>
  <c r="C6103" i="2"/>
  <c r="U6103" i="2" s="1"/>
  <c r="U6102" i="2"/>
  <c r="C6102" i="2"/>
  <c r="C6101" i="2"/>
  <c r="U6101" i="2" s="1"/>
  <c r="U6100" i="2"/>
  <c r="C6100" i="2"/>
  <c r="C6099" i="2"/>
  <c r="U6099" i="2" s="1"/>
  <c r="U6098" i="2"/>
  <c r="C6098" i="2"/>
  <c r="C6097" i="2"/>
  <c r="U6097" i="2" s="1"/>
  <c r="U6096" i="2"/>
  <c r="C6096" i="2"/>
  <c r="C6095" i="2"/>
  <c r="U6095" i="2" s="1"/>
  <c r="U6094" i="2"/>
  <c r="C6094" i="2"/>
  <c r="C6093" i="2"/>
  <c r="U6093" i="2" s="1"/>
  <c r="U6092" i="2"/>
  <c r="C6092" i="2"/>
  <c r="C6091" i="2"/>
  <c r="U6091" i="2" s="1"/>
  <c r="U6090" i="2"/>
  <c r="C6090" i="2"/>
  <c r="C6089" i="2"/>
  <c r="U6089" i="2" s="1"/>
  <c r="U6088" i="2"/>
  <c r="C6088" i="2"/>
  <c r="C6087" i="2"/>
  <c r="U6087" i="2" s="1"/>
  <c r="U6086" i="2"/>
  <c r="C6086" i="2"/>
  <c r="C6085" i="2"/>
  <c r="U6085" i="2" s="1"/>
  <c r="U6084" i="2"/>
  <c r="C6084" i="2"/>
  <c r="C6083" i="2"/>
  <c r="U6083" i="2" s="1"/>
  <c r="U6082" i="2"/>
  <c r="C6082" i="2"/>
  <c r="C6081" i="2"/>
  <c r="U6081" i="2" s="1"/>
  <c r="U6080" i="2"/>
  <c r="C6080" i="2"/>
  <c r="C6079" i="2"/>
  <c r="U6079" i="2" s="1"/>
  <c r="U6078" i="2"/>
  <c r="C6078" i="2"/>
  <c r="C6077" i="2"/>
  <c r="U6077" i="2" s="1"/>
  <c r="U6076" i="2"/>
  <c r="C6076" i="2"/>
  <c r="C6075" i="2"/>
  <c r="U6075" i="2" s="1"/>
  <c r="U6074" i="2"/>
  <c r="C6074" i="2"/>
  <c r="C6073" i="2"/>
  <c r="U6073" i="2" s="1"/>
  <c r="U6072" i="2"/>
  <c r="C6072" i="2"/>
  <c r="C6071" i="2"/>
  <c r="U6071" i="2" s="1"/>
  <c r="U6070" i="2"/>
  <c r="C6070" i="2"/>
  <c r="C6069" i="2"/>
  <c r="U6069" i="2" s="1"/>
  <c r="U6068" i="2"/>
  <c r="C6068" i="2"/>
  <c r="C6067" i="2"/>
  <c r="U6067" i="2" s="1"/>
  <c r="U6066" i="2"/>
  <c r="C6066" i="2"/>
  <c r="C6065" i="2"/>
  <c r="U6065" i="2" s="1"/>
  <c r="U6064" i="2"/>
  <c r="C6064" i="2"/>
  <c r="C6063" i="2"/>
  <c r="U6063" i="2" s="1"/>
  <c r="U6062" i="2"/>
  <c r="C6062" i="2"/>
  <c r="C6061" i="2"/>
  <c r="U6061" i="2" s="1"/>
  <c r="U6060" i="2"/>
  <c r="C6060" i="2"/>
  <c r="C6059" i="2"/>
  <c r="U6059" i="2" s="1"/>
  <c r="U6058" i="2"/>
  <c r="C6058" i="2"/>
  <c r="C6057" i="2"/>
  <c r="U6057" i="2" s="1"/>
  <c r="U6056" i="2"/>
  <c r="C6056" i="2"/>
  <c r="C6055" i="2"/>
  <c r="U6055" i="2" s="1"/>
  <c r="U6054" i="2"/>
  <c r="C6054" i="2"/>
  <c r="C6053" i="2"/>
  <c r="U6053" i="2" s="1"/>
  <c r="U6052" i="2"/>
  <c r="C6052" i="2"/>
  <c r="C6051" i="2"/>
  <c r="U6051" i="2" s="1"/>
  <c r="U6050" i="2"/>
  <c r="C6050" i="2"/>
  <c r="C6049" i="2"/>
  <c r="U6049" i="2" s="1"/>
  <c r="U6048" i="2"/>
  <c r="C6048" i="2"/>
  <c r="C6047" i="2"/>
  <c r="U6047" i="2" s="1"/>
  <c r="U6046" i="2"/>
  <c r="C6046" i="2"/>
  <c r="C6045" i="2"/>
  <c r="U6045" i="2" s="1"/>
  <c r="U6044" i="2"/>
  <c r="C6044" i="2"/>
  <c r="C6043" i="2"/>
  <c r="U6043" i="2" s="1"/>
  <c r="U6042" i="2"/>
  <c r="C6042" i="2"/>
  <c r="C6041" i="2"/>
  <c r="U6041" i="2" s="1"/>
  <c r="U6040" i="2"/>
  <c r="C6040" i="2"/>
  <c r="C6039" i="2"/>
  <c r="U6039" i="2" s="1"/>
  <c r="U6038" i="2"/>
  <c r="C6038" i="2"/>
  <c r="C6037" i="2"/>
  <c r="U6037" i="2" s="1"/>
  <c r="U6036" i="2"/>
  <c r="C6036" i="2"/>
  <c r="C6035" i="2"/>
  <c r="U6035" i="2" s="1"/>
  <c r="U6034" i="2"/>
  <c r="C6034" i="2"/>
  <c r="C6033" i="2"/>
  <c r="U6033" i="2" s="1"/>
  <c r="U6032" i="2"/>
  <c r="C6032" i="2"/>
  <c r="C6031" i="2"/>
  <c r="U6031" i="2" s="1"/>
  <c r="U6030" i="2"/>
  <c r="C6030" i="2"/>
  <c r="C6029" i="2"/>
  <c r="U6029" i="2" s="1"/>
  <c r="U6028" i="2"/>
  <c r="C6028" i="2"/>
  <c r="C6027" i="2"/>
  <c r="U6027" i="2" s="1"/>
  <c r="U6026" i="2"/>
  <c r="C6026" i="2"/>
  <c r="C6025" i="2"/>
  <c r="U6025" i="2" s="1"/>
  <c r="U6024" i="2"/>
  <c r="C6024" i="2"/>
  <c r="C6023" i="2"/>
  <c r="U6023" i="2" s="1"/>
  <c r="U6022" i="2"/>
  <c r="C6022" i="2"/>
  <c r="C6021" i="2"/>
  <c r="U6021" i="2" s="1"/>
  <c r="U6020" i="2"/>
  <c r="C6020" i="2"/>
  <c r="C6019" i="2"/>
  <c r="U6019" i="2" s="1"/>
  <c r="U6018" i="2"/>
  <c r="C6018" i="2"/>
  <c r="C6017" i="2"/>
  <c r="U6017" i="2" s="1"/>
  <c r="U6016" i="2"/>
  <c r="C6016" i="2"/>
  <c r="C6015" i="2"/>
  <c r="U6015" i="2" s="1"/>
  <c r="U6014" i="2"/>
  <c r="C6014" i="2"/>
  <c r="C6013" i="2"/>
  <c r="U6013" i="2" s="1"/>
  <c r="U6012" i="2"/>
  <c r="C6012" i="2"/>
  <c r="C6011" i="2"/>
  <c r="U6011" i="2" s="1"/>
  <c r="U6010" i="2"/>
  <c r="C6010" i="2"/>
  <c r="C6009" i="2"/>
  <c r="U6009" i="2" s="1"/>
  <c r="U6008" i="2"/>
  <c r="C6008" i="2"/>
  <c r="C6007" i="2"/>
  <c r="U6007" i="2" s="1"/>
  <c r="U6006" i="2"/>
  <c r="C6006" i="2"/>
  <c r="C6005" i="2"/>
  <c r="U6005" i="2" s="1"/>
  <c r="U6004" i="2"/>
  <c r="C6004" i="2"/>
  <c r="C6003" i="2"/>
  <c r="U6003" i="2" s="1"/>
  <c r="U6002" i="2"/>
  <c r="C6002" i="2"/>
  <c r="C6001" i="2"/>
  <c r="U6001" i="2" s="1"/>
  <c r="U6000" i="2"/>
  <c r="C6000" i="2"/>
  <c r="C5999" i="2"/>
  <c r="U5999" i="2" s="1"/>
  <c r="U5998" i="2"/>
  <c r="C5998" i="2"/>
  <c r="C5997" i="2"/>
  <c r="U5997" i="2" s="1"/>
  <c r="U5996" i="2"/>
  <c r="C5996" i="2"/>
  <c r="C5995" i="2"/>
  <c r="U5995" i="2" s="1"/>
  <c r="U5994" i="2"/>
  <c r="C5994" i="2"/>
  <c r="C5993" i="2"/>
  <c r="U5993" i="2" s="1"/>
  <c r="U5992" i="2"/>
  <c r="C5992" i="2"/>
  <c r="C5991" i="2"/>
  <c r="U5991" i="2" s="1"/>
  <c r="U5990" i="2"/>
  <c r="C5990" i="2"/>
  <c r="C5989" i="2"/>
  <c r="U5989" i="2" s="1"/>
  <c r="U5988" i="2"/>
  <c r="C5988" i="2"/>
  <c r="C5987" i="2"/>
  <c r="U5987" i="2" s="1"/>
  <c r="U5986" i="2"/>
  <c r="C5986" i="2"/>
  <c r="C5985" i="2"/>
  <c r="U5985" i="2" s="1"/>
  <c r="U5984" i="2"/>
  <c r="C5984" i="2"/>
  <c r="C5983" i="2"/>
  <c r="U5983" i="2" s="1"/>
  <c r="U5982" i="2"/>
  <c r="C5982" i="2"/>
  <c r="C5981" i="2"/>
  <c r="U5981" i="2" s="1"/>
  <c r="U5980" i="2"/>
  <c r="C5980" i="2"/>
  <c r="C5979" i="2"/>
  <c r="U5979" i="2" s="1"/>
  <c r="U5978" i="2"/>
  <c r="C5978" i="2"/>
  <c r="C5977" i="2"/>
  <c r="U5977" i="2" s="1"/>
  <c r="U5976" i="2"/>
  <c r="C5976" i="2"/>
  <c r="C5975" i="2"/>
  <c r="U5975" i="2" s="1"/>
  <c r="U5974" i="2"/>
  <c r="C5974" i="2"/>
  <c r="C5973" i="2"/>
  <c r="U5973" i="2" s="1"/>
  <c r="U5972" i="2"/>
  <c r="C5972" i="2"/>
  <c r="C5971" i="2"/>
  <c r="U5971" i="2" s="1"/>
  <c r="U5970" i="2"/>
  <c r="C5970" i="2"/>
  <c r="C5969" i="2"/>
  <c r="U5969" i="2" s="1"/>
  <c r="U5968" i="2"/>
  <c r="C5968" i="2"/>
  <c r="C5967" i="2"/>
  <c r="U5967" i="2" s="1"/>
  <c r="U5966" i="2"/>
  <c r="C5966" i="2"/>
  <c r="C5965" i="2"/>
  <c r="U5965" i="2" s="1"/>
  <c r="U5964" i="2"/>
  <c r="C5964" i="2"/>
  <c r="C5963" i="2"/>
  <c r="U5963" i="2" s="1"/>
  <c r="U5962" i="2"/>
  <c r="C5962" i="2"/>
  <c r="C5961" i="2"/>
  <c r="U5961" i="2" s="1"/>
  <c r="U5960" i="2"/>
  <c r="C5960" i="2"/>
  <c r="C5959" i="2"/>
  <c r="U5959" i="2" s="1"/>
  <c r="U5958" i="2"/>
  <c r="C5958" i="2"/>
  <c r="C5957" i="2"/>
  <c r="U5957" i="2" s="1"/>
  <c r="U5956" i="2"/>
  <c r="C5956" i="2"/>
  <c r="C5955" i="2"/>
  <c r="U5955" i="2" s="1"/>
  <c r="U5954" i="2"/>
  <c r="C5954" i="2"/>
  <c r="C5953" i="2"/>
  <c r="U5953" i="2" s="1"/>
  <c r="U5952" i="2"/>
  <c r="C5952" i="2"/>
  <c r="C5951" i="2"/>
  <c r="U5951" i="2" s="1"/>
  <c r="U5950" i="2"/>
  <c r="C5950" i="2"/>
  <c r="C5949" i="2"/>
  <c r="U5949" i="2" s="1"/>
  <c r="U5948" i="2"/>
  <c r="C5948" i="2"/>
  <c r="C5947" i="2"/>
  <c r="U5947" i="2" s="1"/>
  <c r="U5946" i="2"/>
  <c r="C5946" i="2"/>
  <c r="C5945" i="2"/>
  <c r="U5945" i="2" s="1"/>
  <c r="U5944" i="2"/>
  <c r="C5944" i="2"/>
  <c r="C5943" i="2"/>
  <c r="U5943" i="2" s="1"/>
  <c r="U5942" i="2"/>
  <c r="C5942" i="2"/>
  <c r="C5941" i="2"/>
  <c r="U5941" i="2" s="1"/>
  <c r="U5940" i="2"/>
  <c r="C5940" i="2"/>
  <c r="C5939" i="2"/>
  <c r="U5939" i="2" s="1"/>
  <c r="U5938" i="2"/>
  <c r="C5938" i="2"/>
  <c r="C5937" i="2"/>
  <c r="U5937" i="2" s="1"/>
  <c r="U5936" i="2"/>
  <c r="C5936" i="2"/>
  <c r="C5935" i="2"/>
  <c r="U5935" i="2" s="1"/>
  <c r="U5934" i="2"/>
  <c r="C5934" i="2"/>
  <c r="C5933" i="2"/>
  <c r="U5933" i="2" s="1"/>
  <c r="U5932" i="2"/>
  <c r="C5932" i="2"/>
  <c r="C5931" i="2"/>
  <c r="U5931" i="2" s="1"/>
  <c r="U5930" i="2"/>
  <c r="C5930" i="2"/>
  <c r="C5929" i="2"/>
  <c r="U5929" i="2" s="1"/>
  <c r="U5928" i="2"/>
  <c r="C5928" i="2"/>
  <c r="C5927" i="2"/>
  <c r="U5927" i="2" s="1"/>
  <c r="U5926" i="2"/>
  <c r="C5926" i="2"/>
  <c r="C5925" i="2"/>
  <c r="U5925" i="2" s="1"/>
  <c r="U5924" i="2"/>
  <c r="C5924" i="2"/>
  <c r="C5923" i="2"/>
  <c r="U5923" i="2" s="1"/>
  <c r="U5922" i="2"/>
  <c r="C5922" i="2"/>
  <c r="C5921" i="2"/>
  <c r="U5921" i="2" s="1"/>
  <c r="U5920" i="2"/>
  <c r="C5920" i="2"/>
  <c r="C5919" i="2"/>
  <c r="U5919" i="2" s="1"/>
  <c r="U5918" i="2"/>
  <c r="C5918" i="2"/>
  <c r="C5917" i="2"/>
  <c r="U5917" i="2" s="1"/>
  <c r="U5916" i="2"/>
  <c r="C5916" i="2"/>
  <c r="C5915" i="2"/>
  <c r="U5915" i="2" s="1"/>
  <c r="U5914" i="2"/>
  <c r="C5914" i="2"/>
  <c r="C5913" i="2"/>
  <c r="U5913" i="2" s="1"/>
  <c r="U5912" i="2"/>
  <c r="C5912" i="2"/>
  <c r="C5911" i="2"/>
  <c r="U5911" i="2" s="1"/>
  <c r="U5910" i="2"/>
  <c r="C5910" i="2"/>
  <c r="C5909" i="2"/>
  <c r="U5909" i="2" s="1"/>
  <c r="U5908" i="2"/>
  <c r="C5908" i="2"/>
  <c r="C5907" i="2"/>
  <c r="U5907" i="2" s="1"/>
  <c r="U5906" i="2"/>
  <c r="C5906" i="2"/>
  <c r="C5905" i="2"/>
  <c r="U5905" i="2" s="1"/>
  <c r="U5904" i="2"/>
  <c r="C5904" i="2"/>
  <c r="C5903" i="2"/>
  <c r="U5903" i="2" s="1"/>
  <c r="U5902" i="2"/>
  <c r="C5902" i="2"/>
  <c r="C5901" i="2"/>
  <c r="U5901" i="2" s="1"/>
  <c r="U5900" i="2"/>
  <c r="C5900" i="2"/>
  <c r="C5899" i="2"/>
  <c r="U5899" i="2" s="1"/>
  <c r="U5898" i="2"/>
  <c r="C5898" i="2"/>
  <c r="C5897" i="2"/>
  <c r="U5897" i="2" s="1"/>
  <c r="U5896" i="2"/>
  <c r="C5896" i="2"/>
  <c r="C5895" i="2"/>
  <c r="U5895" i="2" s="1"/>
  <c r="U5894" i="2"/>
  <c r="C5894" i="2"/>
  <c r="C5893" i="2"/>
  <c r="U5893" i="2" s="1"/>
  <c r="U5892" i="2"/>
  <c r="C5892" i="2"/>
  <c r="C5891" i="2"/>
  <c r="U5891" i="2" s="1"/>
  <c r="U5890" i="2"/>
  <c r="C5890" i="2"/>
  <c r="C5889" i="2"/>
  <c r="U5889" i="2" s="1"/>
  <c r="U5888" i="2"/>
  <c r="C5888" i="2"/>
  <c r="C5887" i="2"/>
  <c r="U5887" i="2" s="1"/>
  <c r="U5886" i="2"/>
  <c r="C5886" i="2"/>
  <c r="C5885" i="2"/>
  <c r="U5885" i="2" s="1"/>
  <c r="U5884" i="2"/>
  <c r="C5884" i="2"/>
  <c r="C5883" i="2"/>
  <c r="U5883" i="2" s="1"/>
  <c r="U5882" i="2"/>
  <c r="C5882" i="2"/>
  <c r="C5881" i="2"/>
  <c r="U5881" i="2" s="1"/>
  <c r="U5880" i="2"/>
  <c r="C5880" i="2"/>
  <c r="C5879" i="2"/>
  <c r="U5879" i="2" s="1"/>
  <c r="U5878" i="2"/>
  <c r="C5878" i="2"/>
  <c r="C5877" i="2"/>
  <c r="U5877" i="2" s="1"/>
  <c r="U5876" i="2"/>
  <c r="C5876" i="2"/>
  <c r="C5875" i="2"/>
  <c r="U5875" i="2" s="1"/>
  <c r="U5874" i="2"/>
  <c r="C5874" i="2"/>
  <c r="C5873" i="2"/>
  <c r="U5873" i="2" s="1"/>
  <c r="U5872" i="2"/>
  <c r="C5872" i="2"/>
  <c r="C5871" i="2"/>
  <c r="U5871" i="2" s="1"/>
  <c r="U5870" i="2"/>
  <c r="C5870" i="2"/>
  <c r="C5869" i="2"/>
  <c r="U5869" i="2" s="1"/>
  <c r="U5868" i="2"/>
  <c r="C5868" i="2"/>
  <c r="C5867" i="2"/>
  <c r="U5867" i="2" s="1"/>
  <c r="U5866" i="2"/>
  <c r="C5866" i="2"/>
  <c r="C5865" i="2"/>
  <c r="U5865" i="2" s="1"/>
  <c r="U5864" i="2"/>
  <c r="C5864" i="2"/>
  <c r="C5863" i="2"/>
  <c r="U5863" i="2" s="1"/>
  <c r="U5862" i="2"/>
  <c r="C5862" i="2"/>
  <c r="C5861" i="2"/>
  <c r="U5861" i="2" s="1"/>
  <c r="U5860" i="2"/>
  <c r="C5860" i="2"/>
  <c r="C5859" i="2"/>
  <c r="U5859" i="2" s="1"/>
  <c r="U5858" i="2"/>
  <c r="C5858" i="2"/>
  <c r="C5857" i="2"/>
  <c r="U5857" i="2" s="1"/>
  <c r="U5856" i="2"/>
  <c r="C5856" i="2"/>
  <c r="C5855" i="2"/>
  <c r="U5855" i="2" s="1"/>
  <c r="U5854" i="2"/>
  <c r="C5854" i="2"/>
  <c r="C5853" i="2"/>
  <c r="U5853" i="2" s="1"/>
  <c r="U5852" i="2"/>
  <c r="C5852" i="2"/>
  <c r="C5851" i="2"/>
  <c r="U5851" i="2" s="1"/>
  <c r="U5850" i="2"/>
  <c r="C5850" i="2"/>
  <c r="C5849" i="2"/>
  <c r="U5849" i="2" s="1"/>
  <c r="U5848" i="2"/>
  <c r="C5848" i="2"/>
  <c r="C5847" i="2"/>
  <c r="U5847" i="2" s="1"/>
  <c r="U5846" i="2"/>
  <c r="C5846" i="2"/>
  <c r="C5845" i="2"/>
  <c r="U5845" i="2" s="1"/>
  <c r="U5844" i="2"/>
  <c r="C5844" i="2"/>
  <c r="C5843" i="2"/>
  <c r="U5843" i="2" s="1"/>
  <c r="U5842" i="2"/>
  <c r="C5842" i="2"/>
  <c r="C5841" i="2"/>
  <c r="U5841" i="2" s="1"/>
  <c r="U5840" i="2"/>
  <c r="C5840" i="2"/>
  <c r="C5839" i="2"/>
  <c r="U5839" i="2" s="1"/>
  <c r="U5838" i="2"/>
  <c r="C5838" i="2"/>
  <c r="C5837" i="2"/>
  <c r="U5837" i="2" s="1"/>
  <c r="U5836" i="2"/>
  <c r="C5836" i="2"/>
  <c r="C5835" i="2"/>
  <c r="U5835" i="2" s="1"/>
  <c r="U5834" i="2"/>
  <c r="C5834" i="2"/>
  <c r="C5833" i="2"/>
  <c r="U5833" i="2" s="1"/>
  <c r="U5832" i="2"/>
  <c r="C5832" i="2"/>
  <c r="C5831" i="2"/>
  <c r="U5831" i="2" s="1"/>
  <c r="U5830" i="2"/>
  <c r="C5830" i="2"/>
  <c r="C5829" i="2"/>
  <c r="U5829" i="2" s="1"/>
  <c r="U5828" i="2"/>
  <c r="C5828" i="2"/>
  <c r="C5827" i="2"/>
  <c r="U5827" i="2" s="1"/>
  <c r="U5826" i="2"/>
  <c r="C5826" i="2"/>
  <c r="C5825" i="2"/>
  <c r="U5825" i="2" s="1"/>
  <c r="U5824" i="2"/>
  <c r="C5824" i="2"/>
  <c r="C5823" i="2"/>
  <c r="U5823" i="2" s="1"/>
  <c r="U5822" i="2"/>
  <c r="C5822" i="2"/>
  <c r="C5821" i="2"/>
  <c r="U5821" i="2" s="1"/>
  <c r="U5820" i="2"/>
  <c r="C5820" i="2"/>
  <c r="C5819" i="2"/>
  <c r="U5819" i="2" s="1"/>
  <c r="U5818" i="2"/>
  <c r="C5818" i="2"/>
  <c r="C5817" i="2"/>
  <c r="U5817" i="2" s="1"/>
  <c r="U5816" i="2"/>
  <c r="C5816" i="2"/>
  <c r="C5815" i="2"/>
  <c r="U5815" i="2" s="1"/>
  <c r="U5814" i="2"/>
  <c r="C5814" i="2"/>
  <c r="C5813" i="2"/>
  <c r="U5813" i="2" s="1"/>
  <c r="U5812" i="2"/>
  <c r="C5812" i="2"/>
  <c r="C5811" i="2"/>
  <c r="U5811" i="2" s="1"/>
  <c r="U5810" i="2"/>
  <c r="C5810" i="2"/>
  <c r="C5809" i="2"/>
  <c r="U5809" i="2" s="1"/>
  <c r="U5808" i="2"/>
  <c r="C5808" i="2"/>
  <c r="C5807" i="2"/>
  <c r="U5807" i="2" s="1"/>
  <c r="U5806" i="2"/>
  <c r="C5806" i="2"/>
  <c r="C5805" i="2"/>
  <c r="U5805" i="2" s="1"/>
  <c r="U5804" i="2"/>
  <c r="C5804" i="2"/>
  <c r="C5803" i="2"/>
  <c r="U5803" i="2" s="1"/>
  <c r="U5802" i="2"/>
  <c r="C5802" i="2"/>
  <c r="C5801" i="2"/>
  <c r="U5801" i="2" s="1"/>
  <c r="U5800" i="2"/>
  <c r="C5800" i="2"/>
  <c r="C5799" i="2"/>
  <c r="U5799" i="2" s="1"/>
  <c r="U5798" i="2"/>
  <c r="C5798" i="2"/>
  <c r="C5797" i="2"/>
  <c r="U5797" i="2" s="1"/>
  <c r="U5796" i="2"/>
  <c r="C5796" i="2"/>
  <c r="C5795" i="2"/>
  <c r="U5795" i="2" s="1"/>
  <c r="U5794" i="2"/>
  <c r="C5794" i="2"/>
  <c r="C5793" i="2"/>
  <c r="U5793" i="2" s="1"/>
  <c r="U5792" i="2"/>
  <c r="C5792" i="2"/>
  <c r="C5791" i="2"/>
  <c r="U5791" i="2" s="1"/>
  <c r="U5790" i="2"/>
  <c r="C5790" i="2"/>
  <c r="C5789" i="2"/>
  <c r="U5789" i="2" s="1"/>
  <c r="U5788" i="2"/>
  <c r="C5788" i="2"/>
  <c r="C5787" i="2"/>
  <c r="U5787" i="2" s="1"/>
  <c r="U5786" i="2"/>
  <c r="C5786" i="2"/>
  <c r="C5785" i="2"/>
  <c r="U5785" i="2" s="1"/>
  <c r="U5784" i="2"/>
  <c r="C5784" i="2"/>
  <c r="C5783" i="2"/>
  <c r="U5783" i="2" s="1"/>
  <c r="U5782" i="2"/>
  <c r="C5782" i="2"/>
  <c r="C5781" i="2"/>
  <c r="U5781" i="2" s="1"/>
  <c r="U5780" i="2"/>
  <c r="C5780" i="2"/>
  <c r="C5779" i="2"/>
  <c r="U5779" i="2" s="1"/>
  <c r="U5778" i="2"/>
  <c r="C5778" i="2"/>
  <c r="C5777" i="2"/>
  <c r="U5777" i="2" s="1"/>
  <c r="U5776" i="2"/>
  <c r="C5776" i="2"/>
  <c r="C5775" i="2"/>
  <c r="U5775" i="2" s="1"/>
  <c r="U5774" i="2"/>
  <c r="C5774" i="2"/>
  <c r="C5773" i="2"/>
  <c r="U5773" i="2" s="1"/>
  <c r="U5772" i="2"/>
  <c r="C5772" i="2"/>
  <c r="C5771" i="2"/>
  <c r="U5771" i="2" s="1"/>
  <c r="U5770" i="2"/>
  <c r="C5770" i="2"/>
  <c r="C5769" i="2"/>
  <c r="U5769" i="2" s="1"/>
  <c r="U5768" i="2"/>
  <c r="C5768" i="2"/>
  <c r="C5767" i="2"/>
  <c r="U5767" i="2" s="1"/>
  <c r="U5766" i="2"/>
  <c r="C5766" i="2"/>
  <c r="C5765" i="2"/>
  <c r="U5765" i="2" s="1"/>
  <c r="U5764" i="2"/>
  <c r="C5764" i="2"/>
  <c r="C5763" i="2"/>
  <c r="U5763" i="2" s="1"/>
  <c r="U5762" i="2"/>
  <c r="C5762" i="2"/>
  <c r="C5761" i="2"/>
  <c r="U5761" i="2" s="1"/>
  <c r="U5760" i="2"/>
  <c r="C5760" i="2"/>
  <c r="C5759" i="2"/>
  <c r="U5759" i="2" s="1"/>
  <c r="U5758" i="2"/>
  <c r="C5758" i="2"/>
  <c r="C5757" i="2"/>
  <c r="U5757" i="2" s="1"/>
  <c r="U5756" i="2"/>
  <c r="C5756" i="2"/>
  <c r="C5755" i="2"/>
  <c r="U5755" i="2" s="1"/>
  <c r="U5754" i="2"/>
  <c r="C5754" i="2"/>
  <c r="C5753" i="2"/>
  <c r="U5753" i="2" s="1"/>
  <c r="U5752" i="2"/>
  <c r="C5752" i="2"/>
  <c r="C5751" i="2"/>
  <c r="U5751" i="2" s="1"/>
  <c r="U5750" i="2"/>
  <c r="C5750" i="2"/>
  <c r="C5749" i="2"/>
  <c r="U5749" i="2" s="1"/>
  <c r="U5748" i="2"/>
  <c r="C5748" i="2"/>
  <c r="C5747" i="2"/>
  <c r="U5747" i="2" s="1"/>
  <c r="U5746" i="2"/>
  <c r="C5746" i="2"/>
  <c r="C5745" i="2"/>
  <c r="U5745" i="2" s="1"/>
  <c r="U5744" i="2"/>
  <c r="C5744" i="2"/>
  <c r="C5743" i="2"/>
  <c r="U5743" i="2" s="1"/>
  <c r="U5742" i="2"/>
  <c r="C5742" i="2"/>
  <c r="C5741" i="2"/>
  <c r="U5741" i="2" s="1"/>
  <c r="U5740" i="2"/>
  <c r="C5740" i="2"/>
  <c r="C5739" i="2"/>
  <c r="U5739" i="2" s="1"/>
  <c r="U5738" i="2"/>
  <c r="C5738" i="2"/>
  <c r="C5737" i="2"/>
  <c r="U5737" i="2" s="1"/>
  <c r="U5736" i="2"/>
  <c r="C5736" i="2"/>
  <c r="C5735" i="2"/>
  <c r="U5735" i="2" s="1"/>
  <c r="U5734" i="2"/>
  <c r="C5734" i="2"/>
  <c r="C5733" i="2"/>
  <c r="U5733" i="2" s="1"/>
  <c r="U5732" i="2"/>
  <c r="C5732" i="2"/>
  <c r="C5731" i="2"/>
  <c r="U5731" i="2" s="1"/>
  <c r="U5730" i="2"/>
  <c r="C5730" i="2"/>
  <c r="C5729" i="2"/>
  <c r="U5729" i="2" s="1"/>
  <c r="U5728" i="2"/>
  <c r="C5728" i="2"/>
  <c r="C5727" i="2"/>
  <c r="U5727" i="2" s="1"/>
  <c r="U5726" i="2"/>
  <c r="C5726" i="2"/>
  <c r="C5725" i="2"/>
  <c r="U5725" i="2" s="1"/>
  <c r="U5724" i="2"/>
  <c r="C5724" i="2"/>
  <c r="C5723" i="2"/>
  <c r="U5723" i="2" s="1"/>
  <c r="U5722" i="2"/>
  <c r="C5722" i="2"/>
  <c r="C5721" i="2"/>
  <c r="U5721" i="2" s="1"/>
  <c r="U5720" i="2"/>
  <c r="C5720" i="2"/>
  <c r="C5719" i="2"/>
  <c r="U5719" i="2" s="1"/>
  <c r="U5718" i="2"/>
  <c r="C5718" i="2"/>
  <c r="C5717" i="2"/>
  <c r="U5717" i="2" s="1"/>
  <c r="U5716" i="2"/>
  <c r="C5716" i="2"/>
  <c r="C5715" i="2"/>
  <c r="U5715" i="2" s="1"/>
  <c r="U5714" i="2"/>
  <c r="C5714" i="2"/>
  <c r="C5713" i="2"/>
  <c r="U5713" i="2" s="1"/>
  <c r="U5712" i="2"/>
  <c r="C5712" i="2"/>
  <c r="C5711" i="2"/>
  <c r="U5711" i="2" s="1"/>
  <c r="U5710" i="2"/>
  <c r="C5710" i="2"/>
  <c r="C5709" i="2"/>
  <c r="U5709" i="2" s="1"/>
  <c r="U5708" i="2"/>
  <c r="C5708" i="2"/>
  <c r="C5707" i="2"/>
  <c r="U5707" i="2" s="1"/>
  <c r="U5706" i="2"/>
  <c r="C5706" i="2"/>
  <c r="C5705" i="2"/>
  <c r="U5705" i="2" s="1"/>
  <c r="U5704" i="2"/>
  <c r="C5704" i="2"/>
  <c r="C5703" i="2"/>
  <c r="U5703" i="2" s="1"/>
  <c r="U5702" i="2"/>
  <c r="C5702" i="2"/>
  <c r="C5701" i="2"/>
  <c r="U5701" i="2" s="1"/>
  <c r="U5700" i="2"/>
  <c r="C5700" i="2"/>
  <c r="C5699" i="2"/>
  <c r="U5699" i="2" s="1"/>
  <c r="U5698" i="2"/>
  <c r="C5698" i="2"/>
  <c r="C5697" i="2"/>
  <c r="U5697" i="2" s="1"/>
  <c r="U5696" i="2"/>
  <c r="C5696" i="2"/>
  <c r="C5695" i="2"/>
  <c r="U5695" i="2" s="1"/>
  <c r="U5694" i="2"/>
  <c r="C5694" i="2"/>
  <c r="C5693" i="2"/>
  <c r="U5693" i="2" s="1"/>
  <c r="U5692" i="2"/>
  <c r="C5692" i="2"/>
  <c r="C5691" i="2"/>
  <c r="U5691" i="2" s="1"/>
  <c r="U5690" i="2"/>
  <c r="C5690" i="2"/>
  <c r="C5689" i="2"/>
  <c r="U5689" i="2" s="1"/>
  <c r="U5688" i="2"/>
  <c r="C5688" i="2"/>
  <c r="C5687" i="2"/>
  <c r="U5687" i="2" s="1"/>
  <c r="U5686" i="2"/>
  <c r="C5686" i="2"/>
  <c r="C5685" i="2"/>
  <c r="U5685" i="2" s="1"/>
  <c r="U5684" i="2"/>
  <c r="C5684" i="2"/>
  <c r="C5683" i="2"/>
  <c r="U5683" i="2" s="1"/>
  <c r="U5682" i="2"/>
  <c r="C5682" i="2"/>
  <c r="C5681" i="2"/>
  <c r="U5681" i="2" s="1"/>
  <c r="U5680" i="2"/>
  <c r="C5680" i="2"/>
  <c r="C5679" i="2"/>
  <c r="U5679" i="2" s="1"/>
  <c r="U5678" i="2"/>
  <c r="C5678" i="2"/>
  <c r="C5677" i="2"/>
  <c r="U5677" i="2" s="1"/>
  <c r="U5676" i="2"/>
  <c r="C5676" i="2"/>
  <c r="C5675" i="2"/>
  <c r="U5675" i="2" s="1"/>
  <c r="U5674" i="2"/>
  <c r="C5674" i="2"/>
  <c r="C5673" i="2"/>
  <c r="U5673" i="2" s="1"/>
  <c r="U5672" i="2"/>
  <c r="C5672" i="2"/>
  <c r="C5671" i="2"/>
  <c r="U5671" i="2" s="1"/>
  <c r="U5670" i="2"/>
  <c r="C5670" i="2"/>
  <c r="C5669" i="2"/>
  <c r="U5669" i="2" s="1"/>
  <c r="U5668" i="2"/>
  <c r="C5668" i="2"/>
  <c r="C5667" i="2"/>
  <c r="U5667" i="2" s="1"/>
  <c r="U5666" i="2"/>
  <c r="C5666" i="2"/>
  <c r="C5665" i="2"/>
  <c r="U5665" i="2" s="1"/>
  <c r="U5664" i="2"/>
  <c r="C5664" i="2"/>
  <c r="C5663" i="2"/>
  <c r="U5663" i="2" s="1"/>
  <c r="U5662" i="2"/>
  <c r="C5662" i="2"/>
  <c r="C5661" i="2"/>
  <c r="U5661" i="2" s="1"/>
  <c r="U5660" i="2"/>
  <c r="C5660" i="2"/>
  <c r="C5659" i="2"/>
  <c r="U5659" i="2" s="1"/>
  <c r="U5658" i="2"/>
  <c r="C5658" i="2"/>
  <c r="C5657" i="2"/>
  <c r="U5657" i="2" s="1"/>
  <c r="U5656" i="2"/>
  <c r="C5656" i="2"/>
  <c r="C5655" i="2"/>
  <c r="U5655" i="2" s="1"/>
  <c r="U5654" i="2"/>
  <c r="C5654" i="2"/>
  <c r="C5653" i="2"/>
  <c r="U5653" i="2" s="1"/>
  <c r="U5652" i="2"/>
  <c r="C5652" i="2"/>
  <c r="C5651" i="2"/>
  <c r="U5651" i="2" s="1"/>
  <c r="U5650" i="2"/>
  <c r="C5650" i="2"/>
  <c r="C5649" i="2"/>
  <c r="U5649" i="2" s="1"/>
  <c r="U5648" i="2"/>
  <c r="C5648" i="2"/>
  <c r="C5647" i="2"/>
  <c r="U5647" i="2" s="1"/>
  <c r="U5646" i="2"/>
  <c r="C5646" i="2"/>
  <c r="C5645" i="2"/>
  <c r="U5645" i="2" s="1"/>
  <c r="U5644" i="2"/>
  <c r="C5644" i="2"/>
  <c r="C5643" i="2"/>
  <c r="U5643" i="2" s="1"/>
  <c r="U5642" i="2"/>
  <c r="C5642" i="2"/>
  <c r="C5641" i="2"/>
  <c r="U5641" i="2" s="1"/>
  <c r="U5640" i="2"/>
  <c r="C5640" i="2"/>
  <c r="C5639" i="2"/>
  <c r="U5639" i="2" s="1"/>
  <c r="U5638" i="2"/>
  <c r="C5638" i="2"/>
  <c r="C5637" i="2"/>
  <c r="U5637" i="2" s="1"/>
  <c r="U5636" i="2"/>
  <c r="C5636" i="2"/>
  <c r="C5635" i="2"/>
  <c r="U5635" i="2" s="1"/>
  <c r="U5634" i="2"/>
  <c r="C5634" i="2"/>
  <c r="C5633" i="2"/>
  <c r="U5633" i="2" s="1"/>
  <c r="U5632" i="2"/>
  <c r="C5632" i="2"/>
  <c r="C5631" i="2"/>
  <c r="U5631" i="2" s="1"/>
  <c r="U5630" i="2"/>
  <c r="C5630" i="2"/>
  <c r="C5629" i="2"/>
  <c r="U5629" i="2" s="1"/>
  <c r="U5628" i="2"/>
  <c r="C5628" i="2"/>
  <c r="C5627" i="2"/>
  <c r="U5627" i="2" s="1"/>
  <c r="U5626" i="2"/>
  <c r="C5626" i="2"/>
  <c r="C5625" i="2"/>
  <c r="U5625" i="2" s="1"/>
  <c r="U5624" i="2"/>
  <c r="C5624" i="2"/>
  <c r="C5623" i="2"/>
  <c r="U5623" i="2" s="1"/>
  <c r="U5622" i="2"/>
  <c r="C5622" i="2"/>
  <c r="C5621" i="2"/>
  <c r="U5621" i="2" s="1"/>
  <c r="U5620" i="2"/>
  <c r="C5620" i="2"/>
  <c r="C5619" i="2"/>
  <c r="U5619" i="2" s="1"/>
  <c r="U5618" i="2"/>
  <c r="C5618" i="2"/>
  <c r="C5617" i="2"/>
  <c r="U5617" i="2" s="1"/>
  <c r="U5616" i="2"/>
  <c r="C5616" i="2"/>
  <c r="C5615" i="2"/>
  <c r="U5615" i="2" s="1"/>
  <c r="U5614" i="2"/>
  <c r="C5614" i="2"/>
  <c r="C5613" i="2"/>
  <c r="U5613" i="2" s="1"/>
  <c r="U5612" i="2"/>
  <c r="C5612" i="2"/>
  <c r="C5611" i="2"/>
  <c r="U5611" i="2" s="1"/>
  <c r="U5610" i="2"/>
  <c r="C5610" i="2"/>
  <c r="C5609" i="2"/>
  <c r="U5609" i="2" s="1"/>
  <c r="U5608" i="2"/>
  <c r="C5608" i="2"/>
  <c r="C5607" i="2"/>
  <c r="U5607" i="2" s="1"/>
  <c r="U5606" i="2"/>
  <c r="C5606" i="2"/>
  <c r="C5605" i="2"/>
  <c r="U5605" i="2" s="1"/>
  <c r="U5604" i="2"/>
  <c r="C5604" i="2"/>
  <c r="C5603" i="2"/>
  <c r="U5603" i="2" s="1"/>
  <c r="U5602" i="2"/>
  <c r="C5602" i="2"/>
  <c r="C5601" i="2"/>
  <c r="U5601" i="2" s="1"/>
  <c r="U5600" i="2"/>
  <c r="C5600" i="2"/>
  <c r="C5599" i="2"/>
  <c r="U5599" i="2" s="1"/>
  <c r="U5598" i="2"/>
  <c r="C5598" i="2"/>
  <c r="C5597" i="2"/>
  <c r="U5597" i="2" s="1"/>
  <c r="U5596" i="2"/>
  <c r="C5596" i="2"/>
  <c r="C5595" i="2"/>
  <c r="U5595" i="2" s="1"/>
  <c r="U5594" i="2"/>
  <c r="C5594" i="2"/>
  <c r="C5593" i="2"/>
  <c r="U5593" i="2" s="1"/>
  <c r="U5592" i="2"/>
  <c r="C5592" i="2"/>
  <c r="C5591" i="2"/>
  <c r="U5591" i="2" s="1"/>
  <c r="U5590" i="2"/>
  <c r="C5590" i="2"/>
  <c r="C5589" i="2"/>
  <c r="U5589" i="2" s="1"/>
  <c r="U5588" i="2"/>
  <c r="C5588" i="2"/>
  <c r="C5587" i="2"/>
  <c r="U5587" i="2" s="1"/>
  <c r="U5586" i="2"/>
  <c r="C5586" i="2"/>
  <c r="C5585" i="2"/>
  <c r="U5585" i="2" s="1"/>
  <c r="U5584" i="2"/>
  <c r="C5584" i="2"/>
  <c r="C5583" i="2"/>
  <c r="U5583" i="2" s="1"/>
  <c r="U5582" i="2"/>
  <c r="C5582" i="2"/>
  <c r="C5581" i="2"/>
  <c r="U5581" i="2" s="1"/>
  <c r="U5580" i="2"/>
  <c r="C5580" i="2"/>
  <c r="C5579" i="2"/>
  <c r="U5579" i="2" s="1"/>
  <c r="U5578" i="2"/>
  <c r="C5578" i="2"/>
  <c r="C5577" i="2"/>
  <c r="U5577" i="2" s="1"/>
  <c r="U5576" i="2"/>
  <c r="C5576" i="2"/>
  <c r="C5575" i="2"/>
  <c r="U5575" i="2" s="1"/>
  <c r="U5574" i="2"/>
  <c r="C5574" i="2"/>
  <c r="C5573" i="2"/>
  <c r="U5573" i="2" s="1"/>
  <c r="U5572" i="2"/>
  <c r="C5572" i="2"/>
  <c r="C5571" i="2"/>
  <c r="U5571" i="2" s="1"/>
  <c r="U5570" i="2"/>
  <c r="C5570" i="2"/>
  <c r="C5569" i="2"/>
  <c r="U5569" i="2" s="1"/>
  <c r="U5568" i="2"/>
  <c r="C5568" i="2"/>
  <c r="C5567" i="2"/>
  <c r="U5567" i="2" s="1"/>
  <c r="U5566" i="2"/>
  <c r="C5566" i="2"/>
  <c r="C5565" i="2"/>
  <c r="U5565" i="2" s="1"/>
  <c r="U5564" i="2"/>
  <c r="C5564" i="2"/>
  <c r="C5563" i="2"/>
  <c r="U5563" i="2" s="1"/>
  <c r="U5562" i="2"/>
  <c r="C5562" i="2"/>
  <c r="C5561" i="2"/>
  <c r="U5561" i="2" s="1"/>
  <c r="U5560" i="2"/>
  <c r="C5560" i="2"/>
  <c r="C5559" i="2"/>
  <c r="U5559" i="2" s="1"/>
  <c r="U5558" i="2"/>
  <c r="C5558" i="2"/>
  <c r="C5557" i="2"/>
  <c r="U5557" i="2" s="1"/>
  <c r="U5556" i="2"/>
  <c r="C5556" i="2"/>
  <c r="C5555" i="2"/>
  <c r="U5555" i="2" s="1"/>
  <c r="U5554" i="2"/>
  <c r="C5554" i="2"/>
  <c r="C5553" i="2"/>
  <c r="U5553" i="2" s="1"/>
  <c r="U5552" i="2"/>
  <c r="C5552" i="2"/>
  <c r="C5551" i="2"/>
  <c r="U5551" i="2" s="1"/>
  <c r="U5550" i="2"/>
  <c r="C5550" i="2"/>
  <c r="C5549" i="2"/>
  <c r="U5549" i="2" s="1"/>
  <c r="U5548" i="2"/>
  <c r="C5548" i="2"/>
  <c r="C5547" i="2"/>
  <c r="U5547" i="2" s="1"/>
  <c r="U5546" i="2"/>
  <c r="C5546" i="2"/>
  <c r="C5545" i="2"/>
  <c r="U5545" i="2" s="1"/>
  <c r="U5544" i="2"/>
  <c r="C5544" i="2"/>
  <c r="C5543" i="2"/>
  <c r="U5543" i="2" s="1"/>
  <c r="U5542" i="2"/>
  <c r="C5542" i="2"/>
  <c r="C5541" i="2"/>
  <c r="U5541" i="2" s="1"/>
  <c r="U5540" i="2"/>
  <c r="C5540" i="2"/>
  <c r="C5539" i="2"/>
  <c r="U5539" i="2" s="1"/>
  <c r="U5538" i="2"/>
  <c r="C5538" i="2"/>
  <c r="C5537" i="2"/>
  <c r="U5537" i="2" s="1"/>
  <c r="U5536" i="2"/>
  <c r="C5536" i="2"/>
  <c r="C5535" i="2"/>
  <c r="U5535" i="2" s="1"/>
  <c r="U5534" i="2"/>
  <c r="C5534" i="2"/>
  <c r="C5533" i="2"/>
  <c r="U5533" i="2" s="1"/>
  <c r="U5532" i="2"/>
  <c r="C5532" i="2"/>
  <c r="C5531" i="2"/>
  <c r="U5531" i="2" s="1"/>
  <c r="U5530" i="2"/>
  <c r="C5530" i="2"/>
  <c r="C5529" i="2"/>
  <c r="U5529" i="2" s="1"/>
  <c r="U5528" i="2"/>
  <c r="C5528" i="2"/>
  <c r="C5527" i="2"/>
  <c r="U5527" i="2" s="1"/>
  <c r="U5526" i="2"/>
  <c r="C5526" i="2"/>
  <c r="C5525" i="2"/>
  <c r="U5525" i="2" s="1"/>
  <c r="U5524" i="2"/>
  <c r="C5524" i="2"/>
  <c r="C5523" i="2"/>
  <c r="U5523" i="2" s="1"/>
  <c r="U5522" i="2"/>
  <c r="C5522" i="2"/>
  <c r="C5521" i="2"/>
  <c r="U5521" i="2" s="1"/>
  <c r="U5520" i="2"/>
  <c r="C5520" i="2"/>
  <c r="C5519" i="2"/>
  <c r="U5519" i="2" s="1"/>
  <c r="U5518" i="2"/>
  <c r="C5518" i="2"/>
  <c r="C5517" i="2"/>
  <c r="U5517" i="2" s="1"/>
  <c r="U5516" i="2"/>
  <c r="C5516" i="2"/>
  <c r="C5515" i="2"/>
  <c r="U5515" i="2" s="1"/>
  <c r="U5514" i="2"/>
  <c r="C5514" i="2"/>
  <c r="C5513" i="2"/>
  <c r="U5513" i="2" s="1"/>
  <c r="U5512" i="2"/>
  <c r="C5512" i="2"/>
  <c r="C5511" i="2"/>
  <c r="U5511" i="2" s="1"/>
  <c r="U5510" i="2"/>
  <c r="C5510" i="2"/>
  <c r="C5509" i="2"/>
  <c r="U5509" i="2" s="1"/>
  <c r="U5508" i="2"/>
  <c r="C5508" i="2"/>
  <c r="C5507" i="2"/>
  <c r="U5507" i="2" s="1"/>
  <c r="U5506" i="2"/>
  <c r="C5506" i="2"/>
  <c r="C5505" i="2"/>
  <c r="U5505" i="2" s="1"/>
  <c r="U5504" i="2"/>
  <c r="C5504" i="2"/>
  <c r="C5503" i="2"/>
  <c r="U5503" i="2" s="1"/>
  <c r="U5502" i="2"/>
  <c r="C5502" i="2"/>
  <c r="C5501" i="2"/>
  <c r="U5501" i="2" s="1"/>
  <c r="U5500" i="2"/>
  <c r="C5500" i="2"/>
  <c r="C5499" i="2"/>
  <c r="U5499" i="2" s="1"/>
  <c r="U5498" i="2"/>
  <c r="C5498" i="2"/>
  <c r="C5497" i="2"/>
  <c r="U5497" i="2" s="1"/>
  <c r="U5496" i="2"/>
  <c r="C5496" i="2"/>
  <c r="C5495" i="2"/>
  <c r="U5495" i="2" s="1"/>
  <c r="U5494" i="2"/>
  <c r="C5494" i="2"/>
  <c r="C5493" i="2"/>
  <c r="U5493" i="2" s="1"/>
  <c r="U5492" i="2"/>
  <c r="C5492" i="2"/>
  <c r="C5491" i="2"/>
  <c r="U5491" i="2" s="1"/>
  <c r="U5490" i="2"/>
  <c r="C5490" i="2"/>
  <c r="C5489" i="2"/>
  <c r="U5489" i="2" s="1"/>
  <c r="U5488" i="2"/>
  <c r="C5488" i="2"/>
  <c r="C5487" i="2"/>
  <c r="U5487" i="2" s="1"/>
  <c r="U5486" i="2"/>
  <c r="C5486" i="2"/>
  <c r="C5485" i="2"/>
  <c r="U5485" i="2" s="1"/>
  <c r="U5484" i="2"/>
  <c r="C5484" i="2"/>
  <c r="C5483" i="2"/>
  <c r="U5483" i="2" s="1"/>
  <c r="U5482" i="2"/>
  <c r="C5482" i="2"/>
  <c r="C5481" i="2"/>
  <c r="U5481" i="2" s="1"/>
  <c r="U5480" i="2"/>
  <c r="C5480" i="2"/>
  <c r="C5479" i="2"/>
  <c r="U5479" i="2" s="1"/>
  <c r="U5478" i="2"/>
  <c r="C5478" i="2"/>
  <c r="C5477" i="2"/>
  <c r="U5477" i="2" s="1"/>
  <c r="U5476" i="2"/>
  <c r="C5476" i="2"/>
  <c r="C5475" i="2"/>
  <c r="U5475" i="2" s="1"/>
  <c r="U5474" i="2"/>
  <c r="C5474" i="2"/>
  <c r="C5473" i="2"/>
  <c r="U5473" i="2" s="1"/>
  <c r="U5472" i="2"/>
  <c r="C5472" i="2"/>
  <c r="C5471" i="2"/>
  <c r="U5471" i="2" s="1"/>
  <c r="U5470" i="2"/>
  <c r="C5470" i="2"/>
  <c r="C5469" i="2"/>
  <c r="U5469" i="2" s="1"/>
  <c r="U5468" i="2"/>
  <c r="C5468" i="2"/>
  <c r="C5467" i="2"/>
  <c r="U5467" i="2" s="1"/>
  <c r="U5466" i="2"/>
  <c r="C5466" i="2"/>
  <c r="C5465" i="2"/>
  <c r="U5465" i="2" s="1"/>
  <c r="U5464" i="2"/>
  <c r="C5464" i="2"/>
  <c r="C5463" i="2"/>
  <c r="U5463" i="2" s="1"/>
  <c r="U5462" i="2"/>
  <c r="C5462" i="2"/>
  <c r="C5461" i="2"/>
  <c r="U5461" i="2" s="1"/>
  <c r="U5460" i="2"/>
  <c r="C5460" i="2"/>
  <c r="C5459" i="2"/>
  <c r="U5459" i="2" s="1"/>
  <c r="U5458" i="2"/>
  <c r="C5458" i="2"/>
  <c r="C5457" i="2"/>
  <c r="U5457" i="2" s="1"/>
  <c r="U5456" i="2"/>
  <c r="C5456" i="2"/>
  <c r="C5455" i="2"/>
  <c r="U5455" i="2" s="1"/>
  <c r="U5454" i="2"/>
  <c r="C5454" i="2"/>
  <c r="C5453" i="2"/>
  <c r="U5453" i="2" s="1"/>
  <c r="U5452" i="2"/>
  <c r="C5452" i="2"/>
  <c r="C5451" i="2"/>
  <c r="U5451" i="2" s="1"/>
  <c r="U5450" i="2"/>
  <c r="C5450" i="2"/>
  <c r="C5449" i="2"/>
  <c r="U5449" i="2" s="1"/>
  <c r="U5448" i="2"/>
  <c r="C5448" i="2"/>
  <c r="C5447" i="2"/>
  <c r="U5447" i="2" s="1"/>
  <c r="U5446" i="2"/>
  <c r="C5446" i="2"/>
  <c r="C5445" i="2"/>
  <c r="U5445" i="2" s="1"/>
  <c r="U5444" i="2"/>
  <c r="C5444" i="2"/>
  <c r="C5443" i="2"/>
  <c r="U5443" i="2" s="1"/>
  <c r="U5442" i="2"/>
  <c r="C5442" i="2"/>
  <c r="C5441" i="2"/>
  <c r="U5441" i="2" s="1"/>
  <c r="U5440" i="2"/>
  <c r="C5440" i="2"/>
  <c r="C5439" i="2"/>
  <c r="U5439" i="2" s="1"/>
  <c r="U5438" i="2"/>
  <c r="C5438" i="2"/>
  <c r="C5437" i="2"/>
  <c r="U5437" i="2" s="1"/>
  <c r="U5436" i="2"/>
  <c r="C5436" i="2"/>
  <c r="C5435" i="2"/>
  <c r="U5435" i="2" s="1"/>
  <c r="U5434" i="2"/>
  <c r="C5434" i="2"/>
  <c r="C5433" i="2"/>
  <c r="U5433" i="2" s="1"/>
  <c r="U5432" i="2"/>
  <c r="C5432" i="2"/>
  <c r="C5431" i="2"/>
  <c r="U5431" i="2" s="1"/>
  <c r="U5430" i="2"/>
  <c r="C5430" i="2"/>
  <c r="C5429" i="2"/>
  <c r="U5429" i="2" s="1"/>
  <c r="U5428" i="2"/>
  <c r="C5428" i="2"/>
  <c r="C5427" i="2"/>
  <c r="U5427" i="2" s="1"/>
  <c r="U5426" i="2"/>
  <c r="C5426" i="2"/>
  <c r="C5425" i="2"/>
  <c r="U5425" i="2" s="1"/>
  <c r="U5424" i="2"/>
  <c r="C5424" i="2"/>
  <c r="C5423" i="2"/>
  <c r="U5423" i="2" s="1"/>
  <c r="U5422" i="2"/>
  <c r="C5422" i="2"/>
  <c r="C5421" i="2"/>
  <c r="U5421" i="2" s="1"/>
  <c r="U5420" i="2"/>
  <c r="C5420" i="2"/>
  <c r="C5419" i="2"/>
  <c r="U5419" i="2" s="1"/>
  <c r="U5418" i="2"/>
  <c r="C5418" i="2"/>
  <c r="C5417" i="2"/>
  <c r="U5417" i="2" s="1"/>
  <c r="U5416" i="2"/>
  <c r="C5416" i="2"/>
  <c r="C5415" i="2"/>
  <c r="U5415" i="2" s="1"/>
  <c r="U5414" i="2"/>
  <c r="C5414" i="2"/>
  <c r="C5413" i="2"/>
  <c r="U5413" i="2" s="1"/>
  <c r="U5412" i="2"/>
  <c r="C5412" i="2"/>
  <c r="C5411" i="2"/>
  <c r="U5411" i="2" s="1"/>
  <c r="U5410" i="2"/>
  <c r="C5410" i="2"/>
  <c r="C5409" i="2"/>
  <c r="U5409" i="2" s="1"/>
  <c r="U5408" i="2"/>
  <c r="C5408" i="2"/>
  <c r="C5407" i="2"/>
  <c r="U5407" i="2" s="1"/>
  <c r="U5406" i="2"/>
  <c r="C5406" i="2"/>
  <c r="C5405" i="2"/>
  <c r="U5405" i="2" s="1"/>
  <c r="U5404" i="2"/>
  <c r="C5404" i="2"/>
  <c r="C5403" i="2"/>
  <c r="U5403" i="2" s="1"/>
  <c r="U5402" i="2"/>
  <c r="C5402" i="2"/>
  <c r="C5401" i="2"/>
  <c r="U5401" i="2" s="1"/>
  <c r="U5400" i="2"/>
  <c r="C5400" i="2"/>
  <c r="C5399" i="2"/>
  <c r="U5399" i="2" s="1"/>
  <c r="U5398" i="2"/>
  <c r="C5398" i="2"/>
  <c r="C5397" i="2"/>
  <c r="U5397" i="2" s="1"/>
  <c r="U5396" i="2"/>
  <c r="C5396" i="2"/>
  <c r="C5395" i="2"/>
  <c r="U5395" i="2" s="1"/>
  <c r="U5394" i="2"/>
  <c r="C5394" i="2"/>
  <c r="C5393" i="2"/>
  <c r="U5393" i="2" s="1"/>
  <c r="U5392" i="2"/>
  <c r="C5392" i="2"/>
  <c r="C5391" i="2"/>
  <c r="U5391" i="2" s="1"/>
  <c r="U5390" i="2"/>
  <c r="C5390" i="2"/>
  <c r="C5389" i="2"/>
  <c r="U5389" i="2" s="1"/>
  <c r="U5388" i="2"/>
  <c r="C5388" i="2"/>
  <c r="C5387" i="2"/>
  <c r="U5387" i="2" s="1"/>
  <c r="U5386" i="2"/>
  <c r="C5386" i="2"/>
  <c r="C5385" i="2"/>
  <c r="U5385" i="2" s="1"/>
  <c r="U5384" i="2"/>
  <c r="C5384" i="2"/>
  <c r="C5383" i="2"/>
  <c r="U5383" i="2" s="1"/>
  <c r="U5382" i="2"/>
  <c r="C5382" i="2"/>
  <c r="C5381" i="2"/>
  <c r="U5381" i="2" s="1"/>
  <c r="U5380" i="2"/>
  <c r="C5380" i="2"/>
  <c r="C5379" i="2"/>
  <c r="U5379" i="2" s="1"/>
  <c r="U5378" i="2"/>
  <c r="C5378" i="2"/>
  <c r="C5377" i="2"/>
  <c r="U5377" i="2" s="1"/>
  <c r="U5376" i="2"/>
  <c r="C5376" i="2"/>
  <c r="C5375" i="2"/>
  <c r="U5375" i="2" s="1"/>
  <c r="U5374" i="2"/>
  <c r="C5374" i="2"/>
  <c r="C5373" i="2"/>
  <c r="U5373" i="2" s="1"/>
  <c r="U5372" i="2"/>
  <c r="C5372" i="2"/>
  <c r="C5371" i="2"/>
  <c r="U5371" i="2" s="1"/>
  <c r="U5370" i="2"/>
  <c r="C5370" i="2"/>
  <c r="C5369" i="2"/>
  <c r="U5369" i="2" s="1"/>
  <c r="U5368" i="2"/>
  <c r="C5368" i="2"/>
  <c r="C5367" i="2"/>
  <c r="U5367" i="2" s="1"/>
  <c r="U5366" i="2"/>
  <c r="C5366" i="2"/>
  <c r="C5365" i="2"/>
  <c r="U5365" i="2" s="1"/>
  <c r="U5364" i="2"/>
  <c r="C5364" i="2"/>
  <c r="C5363" i="2"/>
  <c r="U5363" i="2" s="1"/>
  <c r="U5362" i="2"/>
  <c r="C5362" i="2"/>
  <c r="C5361" i="2"/>
  <c r="U5361" i="2" s="1"/>
  <c r="U5360" i="2"/>
  <c r="C5360" i="2"/>
  <c r="C5359" i="2"/>
  <c r="U5359" i="2" s="1"/>
  <c r="U5358" i="2"/>
  <c r="C5358" i="2"/>
  <c r="C5357" i="2"/>
  <c r="U5357" i="2" s="1"/>
  <c r="U5356" i="2"/>
  <c r="C5356" i="2"/>
  <c r="C5355" i="2"/>
  <c r="U5355" i="2" s="1"/>
  <c r="U5354" i="2"/>
  <c r="C5354" i="2"/>
  <c r="C5353" i="2"/>
  <c r="U5353" i="2" s="1"/>
  <c r="U5352" i="2"/>
  <c r="C5352" i="2"/>
  <c r="C5351" i="2"/>
  <c r="U5351" i="2" s="1"/>
  <c r="U5350" i="2"/>
  <c r="C5350" i="2"/>
  <c r="C5349" i="2"/>
  <c r="U5349" i="2" s="1"/>
  <c r="C5348" i="2"/>
  <c r="U5348" i="2" s="1"/>
  <c r="C5347" i="2"/>
  <c r="U5347" i="2" s="1"/>
  <c r="U5346" i="2"/>
  <c r="C5346" i="2"/>
  <c r="C5345" i="2"/>
  <c r="U5345" i="2" s="1"/>
  <c r="U5344" i="2"/>
  <c r="C5344" i="2"/>
  <c r="C5343" i="2"/>
  <c r="U5343" i="2" s="1"/>
  <c r="C5342" i="2"/>
  <c r="U5342" i="2" s="1"/>
  <c r="C5341" i="2"/>
  <c r="U5341" i="2" s="1"/>
  <c r="C5340" i="2"/>
  <c r="U5340" i="2" s="1"/>
  <c r="C5339" i="2"/>
  <c r="U5339" i="2" s="1"/>
  <c r="U5338" i="2"/>
  <c r="C5338" i="2"/>
  <c r="C5337" i="2"/>
  <c r="U5337" i="2" s="1"/>
  <c r="U5336" i="2"/>
  <c r="C5336" i="2"/>
  <c r="C5335" i="2"/>
  <c r="U5335" i="2" s="1"/>
  <c r="C5334" i="2"/>
  <c r="U5334" i="2" s="1"/>
  <c r="C5333" i="2"/>
  <c r="U5333" i="2" s="1"/>
  <c r="C5332" i="2"/>
  <c r="U5332" i="2" s="1"/>
  <c r="C5331" i="2"/>
  <c r="U5331" i="2" s="1"/>
  <c r="U5330" i="2"/>
  <c r="C5330" i="2"/>
  <c r="C5329" i="2"/>
  <c r="U5329" i="2" s="1"/>
  <c r="U5328" i="2"/>
  <c r="C5328" i="2"/>
  <c r="C5327" i="2"/>
  <c r="U5327" i="2" s="1"/>
  <c r="C5326" i="2"/>
  <c r="U5326" i="2" s="1"/>
  <c r="C5325" i="2"/>
  <c r="U5325" i="2" s="1"/>
  <c r="C5324" i="2"/>
  <c r="U5324" i="2" s="1"/>
  <c r="C5323" i="2"/>
  <c r="U5323" i="2" s="1"/>
  <c r="U5322" i="2"/>
  <c r="C5322" i="2"/>
  <c r="C5321" i="2"/>
  <c r="U5321" i="2" s="1"/>
  <c r="U5320" i="2"/>
  <c r="C5320" i="2"/>
  <c r="C5319" i="2"/>
  <c r="U5319" i="2" s="1"/>
  <c r="C5318" i="2"/>
  <c r="U5318" i="2" s="1"/>
  <c r="C5317" i="2"/>
  <c r="U5317" i="2" s="1"/>
  <c r="C5316" i="2"/>
  <c r="U5316" i="2" s="1"/>
  <c r="C5315" i="2"/>
  <c r="U5315" i="2" s="1"/>
  <c r="U5314" i="2"/>
  <c r="C5314" i="2"/>
  <c r="C5313" i="2"/>
  <c r="U5313" i="2" s="1"/>
  <c r="U5312" i="2"/>
  <c r="C5312" i="2"/>
  <c r="C5311" i="2"/>
  <c r="U5311" i="2" s="1"/>
  <c r="C5310" i="2"/>
  <c r="U5310" i="2" s="1"/>
  <c r="C5309" i="2"/>
  <c r="U5309" i="2" s="1"/>
  <c r="C5308" i="2"/>
  <c r="U5308" i="2" s="1"/>
  <c r="C5307" i="2"/>
  <c r="U5307" i="2" s="1"/>
  <c r="U5306" i="2"/>
  <c r="C5306" i="2"/>
  <c r="C5305" i="2"/>
  <c r="U5305" i="2" s="1"/>
  <c r="U5304" i="2"/>
  <c r="C5304" i="2"/>
  <c r="C5303" i="2"/>
  <c r="U5303" i="2" s="1"/>
  <c r="C5302" i="2"/>
  <c r="U5302" i="2" s="1"/>
  <c r="C5301" i="2"/>
  <c r="U5301" i="2" s="1"/>
  <c r="C5300" i="2"/>
  <c r="U5300" i="2" s="1"/>
  <c r="C5299" i="2"/>
  <c r="U5299" i="2" s="1"/>
  <c r="U5298" i="2"/>
  <c r="C5298" i="2"/>
  <c r="C5297" i="2"/>
  <c r="U5297" i="2" s="1"/>
  <c r="U5296" i="2"/>
  <c r="C5296" i="2"/>
  <c r="C5295" i="2"/>
  <c r="U5295" i="2" s="1"/>
  <c r="C5294" i="2"/>
  <c r="U5294" i="2" s="1"/>
  <c r="C5293" i="2"/>
  <c r="U5293" i="2" s="1"/>
  <c r="C5292" i="2"/>
  <c r="U5292" i="2" s="1"/>
  <c r="C5291" i="2"/>
  <c r="U5291" i="2" s="1"/>
  <c r="U5290" i="2"/>
  <c r="C5290" i="2"/>
  <c r="C5289" i="2"/>
  <c r="U5289" i="2" s="1"/>
  <c r="U5288" i="2"/>
  <c r="C5288" i="2"/>
  <c r="C5287" i="2"/>
  <c r="U5287" i="2" s="1"/>
  <c r="C5286" i="2"/>
  <c r="U5286" i="2" s="1"/>
  <c r="C5285" i="2"/>
  <c r="U5285" i="2" s="1"/>
  <c r="C5284" i="2"/>
  <c r="U5284" i="2" s="1"/>
  <c r="C5283" i="2"/>
  <c r="U5283" i="2" s="1"/>
  <c r="U5282" i="2"/>
  <c r="C5282" i="2"/>
  <c r="C5281" i="2"/>
  <c r="U5281" i="2" s="1"/>
  <c r="U5280" i="2"/>
  <c r="C5280" i="2"/>
  <c r="C5279" i="2"/>
  <c r="U5279" i="2" s="1"/>
  <c r="C5278" i="2"/>
  <c r="U5278" i="2" s="1"/>
  <c r="C5277" i="2"/>
  <c r="U5277" i="2" s="1"/>
  <c r="C5276" i="2"/>
  <c r="U5276" i="2" s="1"/>
  <c r="C5275" i="2"/>
  <c r="U5275" i="2" s="1"/>
  <c r="U5274" i="2"/>
  <c r="C5274" i="2"/>
  <c r="C5273" i="2"/>
  <c r="U5273" i="2" s="1"/>
  <c r="U5272" i="2"/>
  <c r="C5272" i="2"/>
  <c r="C5271" i="2"/>
  <c r="U5271" i="2" s="1"/>
  <c r="C5270" i="2"/>
  <c r="U5270" i="2" s="1"/>
  <c r="C5269" i="2"/>
  <c r="U5269" i="2" s="1"/>
  <c r="C5268" i="2"/>
  <c r="U5268" i="2" s="1"/>
  <c r="C5267" i="2"/>
  <c r="U5267" i="2" s="1"/>
  <c r="U5266" i="2"/>
  <c r="C5266" i="2"/>
  <c r="C5265" i="2"/>
  <c r="U5265" i="2" s="1"/>
  <c r="U5264" i="2"/>
  <c r="C5264" i="2"/>
  <c r="C5263" i="2"/>
  <c r="U5263" i="2" s="1"/>
  <c r="C5262" i="2"/>
  <c r="U5262" i="2" s="1"/>
  <c r="C5261" i="2"/>
  <c r="U5261" i="2" s="1"/>
  <c r="C5260" i="2"/>
  <c r="U5260" i="2" s="1"/>
  <c r="C5259" i="2"/>
  <c r="U5259" i="2" s="1"/>
  <c r="U5258" i="2"/>
  <c r="C5258" i="2"/>
  <c r="C5257" i="2"/>
  <c r="U5257" i="2" s="1"/>
  <c r="U5256" i="2"/>
  <c r="C5256" i="2"/>
  <c r="C5255" i="2"/>
  <c r="U5255" i="2" s="1"/>
  <c r="C5254" i="2"/>
  <c r="U5254" i="2" s="1"/>
  <c r="C5253" i="2"/>
  <c r="U5253" i="2" s="1"/>
  <c r="C5252" i="2"/>
  <c r="U5252" i="2" s="1"/>
  <c r="C5251" i="2"/>
  <c r="U5251" i="2" s="1"/>
  <c r="U5250" i="2"/>
  <c r="C5250" i="2"/>
  <c r="C5249" i="2"/>
  <c r="U5249" i="2" s="1"/>
  <c r="U5248" i="2"/>
  <c r="C5248" i="2"/>
  <c r="C5247" i="2"/>
  <c r="U5247" i="2" s="1"/>
  <c r="C5246" i="2"/>
  <c r="U5246" i="2" s="1"/>
  <c r="C5245" i="2"/>
  <c r="U5245" i="2" s="1"/>
  <c r="C5244" i="2"/>
  <c r="U5244" i="2" s="1"/>
  <c r="C5243" i="2"/>
  <c r="U5243" i="2" s="1"/>
  <c r="U5242" i="2"/>
  <c r="C5242" i="2"/>
  <c r="C5241" i="2"/>
  <c r="U5241" i="2" s="1"/>
  <c r="U5240" i="2"/>
  <c r="C5240" i="2"/>
  <c r="C5239" i="2"/>
  <c r="U5239" i="2" s="1"/>
  <c r="C5238" i="2"/>
  <c r="U5238" i="2" s="1"/>
  <c r="C5237" i="2"/>
  <c r="U5237" i="2" s="1"/>
  <c r="C5236" i="2"/>
  <c r="U5236" i="2" s="1"/>
  <c r="C5235" i="2"/>
  <c r="U5235" i="2" s="1"/>
  <c r="U5234" i="2"/>
  <c r="C5234" i="2"/>
  <c r="C5233" i="2"/>
  <c r="U5233" i="2" s="1"/>
  <c r="U5232" i="2"/>
  <c r="C5232" i="2"/>
  <c r="C5231" i="2"/>
  <c r="U5231" i="2" s="1"/>
  <c r="C5230" i="2"/>
  <c r="U5230" i="2" s="1"/>
  <c r="C5229" i="2"/>
  <c r="U5229" i="2" s="1"/>
  <c r="C5228" i="2"/>
  <c r="U5228" i="2" s="1"/>
  <c r="C5227" i="2"/>
  <c r="U5227" i="2" s="1"/>
  <c r="U5226" i="2"/>
  <c r="C5226" i="2"/>
  <c r="C5225" i="2"/>
  <c r="U5225" i="2" s="1"/>
  <c r="U5224" i="2"/>
  <c r="C5224" i="2"/>
  <c r="C5223" i="2"/>
  <c r="U5223" i="2" s="1"/>
  <c r="C5222" i="2"/>
  <c r="U5222" i="2" s="1"/>
  <c r="C5221" i="2"/>
  <c r="U5221" i="2" s="1"/>
  <c r="C5220" i="2"/>
  <c r="U5220" i="2" s="1"/>
  <c r="C5219" i="2"/>
  <c r="U5219" i="2" s="1"/>
  <c r="U5218" i="2"/>
  <c r="C5218" i="2"/>
  <c r="C5217" i="2"/>
  <c r="U5217" i="2" s="1"/>
  <c r="U5216" i="2"/>
  <c r="C5216" i="2"/>
  <c r="C5215" i="2"/>
  <c r="U5215" i="2" s="1"/>
  <c r="C5214" i="2"/>
  <c r="U5214" i="2" s="1"/>
  <c r="C5213" i="2"/>
  <c r="U5213" i="2" s="1"/>
  <c r="C5212" i="2"/>
  <c r="U5212" i="2" s="1"/>
  <c r="C5211" i="2"/>
  <c r="U5211" i="2" s="1"/>
  <c r="U5210" i="2"/>
  <c r="C5210" i="2"/>
  <c r="C5209" i="2"/>
  <c r="U5209" i="2" s="1"/>
  <c r="U5208" i="2"/>
  <c r="C5208" i="2"/>
  <c r="C5207" i="2"/>
  <c r="U5207" i="2" s="1"/>
  <c r="C5206" i="2"/>
  <c r="U5206" i="2" s="1"/>
  <c r="C5205" i="2"/>
  <c r="U5205" i="2" s="1"/>
  <c r="C5204" i="2"/>
  <c r="U5204" i="2" s="1"/>
  <c r="C5203" i="2"/>
  <c r="U5203" i="2" s="1"/>
  <c r="U5202" i="2"/>
  <c r="C5202" i="2"/>
  <c r="C5201" i="2"/>
  <c r="U5201" i="2" s="1"/>
  <c r="U5200" i="2"/>
  <c r="C5200" i="2"/>
  <c r="C5199" i="2"/>
  <c r="U5199" i="2" s="1"/>
  <c r="C5198" i="2"/>
  <c r="U5198" i="2" s="1"/>
  <c r="C5197" i="2"/>
  <c r="U5197" i="2" s="1"/>
  <c r="C5196" i="2"/>
  <c r="U5196" i="2" s="1"/>
  <c r="C5195" i="2"/>
  <c r="U5195" i="2" s="1"/>
  <c r="U5194" i="2"/>
  <c r="C5194" i="2"/>
  <c r="C5193" i="2"/>
  <c r="U5193" i="2" s="1"/>
  <c r="U5192" i="2"/>
  <c r="C5192" i="2"/>
  <c r="C5191" i="2"/>
  <c r="U5191" i="2" s="1"/>
  <c r="C5190" i="2"/>
  <c r="U5190" i="2" s="1"/>
  <c r="C5189" i="2"/>
  <c r="U5189" i="2" s="1"/>
  <c r="C5188" i="2"/>
  <c r="U5188" i="2" s="1"/>
  <c r="C5187" i="2"/>
  <c r="U5187" i="2" s="1"/>
  <c r="U5186" i="2"/>
  <c r="C5186" i="2"/>
  <c r="C5185" i="2"/>
  <c r="U5185" i="2" s="1"/>
  <c r="U5184" i="2"/>
  <c r="C5184" i="2"/>
  <c r="C5183" i="2"/>
  <c r="U5183" i="2" s="1"/>
  <c r="C5182" i="2"/>
  <c r="U5182" i="2" s="1"/>
  <c r="C5181" i="2"/>
  <c r="U5181" i="2" s="1"/>
  <c r="C5180" i="2"/>
  <c r="U5180" i="2" s="1"/>
  <c r="C5179" i="2"/>
  <c r="U5179" i="2" s="1"/>
  <c r="U5178" i="2"/>
  <c r="C5178" i="2"/>
  <c r="C5177" i="2"/>
  <c r="U5177" i="2" s="1"/>
  <c r="U5176" i="2"/>
  <c r="C5176" i="2"/>
  <c r="C5175" i="2"/>
  <c r="U5175" i="2" s="1"/>
  <c r="C5174" i="2"/>
  <c r="U5174" i="2" s="1"/>
  <c r="C5173" i="2"/>
  <c r="U5173" i="2" s="1"/>
  <c r="C5172" i="2"/>
  <c r="U5172" i="2" s="1"/>
  <c r="C5171" i="2"/>
  <c r="U5171" i="2" s="1"/>
  <c r="U5170" i="2"/>
  <c r="C5170" i="2"/>
  <c r="C5169" i="2"/>
  <c r="U5169" i="2" s="1"/>
  <c r="U5168" i="2"/>
  <c r="C5168" i="2"/>
  <c r="C5167" i="2"/>
  <c r="U5167" i="2" s="1"/>
  <c r="C5166" i="2"/>
  <c r="U5166" i="2" s="1"/>
  <c r="C5165" i="2"/>
  <c r="U5165" i="2" s="1"/>
  <c r="C5164" i="2"/>
  <c r="U5164" i="2" s="1"/>
  <c r="C5163" i="2"/>
  <c r="U5163" i="2" s="1"/>
  <c r="U5162" i="2"/>
  <c r="C5162" i="2"/>
  <c r="C5161" i="2"/>
  <c r="U5161" i="2" s="1"/>
  <c r="U5160" i="2"/>
  <c r="C5160" i="2"/>
  <c r="C5159" i="2"/>
  <c r="U5159" i="2" s="1"/>
  <c r="C5158" i="2"/>
  <c r="U5158" i="2" s="1"/>
  <c r="C5157" i="2"/>
  <c r="U5157" i="2" s="1"/>
  <c r="C5156" i="2"/>
  <c r="U5156" i="2" s="1"/>
  <c r="C5155" i="2"/>
  <c r="U5155" i="2" s="1"/>
  <c r="U5154" i="2"/>
  <c r="C5154" i="2"/>
  <c r="C5153" i="2"/>
  <c r="U5153" i="2" s="1"/>
  <c r="U5152" i="2"/>
  <c r="C5152" i="2"/>
  <c r="C5151" i="2"/>
  <c r="U5151" i="2" s="1"/>
  <c r="C5150" i="2"/>
  <c r="U5150" i="2" s="1"/>
  <c r="C5149" i="2"/>
  <c r="U5149" i="2" s="1"/>
  <c r="C5148" i="2"/>
  <c r="U5148" i="2" s="1"/>
  <c r="C5147" i="2"/>
  <c r="U5147" i="2" s="1"/>
  <c r="U5146" i="2"/>
  <c r="C5146" i="2"/>
  <c r="C5145" i="2"/>
  <c r="U5145" i="2" s="1"/>
  <c r="U5144" i="2"/>
  <c r="C5144" i="2"/>
  <c r="C5143" i="2"/>
  <c r="U5143" i="2" s="1"/>
  <c r="C5142" i="2"/>
  <c r="U5142" i="2" s="1"/>
  <c r="C5141" i="2"/>
  <c r="U5141" i="2" s="1"/>
  <c r="C5140" i="2"/>
  <c r="U5140" i="2" s="1"/>
  <c r="C5139" i="2"/>
  <c r="U5139" i="2" s="1"/>
  <c r="U5138" i="2"/>
  <c r="C5138" i="2"/>
  <c r="C5137" i="2"/>
  <c r="U5137" i="2" s="1"/>
  <c r="U5136" i="2"/>
  <c r="C5136" i="2"/>
  <c r="C5135" i="2"/>
  <c r="U5135" i="2" s="1"/>
  <c r="C5134" i="2"/>
  <c r="U5134" i="2" s="1"/>
  <c r="C5133" i="2"/>
  <c r="U5133" i="2" s="1"/>
  <c r="C5132" i="2"/>
  <c r="U5132" i="2" s="1"/>
  <c r="C5131" i="2"/>
  <c r="U5131" i="2" s="1"/>
  <c r="U5130" i="2"/>
  <c r="C5130" i="2"/>
  <c r="C5129" i="2"/>
  <c r="U5129" i="2" s="1"/>
  <c r="U5128" i="2"/>
  <c r="C5128" i="2"/>
  <c r="C5127" i="2"/>
  <c r="U5127" i="2" s="1"/>
  <c r="C5126" i="2"/>
  <c r="U5126" i="2" s="1"/>
  <c r="C5125" i="2"/>
  <c r="U5125" i="2" s="1"/>
  <c r="C5124" i="2"/>
  <c r="U5124" i="2" s="1"/>
  <c r="C5123" i="2"/>
  <c r="U5123" i="2" s="1"/>
  <c r="U5122" i="2"/>
  <c r="C5122" i="2"/>
  <c r="C5121" i="2"/>
  <c r="U5121" i="2" s="1"/>
  <c r="U5120" i="2"/>
  <c r="C5120" i="2"/>
  <c r="C5119" i="2"/>
  <c r="U5119" i="2" s="1"/>
  <c r="C5118" i="2"/>
  <c r="U5118" i="2" s="1"/>
  <c r="C5117" i="2"/>
  <c r="U5117" i="2" s="1"/>
  <c r="C5116" i="2"/>
  <c r="U5116" i="2" s="1"/>
  <c r="C5115" i="2"/>
  <c r="U5115" i="2" s="1"/>
  <c r="C5114" i="2"/>
  <c r="U5114" i="2" s="1"/>
  <c r="C5113" i="2"/>
  <c r="U5113" i="2" s="1"/>
  <c r="U5112" i="2"/>
  <c r="C5112" i="2"/>
  <c r="C5111" i="2"/>
  <c r="U5111" i="2" s="1"/>
  <c r="C5110" i="2"/>
  <c r="U5110" i="2" s="1"/>
  <c r="C5109" i="2"/>
  <c r="U5109" i="2" s="1"/>
  <c r="C5108" i="2"/>
  <c r="U5108" i="2" s="1"/>
  <c r="C5107" i="2"/>
  <c r="U5107" i="2" s="1"/>
  <c r="C5106" i="2"/>
  <c r="U5106" i="2" s="1"/>
  <c r="C5105" i="2"/>
  <c r="U5105" i="2" s="1"/>
  <c r="U5104" i="2"/>
  <c r="C5104" i="2"/>
  <c r="C5103" i="2"/>
  <c r="U5103" i="2" s="1"/>
  <c r="C5102" i="2"/>
  <c r="U5102" i="2" s="1"/>
  <c r="C5101" i="2"/>
  <c r="U5101" i="2" s="1"/>
  <c r="U5100" i="2"/>
  <c r="C5100" i="2"/>
  <c r="C5099" i="2"/>
  <c r="U5099" i="2" s="1"/>
  <c r="C5098" i="2"/>
  <c r="U5098" i="2" s="1"/>
  <c r="C5097" i="2"/>
  <c r="U5097" i="2" s="1"/>
  <c r="U5096" i="2"/>
  <c r="C5096" i="2"/>
  <c r="C5095" i="2"/>
  <c r="U5095" i="2" s="1"/>
  <c r="C5094" i="2"/>
  <c r="U5094" i="2" s="1"/>
  <c r="C5093" i="2"/>
  <c r="U5093" i="2" s="1"/>
  <c r="U5092" i="2"/>
  <c r="C5092" i="2"/>
  <c r="C5091" i="2"/>
  <c r="U5091" i="2" s="1"/>
  <c r="C5090" i="2"/>
  <c r="U5090" i="2" s="1"/>
  <c r="C5089" i="2"/>
  <c r="U5089" i="2" s="1"/>
  <c r="U5088" i="2"/>
  <c r="C5088" i="2"/>
  <c r="C5087" i="2"/>
  <c r="U5087" i="2" s="1"/>
  <c r="C5086" i="2"/>
  <c r="U5086" i="2" s="1"/>
  <c r="C5085" i="2"/>
  <c r="U5085" i="2" s="1"/>
  <c r="U5084" i="2"/>
  <c r="C5084" i="2"/>
  <c r="C5083" i="2"/>
  <c r="U5083" i="2" s="1"/>
  <c r="C5082" i="2"/>
  <c r="U5082" i="2" s="1"/>
  <c r="C5081" i="2"/>
  <c r="U5081" i="2" s="1"/>
  <c r="U5080" i="2"/>
  <c r="C5080" i="2"/>
  <c r="C5079" i="2"/>
  <c r="U5079" i="2" s="1"/>
  <c r="C5078" i="2"/>
  <c r="U5078" i="2" s="1"/>
  <c r="C5077" i="2"/>
  <c r="U5077" i="2" s="1"/>
  <c r="U5076" i="2"/>
  <c r="C5076" i="2"/>
  <c r="C5075" i="2"/>
  <c r="U5075" i="2" s="1"/>
  <c r="C5074" i="2"/>
  <c r="U5074" i="2" s="1"/>
  <c r="C5073" i="2"/>
  <c r="U5073" i="2" s="1"/>
  <c r="U5072" i="2"/>
  <c r="C5072" i="2"/>
  <c r="C5071" i="2"/>
  <c r="U5071" i="2" s="1"/>
  <c r="C5070" i="2"/>
  <c r="U5070" i="2" s="1"/>
  <c r="C5069" i="2"/>
  <c r="U5069" i="2" s="1"/>
  <c r="U5068" i="2"/>
  <c r="C5068" i="2"/>
  <c r="C5067" i="2"/>
  <c r="U5067" i="2" s="1"/>
  <c r="C5066" i="2"/>
  <c r="U5066" i="2" s="1"/>
  <c r="C5065" i="2"/>
  <c r="U5065" i="2" s="1"/>
  <c r="U5064" i="2"/>
  <c r="C5064" i="2"/>
  <c r="C5063" i="2"/>
  <c r="U5063" i="2" s="1"/>
  <c r="C5062" i="2"/>
  <c r="U5062" i="2" s="1"/>
  <c r="C5061" i="2"/>
  <c r="U5061" i="2" s="1"/>
  <c r="U5060" i="2"/>
  <c r="C5060" i="2"/>
  <c r="C5059" i="2"/>
  <c r="U5059" i="2" s="1"/>
  <c r="C5058" i="2"/>
  <c r="U5058" i="2" s="1"/>
  <c r="C5057" i="2"/>
  <c r="U5057" i="2" s="1"/>
  <c r="U5056" i="2"/>
  <c r="C5056" i="2"/>
  <c r="C5055" i="2"/>
  <c r="U5055" i="2" s="1"/>
  <c r="C5054" i="2"/>
  <c r="U5054" i="2" s="1"/>
  <c r="C5053" i="2"/>
  <c r="U5053" i="2" s="1"/>
  <c r="U5052" i="2"/>
  <c r="C5052" i="2"/>
  <c r="C5051" i="2"/>
  <c r="U5051" i="2" s="1"/>
  <c r="C5050" i="2"/>
  <c r="U5050" i="2" s="1"/>
  <c r="C5049" i="2"/>
  <c r="U5049" i="2" s="1"/>
  <c r="U5048" i="2"/>
  <c r="C5048" i="2"/>
  <c r="C5047" i="2"/>
  <c r="U5047" i="2" s="1"/>
  <c r="C5046" i="2"/>
  <c r="U5046" i="2" s="1"/>
  <c r="C5045" i="2"/>
  <c r="U5045" i="2" s="1"/>
  <c r="U5044" i="2"/>
  <c r="C5044" i="2"/>
  <c r="C5043" i="2"/>
  <c r="U5043" i="2" s="1"/>
  <c r="C5042" i="2"/>
  <c r="U5042" i="2" s="1"/>
  <c r="C5041" i="2"/>
  <c r="U5041" i="2" s="1"/>
  <c r="U5040" i="2"/>
  <c r="C5040" i="2"/>
  <c r="C5039" i="2"/>
  <c r="U5039" i="2" s="1"/>
  <c r="C5038" i="2"/>
  <c r="U5038" i="2" s="1"/>
  <c r="C5037" i="2"/>
  <c r="U5037" i="2" s="1"/>
  <c r="U5036" i="2"/>
  <c r="C5036" i="2"/>
  <c r="C5035" i="2"/>
  <c r="U5035" i="2" s="1"/>
  <c r="C5034" i="2"/>
  <c r="U5034" i="2" s="1"/>
  <c r="C5033" i="2"/>
  <c r="U5033" i="2" s="1"/>
  <c r="U5032" i="2"/>
  <c r="C5032" i="2"/>
  <c r="C5031" i="2"/>
  <c r="U5031" i="2" s="1"/>
  <c r="C5030" i="2"/>
  <c r="U5030" i="2" s="1"/>
  <c r="C5029" i="2"/>
  <c r="U5029" i="2" s="1"/>
  <c r="U5028" i="2"/>
  <c r="C5028" i="2"/>
  <c r="C5027" i="2"/>
  <c r="U5027" i="2" s="1"/>
  <c r="C5026" i="2"/>
  <c r="U5026" i="2" s="1"/>
  <c r="C5025" i="2"/>
  <c r="U5025" i="2" s="1"/>
  <c r="U5024" i="2"/>
  <c r="C5024" i="2"/>
  <c r="C5023" i="2"/>
  <c r="U5023" i="2" s="1"/>
  <c r="C5022" i="2"/>
  <c r="U5022" i="2" s="1"/>
  <c r="C5021" i="2"/>
  <c r="U5021" i="2" s="1"/>
  <c r="U5020" i="2"/>
  <c r="C5020" i="2"/>
  <c r="C5019" i="2"/>
  <c r="U5019" i="2" s="1"/>
  <c r="C5018" i="2"/>
  <c r="U5018" i="2" s="1"/>
  <c r="C5017" i="2"/>
  <c r="U5017" i="2" s="1"/>
  <c r="U5016" i="2"/>
  <c r="C5016" i="2"/>
  <c r="C5015" i="2"/>
  <c r="U5015" i="2" s="1"/>
  <c r="C5014" i="2"/>
  <c r="U5014" i="2" s="1"/>
  <c r="C5013" i="2"/>
  <c r="U5013" i="2" s="1"/>
  <c r="U5012" i="2"/>
  <c r="C5012" i="2"/>
  <c r="C5011" i="2"/>
  <c r="U5011" i="2" s="1"/>
  <c r="C5010" i="2"/>
  <c r="U5010" i="2" s="1"/>
  <c r="C5009" i="2"/>
  <c r="U5009" i="2" s="1"/>
  <c r="U5008" i="2"/>
  <c r="C5008" i="2"/>
  <c r="C5007" i="2"/>
  <c r="U5007" i="2" s="1"/>
  <c r="C5006" i="2"/>
  <c r="U5006" i="2" s="1"/>
  <c r="C5005" i="2"/>
  <c r="U5005" i="2" s="1"/>
  <c r="U5004" i="2"/>
  <c r="C5004" i="2"/>
  <c r="C5003" i="2"/>
  <c r="U5003" i="2" s="1"/>
  <c r="C5002" i="2"/>
  <c r="U5002" i="2" s="1"/>
  <c r="C5001" i="2"/>
  <c r="U5001" i="2" s="1"/>
  <c r="U5000" i="2"/>
  <c r="C5000" i="2"/>
  <c r="C4999" i="2"/>
  <c r="U4999" i="2" s="1"/>
  <c r="C4998" i="2"/>
  <c r="U4998" i="2" s="1"/>
  <c r="C4997" i="2"/>
  <c r="U4997" i="2" s="1"/>
  <c r="U4996" i="2"/>
  <c r="C4996" i="2"/>
  <c r="C4995" i="2"/>
  <c r="U4995" i="2" s="1"/>
  <c r="C4994" i="2"/>
  <c r="U4994" i="2" s="1"/>
  <c r="C4993" i="2"/>
  <c r="U4993" i="2" s="1"/>
  <c r="U4992" i="2"/>
  <c r="C4992" i="2"/>
  <c r="C4991" i="2"/>
  <c r="U4991" i="2" s="1"/>
  <c r="C4990" i="2"/>
  <c r="U4990" i="2" s="1"/>
  <c r="C4989" i="2"/>
  <c r="U4989" i="2" s="1"/>
  <c r="U4988" i="2"/>
  <c r="C4988" i="2"/>
  <c r="C4987" i="2"/>
  <c r="U4987" i="2" s="1"/>
  <c r="C4986" i="2"/>
  <c r="U4986" i="2" s="1"/>
  <c r="C4985" i="2"/>
  <c r="U4985" i="2" s="1"/>
  <c r="U4984" i="2"/>
  <c r="C4984" i="2"/>
  <c r="C4983" i="2"/>
  <c r="U4983" i="2" s="1"/>
  <c r="C4982" i="2"/>
  <c r="U4982" i="2" s="1"/>
  <c r="C4981" i="2"/>
  <c r="U4981" i="2" s="1"/>
  <c r="U4980" i="2"/>
  <c r="C4980" i="2"/>
  <c r="C4979" i="2"/>
  <c r="U4979" i="2" s="1"/>
  <c r="C4978" i="2"/>
  <c r="U4978" i="2" s="1"/>
  <c r="C4977" i="2"/>
  <c r="U4977" i="2" s="1"/>
  <c r="U4976" i="2"/>
  <c r="C4976" i="2"/>
  <c r="C4975" i="2"/>
  <c r="U4975" i="2" s="1"/>
  <c r="C4974" i="2"/>
  <c r="U4974" i="2" s="1"/>
  <c r="C4973" i="2"/>
  <c r="U4973" i="2" s="1"/>
  <c r="U4972" i="2"/>
  <c r="C4972" i="2"/>
  <c r="C4971" i="2"/>
  <c r="U4971" i="2" s="1"/>
  <c r="C4970" i="2"/>
  <c r="U4970" i="2" s="1"/>
  <c r="C4969" i="2"/>
  <c r="U4969" i="2" s="1"/>
  <c r="U4968" i="2"/>
  <c r="C4968" i="2"/>
  <c r="C4967" i="2"/>
  <c r="U4967" i="2" s="1"/>
  <c r="C4966" i="2"/>
  <c r="U4966" i="2" s="1"/>
  <c r="C4965" i="2"/>
  <c r="U4965" i="2" s="1"/>
  <c r="U4964" i="2"/>
  <c r="C4964" i="2"/>
  <c r="C4963" i="2"/>
  <c r="U4963" i="2" s="1"/>
  <c r="C4962" i="2"/>
  <c r="U4962" i="2" s="1"/>
  <c r="C4961" i="2"/>
  <c r="U4961" i="2" s="1"/>
  <c r="U4960" i="2"/>
  <c r="C4960" i="2"/>
  <c r="C4959" i="2"/>
  <c r="U4959" i="2" s="1"/>
  <c r="C4958" i="2"/>
  <c r="U4958" i="2" s="1"/>
  <c r="C4957" i="2"/>
  <c r="U4957" i="2" s="1"/>
  <c r="U4956" i="2"/>
  <c r="C4956" i="2"/>
  <c r="C4955" i="2"/>
  <c r="U4955" i="2" s="1"/>
  <c r="C4954" i="2"/>
  <c r="U4954" i="2" s="1"/>
  <c r="C4953" i="2"/>
  <c r="U4953" i="2" s="1"/>
  <c r="U4952" i="2"/>
  <c r="C4952" i="2"/>
  <c r="C4951" i="2"/>
  <c r="U4951" i="2" s="1"/>
  <c r="C4950" i="2"/>
  <c r="U4950" i="2" s="1"/>
  <c r="C4949" i="2"/>
  <c r="U4949" i="2" s="1"/>
  <c r="U4948" i="2"/>
  <c r="C4948" i="2"/>
  <c r="C4947" i="2"/>
  <c r="U4947" i="2" s="1"/>
  <c r="C4946" i="2"/>
  <c r="U4946" i="2" s="1"/>
  <c r="C4945" i="2"/>
  <c r="U4945" i="2" s="1"/>
  <c r="U4944" i="2"/>
  <c r="C4944" i="2"/>
  <c r="C4943" i="2"/>
  <c r="U4943" i="2" s="1"/>
  <c r="C4942" i="2"/>
  <c r="U4942" i="2" s="1"/>
  <c r="C4941" i="2"/>
  <c r="U4941" i="2" s="1"/>
  <c r="U4940" i="2"/>
  <c r="C4940" i="2"/>
  <c r="C4939" i="2"/>
  <c r="U4939" i="2" s="1"/>
  <c r="C4938" i="2"/>
  <c r="U4938" i="2" s="1"/>
  <c r="C4937" i="2"/>
  <c r="U4937" i="2" s="1"/>
  <c r="U4936" i="2"/>
  <c r="C4936" i="2"/>
  <c r="C4935" i="2"/>
  <c r="U4935" i="2" s="1"/>
  <c r="C4934" i="2"/>
  <c r="U4934" i="2" s="1"/>
  <c r="C4933" i="2"/>
  <c r="U4933" i="2" s="1"/>
  <c r="U4932" i="2"/>
  <c r="C4932" i="2"/>
  <c r="C4931" i="2"/>
  <c r="U4931" i="2" s="1"/>
  <c r="C4930" i="2"/>
  <c r="U4930" i="2" s="1"/>
  <c r="C4929" i="2"/>
  <c r="U4929" i="2" s="1"/>
  <c r="U4928" i="2"/>
  <c r="C4928" i="2"/>
  <c r="C4927" i="2"/>
  <c r="U4927" i="2" s="1"/>
  <c r="C4926" i="2"/>
  <c r="U4926" i="2" s="1"/>
  <c r="C4925" i="2"/>
  <c r="U4925" i="2" s="1"/>
  <c r="U4924" i="2"/>
  <c r="C4924" i="2"/>
  <c r="C4923" i="2"/>
  <c r="U4923" i="2" s="1"/>
  <c r="C4922" i="2"/>
  <c r="U4922" i="2" s="1"/>
  <c r="C4921" i="2"/>
  <c r="U4921" i="2" s="1"/>
  <c r="U4920" i="2"/>
  <c r="C4920" i="2"/>
  <c r="C4919" i="2"/>
  <c r="U4919" i="2" s="1"/>
  <c r="C4918" i="2"/>
  <c r="U4918" i="2" s="1"/>
  <c r="C4917" i="2"/>
  <c r="U4917" i="2" s="1"/>
  <c r="U4916" i="2"/>
  <c r="C4916" i="2"/>
  <c r="C4915" i="2"/>
  <c r="U4915" i="2" s="1"/>
  <c r="C4914" i="2"/>
  <c r="U4914" i="2" s="1"/>
  <c r="C4913" i="2"/>
  <c r="U4913" i="2" s="1"/>
  <c r="U4912" i="2"/>
  <c r="C4912" i="2"/>
  <c r="C4911" i="2"/>
  <c r="U4911" i="2" s="1"/>
  <c r="C4910" i="2"/>
  <c r="U4910" i="2" s="1"/>
  <c r="C4909" i="2"/>
  <c r="U4909" i="2" s="1"/>
  <c r="U4908" i="2"/>
  <c r="C4908" i="2"/>
  <c r="C4907" i="2"/>
  <c r="U4907" i="2" s="1"/>
  <c r="C4906" i="2"/>
  <c r="U4906" i="2" s="1"/>
  <c r="C4905" i="2"/>
  <c r="U4905" i="2" s="1"/>
  <c r="U4904" i="2"/>
  <c r="C4904" i="2"/>
  <c r="C4903" i="2"/>
  <c r="U4903" i="2" s="1"/>
  <c r="C4902" i="2"/>
  <c r="U4902" i="2" s="1"/>
  <c r="C4901" i="2"/>
  <c r="U4901" i="2" s="1"/>
  <c r="U4900" i="2"/>
  <c r="C4900" i="2"/>
  <c r="C4899" i="2"/>
  <c r="U4899" i="2" s="1"/>
  <c r="C4898" i="2"/>
  <c r="U4898" i="2" s="1"/>
  <c r="C4897" i="2"/>
  <c r="U4897" i="2" s="1"/>
  <c r="U4896" i="2"/>
  <c r="C4896" i="2"/>
  <c r="C4895" i="2"/>
  <c r="U4895" i="2" s="1"/>
  <c r="C4894" i="2"/>
  <c r="U4894" i="2" s="1"/>
  <c r="C4893" i="2"/>
  <c r="U4893" i="2" s="1"/>
  <c r="U4892" i="2"/>
  <c r="C4892" i="2"/>
  <c r="C4891" i="2"/>
  <c r="U4891" i="2" s="1"/>
  <c r="C4890" i="2"/>
  <c r="U4890" i="2" s="1"/>
  <c r="C4889" i="2"/>
  <c r="U4889" i="2" s="1"/>
  <c r="U4888" i="2"/>
  <c r="C4888" i="2"/>
  <c r="C4887" i="2"/>
  <c r="U4887" i="2" s="1"/>
  <c r="C4886" i="2"/>
  <c r="U4886" i="2" s="1"/>
  <c r="C4885" i="2"/>
  <c r="U4885" i="2" s="1"/>
  <c r="U4884" i="2"/>
  <c r="C4884" i="2"/>
  <c r="C4883" i="2"/>
  <c r="U4883" i="2" s="1"/>
  <c r="C4882" i="2"/>
  <c r="U4882" i="2" s="1"/>
  <c r="C4881" i="2"/>
  <c r="U4881" i="2" s="1"/>
  <c r="U4880" i="2"/>
  <c r="C4880" i="2"/>
  <c r="C4879" i="2"/>
  <c r="U4879" i="2" s="1"/>
  <c r="C4878" i="2"/>
  <c r="U4878" i="2" s="1"/>
  <c r="C4877" i="2"/>
  <c r="U4877" i="2" s="1"/>
  <c r="U4876" i="2"/>
  <c r="C4876" i="2"/>
  <c r="C4875" i="2"/>
  <c r="U4875" i="2" s="1"/>
  <c r="C4874" i="2"/>
  <c r="U4874" i="2" s="1"/>
  <c r="C4873" i="2"/>
  <c r="U4873" i="2" s="1"/>
  <c r="U4872" i="2"/>
  <c r="C4872" i="2"/>
  <c r="C4871" i="2"/>
  <c r="U4871" i="2" s="1"/>
  <c r="C4870" i="2"/>
  <c r="U4870" i="2" s="1"/>
  <c r="C4869" i="2"/>
  <c r="U4869" i="2" s="1"/>
  <c r="U4868" i="2"/>
  <c r="C4868" i="2"/>
  <c r="C4867" i="2"/>
  <c r="U4867" i="2" s="1"/>
  <c r="C4866" i="2"/>
  <c r="U4866" i="2" s="1"/>
  <c r="C4865" i="2"/>
  <c r="U4865" i="2" s="1"/>
  <c r="U4864" i="2"/>
  <c r="C4864" i="2"/>
  <c r="C4863" i="2"/>
  <c r="U4863" i="2" s="1"/>
  <c r="C4862" i="2"/>
  <c r="U4862" i="2" s="1"/>
  <c r="C4861" i="2"/>
  <c r="U4861" i="2" s="1"/>
  <c r="U4860" i="2"/>
  <c r="C4860" i="2"/>
  <c r="C4859" i="2"/>
  <c r="U4859" i="2" s="1"/>
  <c r="C4858" i="2"/>
  <c r="U4858" i="2" s="1"/>
  <c r="C4857" i="2"/>
  <c r="U4857" i="2" s="1"/>
  <c r="U4856" i="2"/>
  <c r="C4856" i="2"/>
  <c r="C4855" i="2"/>
  <c r="U4855" i="2" s="1"/>
  <c r="C4854" i="2"/>
  <c r="U4854" i="2" s="1"/>
  <c r="C4853" i="2"/>
  <c r="U4853" i="2" s="1"/>
  <c r="U4852" i="2"/>
  <c r="C4852" i="2"/>
  <c r="C4851" i="2"/>
  <c r="U4851" i="2" s="1"/>
  <c r="C4850" i="2"/>
  <c r="U4850" i="2" s="1"/>
  <c r="C4849" i="2"/>
  <c r="U4849" i="2" s="1"/>
  <c r="U4848" i="2"/>
  <c r="C4848" i="2"/>
  <c r="C4847" i="2"/>
  <c r="U4847" i="2" s="1"/>
  <c r="C4846" i="2"/>
  <c r="U4846" i="2" s="1"/>
  <c r="C4845" i="2"/>
  <c r="U4845" i="2" s="1"/>
  <c r="U4844" i="2"/>
  <c r="C4844" i="2"/>
  <c r="C4843" i="2"/>
  <c r="U4843" i="2" s="1"/>
  <c r="C4842" i="2"/>
  <c r="U4842" i="2" s="1"/>
  <c r="C4841" i="2"/>
  <c r="U4841" i="2" s="1"/>
  <c r="U4840" i="2"/>
  <c r="C4840" i="2"/>
  <c r="C4839" i="2"/>
  <c r="U4839" i="2" s="1"/>
  <c r="C4838" i="2"/>
  <c r="U4838" i="2" s="1"/>
  <c r="C4837" i="2"/>
  <c r="U4837" i="2" s="1"/>
  <c r="U4836" i="2"/>
  <c r="C4836" i="2"/>
  <c r="C4835" i="2"/>
  <c r="U4835" i="2" s="1"/>
  <c r="C4834" i="2"/>
  <c r="U4834" i="2" s="1"/>
  <c r="C4833" i="2"/>
  <c r="U4833" i="2" s="1"/>
  <c r="U4832" i="2"/>
  <c r="C4832" i="2"/>
  <c r="C4831" i="2"/>
  <c r="U4831" i="2" s="1"/>
  <c r="C4830" i="2"/>
  <c r="U4830" i="2" s="1"/>
  <c r="C4829" i="2"/>
  <c r="U4829" i="2" s="1"/>
  <c r="U4828" i="2"/>
  <c r="C4828" i="2"/>
  <c r="C4827" i="2"/>
  <c r="U4827" i="2" s="1"/>
  <c r="C4826" i="2"/>
  <c r="U4826" i="2" s="1"/>
  <c r="C4825" i="2"/>
  <c r="U4825" i="2" s="1"/>
  <c r="U4824" i="2"/>
  <c r="C4824" i="2"/>
  <c r="C4823" i="2"/>
  <c r="U4823" i="2" s="1"/>
  <c r="C4822" i="2"/>
  <c r="U4822" i="2" s="1"/>
  <c r="C4821" i="2"/>
  <c r="U4821" i="2" s="1"/>
  <c r="U4820" i="2"/>
  <c r="C4820" i="2"/>
  <c r="C4819" i="2"/>
  <c r="U4819" i="2" s="1"/>
  <c r="C4818" i="2"/>
  <c r="U4818" i="2" s="1"/>
  <c r="C4817" i="2"/>
  <c r="U4817" i="2" s="1"/>
  <c r="U4816" i="2"/>
  <c r="C4816" i="2"/>
  <c r="C4815" i="2"/>
  <c r="U4815" i="2" s="1"/>
  <c r="C4814" i="2"/>
  <c r="U4814" i="2" s="1"/>
  <c r="C4813" i="2"/>
  <c r="U4813" i="2" s="1"/>
  <c r="U4812" i="2"/>
  <c r="C4812" i="2"/>
  <c r="C4811" i="2"/>
  <c r="U4811" i="2" s="1"/>
  <c r="C4810" i="2"/>
  <c r="U4810" i="2" s="1"/>
  <c r="C4809" i="2"/>
  <c r="U4809" i="2" s="1"/>
  <c r="U4808" i="2"/>
  <c r="C4808" i="2"/>
  <c r="C4807" i="2"/>
  <c r="U4807" i="2" s="1"/>
  <c r="C4806" i="2"/>
  <c r="U4806" i="2" s="1"/>
  <c r="C4805" i="2"/>
  <c r="U4805" i="2" s="1"/>
  <c r="U4804" i="2"/>
  <c r="C4804" i="2"/>
  <c r="C4803" i="2"/>
  <c r="U4803" i="2" s="1"/>
  <c r="C4802" i="2"/>
  <c r="U4802" i="2" s="1"/>
  <c r="C4801" i="2"/>
  <c r="U4801" i="2" s="1"/>
  <c r="U4800" i="2"/>
  <c r="C4800" i="2"/>
  <c r="C4799" i="2"/>
  <c r="U4799" i="2" s="1"/>
  <c r="C4798" i="2"/>
  <c r="U4798" i="2" s="1"/>
  <c r="C4797" i="2"/>
  <c r="U4797" i="2" s="1"/>
  <c r="C4796" i="2"/>
  <c r="U4796" i="2" s="1"/>
  <c r="C4795" i="2"/>
  <c r="U4795" i="2" s="1"/>
  <c r="C4794" i="2"/>
  <c r="U4794" i="2" s="1"/>
  <c r="C4793" i="2"/>
  <c r="U4793" i="2" s="1"/>
  <c r="C4792" i="2"/>
  <c r="U4792" i="2" s="1"/>
  <c r="C4791" i="2"/>
  <c r="U4791" i="2" s="1"/>
  <c r="C4790" i="2"/>
  <c r="U4790" i="2" s="1"/>
  <c r="C4789" i="2"/>
  <c r="U4789" i="2" s="1"/>
  <c r="C4788" i="2"/>
  <c r="U4788" i="2" s="1"/>
  <c r="C4787" i="2"/>
  <c r="U4787" i="2" s="1"/>
  <c r="C4786" i="2"/>
  <c r="U4786" i="2" s="1"/>
  <c r="C4785" i="2"/>
  <c r="U4785" i="2" s="1"/>
  <c r="C4784" i="2"/>
  <c r="U4784" i="2" s="1"/>
  <c r="C4783" i="2"/>
  <c r="U4783" i="2" s="1"/>
  <c r="C4782" i="2"/>
  <c r="U4782" i="2" s="1"/>
  <c r="C4781" i="2"/>
  <c r="U4781" i="2" s="1"/>
  <c r="C4780" i="2"/>
  <c r="U4780" i="2" s="1"/>
  <c r="C4779" i="2"/>
  <c r="U4779" i="2" s="1"/>
  <c r="C4778" i="2"/>
  <c r="U4778" i="2" s="1"/>
  <c r="C4777" i="2"/>
  <c r="U4777" i="2" s="1"/>
  <c r="C4776" i="2"/>
  <c r="U4776" i="2" s="1"/>
  <c r="C4775" i="2"/>
  <c r="U4775" i="2" s="1"/>
  <c r="C4774" i="2"/>
  <c r="U4774" i="2" s="1"/>
  <c r="C4773" i="2"/>
  <c r="U4773" i="2" s="1"/>
  <c r="C4772" i="2"/>
  <c r="U4772" i="2" s="1"/>
  <c r="C4771" i="2"/>
  <c r="U4771" i="2" s="1"/>
  <c r="C4770" i="2"/>
  <c r="U4770" i="2" s="1"/>
  <c r="C4769" i="2"/>
  <c r="U4769" i="2" s="1"/>
  <c r="C4768" i="2"/>
  <c r="U4768" i="2" s="1"/>
  <c r="C4767" i="2"/>
  <c r="U4767" i="2" s="1"/>
  <c r="C4766" i="2"/>
  <c r="U4766" i="2" s="1"/>
  <c r="C4765" i="2"/>
  <c r="U4765" i="2" s="1"/>
  <c r="C4764" i="2"/>
  <c r="U4764" i="2" s="1"/>
  <c r="C4763" i="2"/>
  <c r="U4763" i="2" s="1"/>
  <c r="C4762" i="2"/>
  <c r="U4762" i="2" s="1"/>
  <c r="C4761" i="2"/>
  <c r="U4761" i="2" s="1"/>
  <c r="C4760" i="2"/>
  <c r="U4760" i="2" s="1"/>
  <c r="C4759" i="2"/>
  <c r="U4759" i="2" s="1"/>
  <c r="C4758" i="2"/>
  <c r="U4758" i="2" s="1"/>
  <c r="C4757" i="2"/>
  <c r="U4757" i="2" s="1"/>
  <c r="C4756" i="2"/>
  <c r="U4756" i="2" s="1"/>
  <c r="C4755" i="2"/>
  <c r="U4755" i="2" s="1"/>
  <c r="C4754" i="2"/>
  <c r="U4754" i="2" s="1"/>
  <c r="C4753" i="2"/>
  <c r="U4753" i="2" s="1"/>
  <c r="C4752" i="2"/>
  <c r="U4752" i="2" s="1"/>
  <c r="C4751" i="2"/>
  <c r="U4751" i="2" s="1"/>
  <c r="C4750" i="2"/>
  <c r="U4750" i="2" s="1"/>
  <c r="C4749" i="2"/>
  <c r="U4749" i="2" s="1"/>
  <c r="C4748" i="2"/>
  <c r="U4748" i="2" s="1"/>
  <c r="C4747" i="2"/>
  <c r="U4747" i="2" s="1"/>
  <c r="C4746" i="2"/>
  <c r="U4746" i="2" s="1"/>
  <c r="C4745" i="2"/>
  <c r="U4745" i="2" s="1"/>
  <c r="C4744" i="2"/>
  <c r="U4744" i="2" s="1"/>
  <c r="C4743" i="2"/>
  <c r="U4743" i="2" s="1"/>
  <c r="C4742" i="2"/>
  <c r="U4742" i="2" s="1"/>
  <c r="C4741" i="2"/>
  <c r="U4741" i="2" s="1"/>
  <c r="C4740" i="2"/>
  <c r="U4740" i="2" s="1"/>
  <c r="C4739" i="2"/>
  <c r="U4739" i="2" s="1"/>
  <c r="C4738" i="2"/>
  <c r="U4738" i="2" s="1"/>
  <c r="C4737" i="2"/>
  <c r="U4737" i="2" s="1"/>
  <c r="C4736" i="2"/>
  <c r="U4736" i="2" s="1"/>
  <c r="C4735" i="2"/>
  <c r="U4735" i="2" s="1"/>
  <c r="C4734" i="2"/>
  <c r="U4734" i="2" s="1"/>
  <c r="C4733" i="2"/>
  <c r="U4733" i="2" s="1"/>
  <c r="C4732" i="2"/>
  <c r="U4732" i="2" s="1"/>
  <c r="C4731" i="2"/>
  <c r="U4731" i="2" s="1"/>
  <c r="C4730" i="2"/>
  <c r="U4730" i="2" s="1"/>
  <c r="C4729" i="2"/>
  <c r="U4729" i="2" s="1"/>
  <c r="C4728" i="2"/>
  <c r="U4728" i="2" s="1"/>
  <c r="C4727" i="2"/>
  <c r="U4727" i="2" s="1"/>
  <c r="C4726" i="2"/>
  <c r="U4726" i="2" s="1"/>
  <c r="C4725" i="2"/>
  <c r="U4725" i="2" s="1"/>
  <c r="C4724" i="2"/>
  <c r="U4724" i="2" s="1"/>
  <c r="C4723" i="2"/>
  <c r="U4723" i="2" s="1"/>
  <c r="C4722" i="2"/>
  <c r="U4722" i="2" s="1"/>
  <c r="C4721" i="2"/>
  <c r="U4721" i="2" s="1"/>
  <c r="C4720" i="2"/>
  <c r="U4720" i="2" s="1"/>
  <c r="C4719" i="2"/>
  <c r="U4719" i="2" s="1"/>
  <c r="C4718" i="2"/>
  <c r="U4718" i="2" s="1"/>
  <c r="C4717" i="2"/>
  <c r="U4717" i="2" s="1"/>
  <c r="C4716" i="2"/>
  <c r="U4716" i="2" s="1"/>
  <c r="C4715" i="2"/>
  <c r="U4715" i="2" s="1"/>
  <c r="C4714" i="2"/>
  <c r="U4714" i="2" s="1"/>
  <c r="C4713" i="2"/>
  <c r="U4713" i="2" s="1"/>
  <c r="C4712" i="2"/>
  <c r="U4712" i="2" s="1"/>
  <c r="C4711" i="2"/>
  <c r="U4711" i="2" s="1"/>
  <c r="C4710" i="2"/>
  <c r="U4710" i="2" s="1"/>
  <c r="C4709" i="2"/>
  <c r="U4709" i="2" s="1"/>
  <c r="C4708" i="2"/>
  <c r="U4708" i="2" s="1"/>
  <c r="C4707" i="2"/>
  <c r="U4707" i="2" s="1"/>
  <c r="C4706" i="2"/>
  <c r="U4706" i="2" s="1"/>
  <c r="C4705" i="2"/>
  <c r="U4705" i="2" s="1"/>
  <c r="C4704" i="2"/>
  <c r="U4704" i="2" s="1"/>
  <c r="C4703" i="2"/>
  <c r="U4703" i="2" s="1"/>
  <c r="C4702" i="2"/>
  <c r="U4702" i="2" s="1"/>
  <c r="C4701" i="2"/>
  <c r="U4701" i="2" s="1"/>
  <c r="C4700" i="2"/>
  <c r="U4700" i="2" s="1"/>
  <c r="C4699" i="2"/>
  <c r="U4699" i="2" s="1"/>
  <c r="C4698" i="2"/>
  <c r="U4698" i="2" s="1"/>
  <c r="C4697" i="2"/>
  <c r="U4697" i="2" s="1"/>
  <c r="C4696" i="2"/>
  <c r="U4696" i="2" s="1"/>
  <c r="C4695" i="2"/>
  <c r="U4695" i="2" s="1"/>
  <c r="C4694" i="2"/>
  <c r="U4694" i="2" s="1"/>
  <c r="C4693" i="2"/>
  <c r="U4693" i="2" s="1"/>
  <c r="C4692" i="2"/>
  <c r="U4692" i="2" s="1"/>
  <c r="C4691" i="2"/>
  <c r="U4691" i="2" s="1"/>
  <c r="C4690" i="2"/>
  <c r="U4690" i="2" s="1"/>
  <c r="C4689" i="2"/>
  <c r="U4689" i="2" s="1"/>
  <c r="C4688" i="2"/>
  <c r="U4688" i="2" s="1"/>
  <c r="C4687" i="2"/>
  <c r="U4687" i="2" s="1"/>
  <c r="C4686" i="2"/>
  <c r="U4686" i="2" s="1"/>
  <c r="C4685" i="2"/>
  <c r="U4685" i="2" s="1"/>
  <c r="C4684" i="2"/>
  <c r="U4684" i="2" s="1"/>
  <c r="C4683" i="2"/>
  <c r="U4683" i="2" s="1"/>
  <c r="C4682" i="2"/>
  <c r="U4682" i="2" s="1"/>
  <c r="C4681" i="2"/>
  <c r="U4681" i="2" s="1"/>
  <c r="C4680" i="2"/>
  <c r="U4680" i="2" s="1"/>
  <c r="C4679" i="2"/>
  <c r="U4679" i="2" s="1"/>
  <c r="C4678" i="2"/>
  <c r="U4678" i="2" s="1"/>
  <c r="C4677" i="2"/>
  <c r="U4677" i="2" s="1"/>
  <c r="C4676" i="2"/>
  <c r="U4676" i="2" s="1"/>
  <c r="C4675" i="2"/>
  <c r="U4675" i="2" s="1"/>
  <c r="C4674" i="2"/>
  <c r="U4674" i="2" s="1"/>
  <c r="C4673" i="2"/>
  <c r="U4673" i="2" s="1"/>
  <c r="C4672" i="2"/>
  <c r="U4672" i="2" s="1"/>
  <c r="C4671" i="2"/>
  <c r="U4671" i="2" s="1"/>
  <c r="C4670" i="2"/>
  <c r="U4670" i="2" s="1"/>
  <c r="C4669" i="2"/>
  <c r="U4669" i="2" s="1"/>
  <c r="C4668" i="2"/>
  <c r="U4668" i="2" s="1"/>
  <c r="C4667" i="2"/>
  <c r="U4667" i="2" s="1"/>
  <c r="C4666" i="2"/>
  <c r="U4666" i="2" s="1"/>
  <c r="C4665" i="2"/>
  <c r="U4665" i="2" s="1"/>
  <c r="C4664" i="2"/>
  <c r="U4664" i="2" s="1"/>
  <c r="C4663" i="2"/>
  <c r="U4663" i="2" s="1"/>
  <c r="C4662" i="2"/>
  <c r="U4662" i="2" s="1"/>
  <c r="C4661" i="2"/>
  <c r="U4661" i="2" s="1"/>
  <c r="C4660" i="2"/>
  <c r="U4660" i="2" s="1"/>
  <c r="C4659" i="2"/>
  <c r="U4659" i="2" s="1"/>
  <c r="C4658" i="2"/>
  <c r="U4658" i="2" s="1"/>
  <c r="C4657" i="2"/>
  <c r="U4657" i="2" s="1"/>
  <c r="C4656" i="2"/>
  <c r="U4656" i="2" s="1"/>
  <c r="C4655" i="2"/>
  <c r="U4655" i="2" s="1"/>
  <c r="C4654" i="2"/>
  <c r="U4654" i="2" s="1"/>
  <c r="C4653" i="2"/>
  <c r="U4653" i="2" s="1"/>
  <c r="C4652" i="2"/>
  <c r="U4652" i="2" s="1"/>
  <c r="C4651" i="2"/>
  <c r="U4651" i="2" s="1"/>
  <c r="C4650" i="2"/>
  <c r="U4650" i="2" s="1"/>
  <c r="C4649" i="2"/>
  <c r="U4649" i="2" s="1"/>
  <c r="C4648" i="2"/>
  <c r="U4648" i="2" s="1"/>
  <c r="C4647" i="2"/>
  <c r="U4647" i="2" s="1"/>
  <c r="C4646" i="2"/>
  <c r="U4646" i="2" s="1"/>
  <c r="C4645" i="2"/>
  <c r="U4645" i="2" s="1"/>
  <c r="C4644" i="2"/>
  <c r="U4644" i="2" s="1"/>
  <c r="C4643" i="2"/>
  <c r="U4643" i="2" s="1"/>
  <c r="C4642" i="2"/>
  <c r="U4642" i="2" s="1"/>
  <c r="C4641" i="2"/>
  <c r="U4641" i="2" s="1"/>
  <c r="C4640" i="2"/>
  <c r="U4640" i="2" s="1"/>
  <c r="C4639" i="2"/>
  <c r="U4639" i="2" s="1"/>
  <c r="C4638" i="2"/>
  <c r="U4638" i="2" s="1"/>
  <c r="C4637" i="2"/>
  <c r="U4637" i="2" s="1"/>
  <c r="C4636" i="2"/>
  <c r="U4636" i="2" s="1"/>
  <c r="C4635" i="2"/>
  <c r="U4635" i="2" s="1"/>
  <c r="C4634" i="2"/>
  <c r="U4634" i="2" s="1"/>
  <c r="C4633" i="2"/>
  <c r="U4633" i="2" s="1"/>
  <c r="C4632" i="2"/>
  <c r="U4632" i="2" s="1"/>
  <c r="C4631" i="2"/>
  <c r="U4631" i="2" s="1"/>
  <c r="C4630" i="2"/>
  <c r="U4630" i="2" s="1"/>
  <c r="C4629" i="2"/>
  <c r="U4629" i="2" s="1"/>
  <c r="C4628" i="2"/>
  <c r="U4628" i="2" s="1"/>
  <c r="C4627" i="2"/>
  <c r="U4627" i="2" s="1"/>
  <c r="C4626" i="2"/>
  <c r="U4626" i="2" s="1"/>
  <c r="C4625" i="2"/>
  <c r="U4625" i="2" s="1"/>
  <c r="C4624" i="2"/>
  <c r="U4624" i="2" s="1"/>
  <c r="C4623" i="2"/>
  <c r="U4623" i="2" s="1"/>
  <c r="C4622" i="2"/>
  <c r="U4622" i="2" s="1"/>
  <c r="C4621" i="2"/>
  <c r="U4621" i="2" s="1"/>
  <c r="C4620" i="2"/>
  <c r="U4620" i="2" s="1"/>
  <c r="C4619" i="2"/>
  <c r="U4619" i="2" s="1"/>
  <c r="C4618" i="2"/>
  <c r="U4618" i="2" s="1"/>
  <c r="C4617" i="2"/>
  <c r="U4617" i="2" s="1"/>
  <c r="C4616" i="2"/>
  <c r="U4616" i="2" s="1"/>
  <c r="C4615" i="2"/>
  <c r="U4615" i="2" s="1"/>
  <c r="C4614" i="2"/>
  <c r="U4614" i="2" s="1"/>
  <c r="C4613" i="2"/>
  <c r="U4613" i="2" s="1"/>
  <c r="C4612" i="2"/>
  <c r="U4612" i="2" s="1"/>
  <c r="C4611" i="2"/>
  <c r="U4611" i="2" s="1"/>
  <c r="C4610" i="2"/>
  <c r="U4610" i="2" s="1"/>
  <c r="C4609" i="2"/>
  <c r="U4609" i="2" s="1"/>
  <c r="C4608" i="2"/>
  <c r="U4608" i="2" s="1"/>
  <c r="C4607" i="2"/>
  <c r="U4607" i="2" s="1"/>
  <c r="C4606" i="2"/>
  <c r="U4606" i="2" s="1"/>
  <c r="C4605" i="2"/>
  <c r="U4605" i="2" s="1"/>
  <c r="C4604" i="2"/>
  <c r="U4604" i="2" s="1"/>
  <c r="C4603" i="2"/>
  <c r="U4603" i="2" s="1"/>
  <c r="C4602" i="2"/>
  <c r="U4602" i="2" s="1"/>
  <c r="C4601" i="2"/>
  <c r="U4601" i="2" s="1"/>
  <c r="C4600" i="2"/>
  <c r="U4600" i="2" s="1"/>
  <c r="C4599" i="2"/>
  <c r="U4599" i="2" s="1"/>
  <c r="C4598" i="2"/>
  <c r="U4598" i="2" s="1"/>
  <c r="C4597" i="2"/>
  <c r="U4597" i="2" s="1"/>
  <c r="C4596" i="2"/>
  <c r="U4596" i="2" s="1"/>
  <c r="C4595" i="2"/>
  <c r="U4595" i="2" s="1"/>
  <c r="C4594" i="2"/>
  <c r="U4594" i="2" s="1"/>
  <c r="C4593" i="2"/>
  <c r="U4593" i="2" s="1"/>
  <c r="C4592" i="2"/>
  <c r="U4592" i="2" s="1"/>
  <c r="C4591" i="2"/>
  <c r="U4591" i="2" s="1"/>
  <c r="C4590" i="2"/>
  <c r="U4590" i="2" s="1"/>
  <c r="C4589" i="2"/>
  <c r="U4589" i="2" s="1"/>
  <c r="C4588" i="2"/>
  <c r="U4588" i="2" s="1"/>
  <c r="C4587" i="2"/>
  <c r="U4587" i="2" s="1"/>
  <c r="C4586" i="2"/>
  <c r="U4586" i="2" s="1"/>
  <c r="C4585" i="2"/>
  <c r="U4585" i="2" s="1"/>
  <c r="C4584" i="2"/>
  <c r="U4584" i="2" s="1"/>
  <c r="C4583" i="2"/>
  <c r="U4583" i="2" s="1"/>
  <c r="C4582" i="2"/>
  <c r="U4582" i="2" s="1"/>
  <c r="C4581" i="2"/>
  <c r="U4581" i="2" s="1"/>
  <c r="C4580" i="2"/>
  <c r="U4580" i="2" s="1"/>
  <c r="C4579" i="2"/>
  <c r="U4579" i="2" s="1"/>
  <c r="C4578" i="2"/>
  <c r="U4578" i="2" s="1"/>
  <c r="C4577" i="2"/>
  <c r="U4577" i="2" s="1"/>
  <c r="C4576" i="2"/>
  <c r="U4576" i="2" s="1"/>
  <c r="C4575" i="2"/>
  <c r="U4575" i="2" s="1"/>
  <c r="C4574" i="2"/>
  <c r="U4574" i="2" s="1"/>
  <c r="C4573" i="2"/>
  <c r="U4573" i="2" s="1"/>
  <c r="C4572" i="2"/>
  <c r="U4572" i="2" s="1"/>
  <c r="C4571" i="2"/>
  <c r="U4571" i="2" s="1"/>
  <c r="C4570" i="2"/>
  <c r="U4570" i="2" s="1"/>
  <c r="C4569" i="2"/>
  <c r="U4569" i="2" s="1"/>
  <c r="C4568" i="2"/>
  <c r="U4568" i="2" s="1"/>
  <c r="C4567" i="2"/>
  <c r="U4567" i="2" s="1"/>
  <c r="C4566" i="2"/>
  <c r="U4566" i="2" s="1"/>
  <c r="C4565" i="2"/>
  <c r="U4565" i="2" s="1"/>
  <c r="C4564" i="2"/>
  <c r="U4564" i="2" s="1"/>
  <c r="C4563" i="2"/>
  <c r="U4563" i="2" s="1"/>
  <c r="C4562" i="2"/>
  <c r="U4562" i="2" s="1"/>
  <c r="C4561" i="2"/>
  <c r="U4561" i="2" s="1"/>
  <c r="C4560" i="2"/>
  <c r="U4560" i="2" s="1"/>
  <c r="C4559" i="2"/>
  <c r="U4559" i="2" s="1"/>
  <c r="C4558" i="2"/>
  <c r="U4558" i="2" s="1"/>
  <c r="C4557" i="2"/>
  <c r="U4557" i="2" s="1"/>
  <c r="C4556" i="2"/>
  <c r="U4556" i="2" s="1"/>
  <c r="C4555" i="2"/>
  <c r="U4555" i="2" s="1"/>
  <c r="C4554" i="2"/>
  <c r="U4554" i="2" s="1"/>
  <c r="C4553" i="2"/>
  <c r="U4553" i="2" s="1"/>
  <c r="C4552" i="2"/>
  <c r="U4552" i="2" s="1"/>
  <c r="C4551" i="2"/>
  <c r="U4551" i="2" s="1"/>
  <c r="C4550" i="2"/>
  <c r="U4550" i="2" s="1"/>
  <c r="C4549" i="2"/>
  <c r="U4549" i="2" s="1"/>
  <c r="C4548" i="2"/>
  <c r="U4548" i="2" s="1"/>
  <c r="C4547" i="2"/>
  <c r="U4547" i="2" s="1"/>
  <c r="C4546" i="2"/>
  <c r="U4546" i="2" s="1"/>
  <c r="C4545" i="2"/>
  <c r="U4545" i="2" s="1"/>
  <c r="C4544" i="2"/>
  <c r="U4544" i="2" s="1"/>
  <c r="C4543" i="2"/>
  <c r="U4543" i="2" s="1"/>
  <c r="C4542" i="2"/>
  <c r="U4542" i="2" s="1"/>
  <c r="C4541" i="2"/>
  <c r="U4541" i="2" s="1"/>
  <c r="C4540" i="2"/>
  <c r="U4540" i="2" s="1"/>
  <c r="C4539" i="2"/>
  <c r="U4539" i="2" s="1"/>
  <c r="C4538" i="2"/>
  <c r="U4538" i="2" s="1"/>
  <c r="C4537" i="2"/>
  <c r="U4537" i="2" s="1"/>
  <c r="C4536" i="2"/>
  <c r="U4536" i="2" s="1"/>
  <c r="C4535" i="2"/>
  <c r="U4535" i="2" s="1"/>
  <c r="C4534" i="2"/>
  <c r="U4534" i="2" s="1"/>
  <c r="C4533" i="2"/>
  <c r="U4533" i="2" s="1"/>
  <c r="C4532" i="2"/>
  <c r="U4532" i="2" s="1"/>
  <c r="C4531" i="2"/>
  <c r="U4531" i="2" s="1"/>
  <c r="C4530" i="2"/>
  <c r="U4530" i="2" s="1"/>
  <c r="C4529" i="2"/>
  <c r="U4529" i="2" s="1"/>
  <c r="C4528" i="2"/>
  <c r="U4528" i="2" s="1"/>
  <c r="C4527" i="2"/>
  <c r="U4527" i="2" s="1"/>
  <c r="C4526" i="2"/>
  <c r="U4526" i="2" s="1"/>
  <c r="C4525" i="2"/>
  <c r="U4525" i="2" s="1"/>
  <c r="C4524" i="2"/>
  <c r="U4524" i="2" s="1"/>
  <c r="C4523" i="2"/>
  <c r="U4523" i="2" s="1"/>
  <c r="C4522" i="2"/>
  <c r="U4522" i="2" s="1"/>
  <c r="C4521" i="2"/>
  <c r="U4521" i="2" s="1"/>
  <c r="C4520" i="2"/>
  <c r="U4520" i="2" s="1"/>
  <c r="C4519" i="2"/>
  <c r="U4519" i="2" s="1"/>
  <c r="C4518" i="2"/>
  <c r="U4518" i="2" s="1"/>
  <c r="C4517" i="2"/>
  <c r="U4517" i="2" s="1"/>
  <c r="C4516" i="2"/>
  <c r="U4516" i="2" s="1"/>
  <c r="C4515" i="2"/>
  <c r="U4515" i="2" s="1"/>
  <c r="C4514" i="2"/>
  <c r="U4514" i="2" s="1"/>
  <c r="C4513" i="2"/>
  <c r="U4513" i="2" s="1"/>
  <c r="C4512" i="2"/>
  <c r="U4512" i="2" s="1"/>
  <c r="C4511" i="2"/>
  <c r="U4511" i="2" s="1"/>
  <c r="C4510" i="2"/>
  <c r="U4510" i="2" s="1"/>
  <c r="C4509" i="2"/>
  <c r="U4509" i="2" s="1"/>
  <c r="C4508" i="2"/>
  <c r="U4508" i="2" s="1"/>
  <c r="C4507" i="2"/>
  <c r="U4507" i="2" s="1"/>
  <c r="C4506" i="2"/>
  <c r="U4506" i="2" s="1"/>
  <c r="C4505" i="2"/>
  <c r="U4505" i="2" s="1"/>
  <c r="C4504" i="2"/>
  <c r="U4504" i="2" s="1"/>
  <c r="C4503" i="2"/>
  <c r="U4503" i="2" s="1"/>
  <c r="C4502" i="2"/>
  <c r="U4502" i="2" s="1"/>
  <c r="C4501" i="2"/>
  <c r="U4501" i="2" s="1"/>
  <c r="C4500" i="2"/>
  <c r="U4500" i="2" s="1"/>
  <c r="C4499" i="2"/>
  <c r="U4499" i="2" s="1"/>
  <c r="C4498" i="2"/>
  <c r="U4498" i="2" s="1"/>
  <c r="C4497" i="2"/>
  <c r="U4497" i="2" s="1"/>
  <c r="C4496" i="2"/>
  <c r="U4496" i="2" s="1"/>
  <c r="C4495" i="2"/>
  <c r="U4495" i="2" s="1"/>
  <c r="C4494" i="2"/>
  <c r="U4494" i="2" s="1"/>
  <c r="C4493" i="2"/>
  <c r="U4493" i="2" s="1"/>
  <c r="C4492" i="2"/>
  <c r="U4492" i="2" s="1"/>
  <c r="C4491" i="2"/>
  <c r="U4491" i="2" s="1"/>
  <c r="C4490" i="2"/>
  <c r="U4490" i="2" s="1"/>
  <c r="C4489" i="2"/>
  <c r="U4489" i="2" s="1"/>
  <c r="C4488" i="2"/>
  <c r="U4488" i="2" s="1"/>
  <c r="C4487" i="2"/>
  <c r="U4487" i="2" s="1"/>
  <c r="C4486" i="2"/>
  <c r="U4486" i="2" s="1"/>
  <c r="C4485" i="2"/>
  <c r="U4485" i="2" s="1"/>
  <c r="C4484" i="2"/>
  <c r="U4484" i="2" s="1"/>
  <c r="C4483" i="2"/>
  <c r="U4483" i="2" s="1"/>
  <c r="C4482" i="2"/>
  <c r="U4482" i="2" s="1"/>
  <c r="C4481" i="2"/>
  <c r="U4481" i="2" s="1"/>
  <c r="C4480" i="2"/>
  <c r="U4480" i="2" s="1"/>
  <c r="C4479" i="2"/>
  <c r="U4479" i="2" s="1"/>
  <c r="C4478" i="2"/>
  <c r="U4478" i="2" s="1"/>
  <c r="C4477" i="2"/>
  <c r="U4477" i="2" s="1"/>
  <c r="C4476" i="2"/>
  <c r="U4476" i="2" s="1"/>
  <c r="C4475" i="2"/>
  <c r="U4475" i="2" s="1"/>
  <c r="C4474" i="2"/>
  <c r="U4474" i="2" s="1"/>
  <c r="C4473" i="2"/>
  <c r="U4473" i="2" s="1"/>
  <c r="C4472" i="2"/>
  <c r="U4472" i="2" s="1"/>
  <c r="C4471" i="2"/>
  <c r="U4471" i="2" s="1"/>
  <c r="C4470" i="2"/>
  <c r="U4470" i="2" s="1"/>
  <c r="C4469" i="2"/>
  <c r="U4469" i="2" s="1"/>
  <c r="C4468" i="2"/>
  <c r="U4468" i="2" s="1"/>
  <c r="C4467" i="2"/>
  <c r="U4467" i="2" s="1"/>
  <c r="C4466" i="2"/>
  <c r="U4466" i="2" s="1"/>
  <c r="C4465" i="2"/>
  <c r="U4465" i="2" s="1"/>
  <c r="C4464" i="2"/>
  <c r="U4464" i="2" s="1"/>
  <c r="C4463" i="2"/>
  <c r="U4463" i="2" s="1"/>
  <c r="C4462" i="2"/>
  <c r="U4462" i="2" s="1"/>
  <c r="C4461" i="2"/>
  <c r="U4461" i="2" s="1"/>
  <c r="C4460" i="2"/>
  <c r="U4460" i="2" s="1"/>
  <c r="C4459" i="2"/>
  <c r="U4459" i="2" s="1"/>
  <c r="C4458" i="2"/>
  <c r="U4458" i="2" s="1"/>
  <c r="C4457" i="2"/>
  <c r="U4457" i="2" s="1"/>
  <c r="C4456" i="2"/>
  <c r="U4456" i="2" s="1"/>
  <c r="C4455" i="2"/>
  <c r="U4455" i="2" s="1"/>
  <c r="C4454" i="2"/>
  <c r="U4454" i="2" s="1"/>
  <c r="C4453" i="2"/>
  <c r="U4453" i="2" s="1"/>
  <c r="C4452" i="2"/>
  <c r="U4452" i="2" s="1"/>
  <c r="C4451" i="2"/>
  <c r="U4451" i="2" s="1"/>
  <c r="C4450" i="2"/>
  <c r="U4450" i="2" s="1"/>
  <c r="C4449" i="2"/>
  <c r="U4449" i="2" s="1"/>
  <c r="C4448" i="2"/>
  <c r="U4448" i="2" s="1"/>
  <c r="C4447" i="2"/>
  <c r="U4447" i="2" s="1"/>
  <c r="C4446" i="2"/>
  <c r="U4446" i="2" s="1"/>
  <c r="C4445" i="2"/>
  <c r="U4445" i="2" s="1"/>
  <c r="C4444" i="2"/>
  <c r="U4444" i="2" s="1"/>
  <c r="C4443" i="2"/>
  <c r="U4443" i="2" s="1"/>
  <c r="C4442" i="2"/>
  <c r="U4442" i="2" s="1"/>
  <c r="C4441" i="2"/>
  <c r="U4441" i="2" s="1"/>
  <c r="C4440" i="2"/>
  <c r="U4440" i="2" s="1"/>
  <c r="C4439" i="2"/>
  <c r="U4439" i="2" s="1"/>
  <c r="C4438" i="2"/>
  <c r="U4438" i="2" s="1"/>
  <c r="C4437" i="2"/>
  <c r="U4437" i="2" s="1"/>
  <c r="C4436" i="2"/>
  <c r="U4436" i="2" s="1"/>
  <c r="C4435" i="2"/>
  <c r="U4435" i="2" s="1"/>
  <c r="C4434" i="2"/>
  <c r="U4434" i="2" s="1"/>
  <c r="C4433" i="2"/>
  <c r="U4433" i="2" s="1"/>
  <c r="C4432" i="2"/>
  <c r="U4432" i="2" s="1"/>
  <c r="C4431" i="2"/>
  <c r="U4431" i="2" s="1"/>
  <c r="C4430" i="2"/>
  <c r="U4430" i="2" s="1"/>
  <c r="C4429" i="2"/>
  <c r="U4429" i="2" s="1"/>
  <c r="C4428" i="2"/>
  <c r="U4428" i="2" s="1"/>
  <c r="C4427" i="2"/>
  <c r="U4427" i="2" s="1"/>
  <c r="C4426" i="2"/>
  <c r="U4426" i="2" s="1"/>
  <c r="C4425" i="2"/>
  <c r="U4425" i="2" s="1"/>
  <c r="C4424" i="2"/>
  <c r="U4424" i="2" s="1"/>
  <c r="C4423" i="2"/>
  <c r="U4423" i="2" s="1"/>
  <c r="C4422" i="2"/>
  <c r="U4422" i="2" s="1"/>
  <c r="C4421" i="2"/>
  <c r="U4421" i="2" s="1"/>
  <c r="C4420" i="2"/>
  <c r="U4420" i="2" s="1"/>
  <c r="C4419" i="2"/>
  <c r="U4419" i="2" s="1"/>
  <c r="C4418" i="2"/>
  <c r="U4418" i="2" s="1"/>
  <c r="C4417" i="2"/>
  <c r="U4417" i="2" s="1"/>
  <c r="C4416" i="2"/>
  <c r="U4416" i="2" s="1"/>
  <c r="C4415" i="2"/>
  <c r="U4415" i="2" s="1"/>
  <c r="C4414" i="2"/>
  <c r="U4414" i="2" s="1"/>
  <c r="C4413" i="2"/>
  <c r="U4413" i="2" s="1"/>
  <c r="C4412" i="2"/>
  <c r="U4412" i="2" s="1"/>
  <c r="C4411" i="2"/>
  <c r="U4411" i="2" s="1"/>
  <c r="C4410" i="2"/>
  <c r="U4410" i="2" s="1"/>
  <c r="C4409" i="2"/>
  <c r="U4409" i="2" s="1"/>
  <c r="C4408" i="2"/>
  <c r="U4408" i="2" s="1"/>
  <c r="C4407" i="2"/>
  <c r="U4407" i="2" s="1"/>
  <c r="C4406" i="2"/>
  <c r="U4406" i="2" s="1"/>
  <c r="C4405" i="2"/>
  <c r="U4405" i="2" s="1"/>
  <c r="C4404" i="2"/>
  <c r="U4404" i="2" s="1"/>
  <c r="C4403" i="2"/>
  <c r="U4403" i="2" s="1"/>
  <c r="C4402" i="2"/>
  <c r="U4402" i="2" s="1"/>
  <c r="C4401" i="2"/>
  <c r="U4401" i="2" s="1"/>
  <c r="C4400" i="2"/>
  <c r="U4400" i="2" s="1"/>
  <c r="C4399" i="2"/>
  <c r="U4399" i="2" s="1"/>
  <c r="C4398" i="2"/>
  <c r="U4398" i="2" s="1"/>
  <c r="C4397" i="2"/>
  <c r="U4397" i="2" s="1"/>
  <c r="C4396" i="2"/>
  <c r="U4396" i="2" s="1"/>
  <c r="C4395" i="2"/>
  <c r="U4395" i="2" s="1"/>
  <c r="C4394" i="2"/>
  <c r="U4394" i="2" s="1"/>
  <c r="C4393" i="2"/>
  <c r="U4393" i="2" s="1"/>
  <c r="C4392" i="2"/>
  <c r="U4392" i="2" s="1"/>
  <c r="C4391" i="2"/>
  <c r="U4391" i="2" s="1"/>
  <c r="C4390" i="2"/>
  <c r="U4390" i="2" s="1"/>
  <c r="C4389" i="2"/>
  <c r="U4389" i="2" s="1"/>
  <c r="C4388" i="2"/>
  <c r="U4388" i="2" s="1"/>
  <c r="C4387" i="2"/>
  <c r="U4387" i="2" s="1"/>
  <c r="C4386" i="2"/>
  <c r="U4386" i="2" s="1"/>
  <c r="C4385" i="2"/>
  <c r="U4385" i="2" s="1"/>
  <c r="C4384" i="2"/>
  <c r="U4384" i="2" s="1"/>
  <c r="C4383" i="2"/>
  <c r="U4383" i="2" s="1"/>
  <c r="C4382" i="2"/>
  <c r="U4382" i="2" s="1"/>
  <c r="C4381" i="2"/>
  <c r="U4381" i="2" s="1"/>
  <c r="C4380" i="2"/>
  <c r="U4380" i="2" s="1"/>
  <c r="C4379" i="2"/>
  <c r="U4379" i="2" s="1"/>
  <c r="C4378" i="2"/>
  <c r="U4378" i="2" s="1"/>
  <c r="C4377" i="2"/>
  <c r="U4377" i="2" s="1"/>
  <c r="C4376" i="2"/>
  <c r="U4376" i="2" s="1"/>
  <c r="C4375" i="2"/>
  <c r="U4375" i="2" s="1"/>
  <c r="C4374" i="2"/>
  <c r="U4374" i="2" s="1"/>
  <c r="C4373" i="2"/>
  <c r="U4373" i="2" s="1"/>
  <c r="C4372" i="2"/>
  <c r="U4372" i="2" s="1"/>
  <c r="C4371" i="2"/>
  <c r="U4371" i="2" s="1"/>
  <c r="C4370" i="2"/>
  <c r="U4370" i="2" s="1"/>
  <c r="C4369" i="2"/>
  <c r="U4369" i="2" s="1"/>
  <c r="C4368" i="2"/>
  <c r="U4368" i="2" s="1"/>
  <c r="C4367" i="2"/>
  <c r="U4367" i="2" s="1"/>
  <c r="C4366" i="2"/>
  <c r="U4366" i="2" s="1"/>
  <c r="C4365" i="2"/>
  <c r="U4365" i="2" s="1"/>
  <c r="C4364" i="2"/>
  <c r="U4364" i="2" s="1"/>
  <c r="C4363" i="2"/>
  <c r="U4363" i="2" s="1"/>
  <c r="C4362" i="2"/>
  <c r="U4362" i="2" s="1"/>
  <c r="C4361" i="2"/>
  <c r="U4361" i="2" s="1"/>
  <c r="C4360" i="2"/>
  <c r="U4360" i="2" s="1"/>
  <c r="C4359" i="2"/>
  <c r="U4359" i="2" s="1"/>
  <c r="C4358" i="2"/>
  <c r="U4358" i="2" s="1"/>
  <c r="C4357" i="2"/>
  <c r="U4357" i="2" s="1"/>
  <c r="C4356" i="2"/>
  <c r="U4356" i="2" s="1"/>
  <c r="C4355" i="2"/>
  <c r="U4355" i="2" s="1"/>
  <c r="C4354" i="2"/>
  <c r="U4354" i="2" s="1"/>
  <c r="C4353" i="2"/>
  <c r="U4353" i="2" s="1"/>
  <c r="C4352" i="2"/>
  <c r="U4352" i="2" s="1"/>
  <c r="C4351" i="2"/>
  <c r="U4351" i="2" s="1"/>
  <c r="C4350" i="2"/>
  <c r="U4350" i="2" s="1"/>
  <c r="C4349" i="2"/>
  <c r="U4349" i="2" s="1"/>
  <c r="C4348" i="2"/>
  <c r="U4348" i="2" s="1"/>
  <c r="C4347" i="2"/>
  <c r="U4347" i="2" s="1"/>
  <c r="C4346" i="2"/>
  <c r="U4346" i="2" s="1"/>
  <c r="C4345" i="2"/>
  <c r="U4345" i="2" s="1"/>
  <c r="C4344" i="2"/>
  <c r="U4344" i="2" s="1"/>
  <c r="C4343" i="2"/>
  <c r="U4343" i="2" s="1"/>
  <c r="C4342" i="2"/>
  <c r="U4342" i="2" s="1"/>
  <c r="C4341" i="2"/>
  <c r="U4341" i="2" s="1"/>
  <c r="C4340" i="2"/>
  <c r="U4340" i="2" s="1"/>
  <c r="C4339" i="2"/>
  <c r="U4339" i="2" s="1"/>
  <c r="C4338" i="2"/>
  <c r="U4338" i="2" s="1"/>
  <c r="C4337" i="2"/>
  <c r="U4337" i="2" s="1"/>
  <c r="C4336" i="2"/>
  <c r="U4336" i="2" s="1"/>
  <c r="C4335" i="2"/>
  <c r="U4335" i="2" s="1"/>
  <c r="C4334" i="2"/>
  <c r="U4334" i="2" s="1"/>
  <c r="C4333" i="2"/>
  <c r="U4333" i="2" s="1"/>
  <c r="C4332" i="2"/>
  <c r="U4332" i="2" s="1"/>
  <c r="C4331" i="2"/>
  <c r="U4331" i="2" s="1"/>
  <c r="C4330" i="2"/>
  <c r="U4330" i="2" s="1"/>
  <c r="C4329" i="2"/>
  <c r="U4329" i="2" s="1"/>
  <c r="C4328" i="2"/>
  <c r="U4328" i="2" s="1"/>
  <c r="C4327" i="2"/>
  <c r="U4327" i="2" s="1"/>
  <c r="C4326" i="2"/>
  <c r="U4326" i="2" s="1"/>
  <c r="C4325" i="2"/>
  <c r="U4325" i="2" s="1"/>
  <c r="C4324" i="2"/>
  <c r="U4324" i="2" s="1"/>
  <c r="C4323" i="2"/>
  <c r="U4323" i="2" s="1"/>
  <c r="C4322" i="2"/>
  <c r="U4322" i="2" s="1"/>
  <c r="C4321" i="2"/>
  <c r="U4321" i="2" s="1"/>
  <c r="C4320" i="2"/>
  <c r="U4320" i="2" s="1"/>
  <c r="C4319" i="2"/>
  <c r="U4319" i="2" s="1"/>
  <c r="C4318" i="2"/>
  <c r="U4318" i="2" s="1"/>
  <c r="C4317" i="2"/>
  <c r="U4317" i="2" s="1"/>
  <c r="C4316" i="2"/>
  <c r="U4316" i="2" s="1"/>
  <c r="C4315" i="2"/>
  <c r="U4315" i="2" s="1"/>
  <c r="C4314" i="2"/>
  <c r="U4314" i="2" s="1"/>
  <c r="C4313" i="2"/>
  <c r="U4313" i="2" s="1"/>
  <c r="C4312" i="2"/>
  <c r="U4312" i="2" s="1"/>
  <c r="C4311" i="2"/>
  <c r="U4311" i="2" s="1"/>
  <c r="C4310" i="2"/>
  <c r="U4310" i="2" s="1"/>
  <c r="C4309" i="2"/>
  <c r="U4309" i="2" s="1"/>
  <c r="C4308" i="2"/>
  <c r="U4308" i="2" s="1"/>
  <c r="C4307" i="2"/>
  <c r="U4307" i="2" s="1"/>
  <c r="C4306" i="2"/>
  <c r="U4306" i="2" s="1"/>
  <c r="C4305" i="2"/>
  <c r="U4305" i="2" s="1"/>
  <c r="C4304" i="2"/>
  <c r="U4304" i="2" s="1"/>
  <c r="C4303" i="2"/>
  <c r="U4303" i="2" s="1"/>
  <c r="C4302" i="2"/>
  <c r="U4302" i="2" s="1"/>
  <c r="C4301" i="2"/>
  <c r="U4301" i="2" s="1"/>
  <c r="C4300" i="2"/>
  <c r="U4300" i="2" s="1"/>
  <c r="C4299" i="2"/>
  <c r="U4299" i="2" s="1"/>
  <c r="C4298" i="2"/>
  <c r="U4298" i="2" s="1"/>
  <c r="C4297" i="2"/>
  <c r="U4297" i="2" s="1"/>
  <c r="C4296" i="2"/>
  <c r="U4296" i="2" s="1"/>
  <c r="C4295" i="2"/>
  <c r="U4295" i="2" s="1"/>
  <c r="C4294" i="2"/>
  <c r="U4294" i="2" s="1"/>
  <c r="C4293" i="2"/>
  <c r="U4293" i="2" s="1"/>
  <c r="C4292" i="2"/>
  <c r="U4292" i="2" s="1"/>
  <c r="C4291" i="2"/>
  <c r="U4291" i="2" s="1"/>
  <c r="C4290" i="2"/>
  <c r="U4290" i="2" s="1"/>
  <c r="C4289" i="2"/>
  <c r="U4289" i="2" s="1"/>
  <c r="C4288" i="2"/>
  <c r="U4288" i="2" s="1"/>
  <c r="C4287" i="2"/>
  <c r="U4287" i="2" s="1"/>
  <c r="C4286" i="2"/>
  <c r="U4286" i="2" s="1"/>
  <c r="C4285" i="2"/>
  <c r="U4285" i="2" s="1"/>
  <c r="C4284" i="2"/>
  <c r="U4284" i="2" s="1"/>
  <c r="C4283" i="2"/>
  <c r="U4283" i="2" s="1"/>
  <c r="C4282" i="2"/>
  <c r="U4282" i="2" s="1"/>
  <c r="C4281" i="2"/>
  <c r="U4281" i="2" s="1"/>
  <c r="C4280" i="2"/>
  <c r="U4280" i="2" s="1"/>
  <c r="C4279" i="2"/>
  <c r="U4279" i="2" s="1"/>
  <c r="C4278" i="2"/>
  <c r="U4278" i="2" s="1"/>
  <c r="C4277" i="2"/>
  <c r="U4277" i="2" s="1"/>
  <c r="C4276" i="2"/>
  <c r="U4276" i="2" s="1"/>
  <c r="C4275" i="2"/>
  <c r="U4275" i="2" s="1"/>
  <c r="C4274" i="2"/>
  <c r="U4274" i="2" s="1"/>
  <c r="C4273" i="2"/>
  <c r="U4273" i="2" s="1"/>
  <c r="C4272" i="2"/>
  <c r="U4272" i="2" s="1"/>
  <c r="C4271" i="2"/>
  <c r="U4271" i="2" s="1"/>
  <c r="C4270" i="2"/>
  <c r="U4270" i="2" s="1"/>
  <c r="C4269" i="2"/>
  <c r="U4269" i="2" s="1"/>
  <c r="C4268" i="2"/>
  <c r="U4268" i="2" s="1"/>
  <c r="C4267" i="2"/>
  <c r="U4267" i="2" s="1"/>
  <c r="C4266" i="2"/>
  <c r="U4266" i="2" s="1"/>
  <c r="C4265" i="2"/>
  <c r="U4265" i="2" s="1"/>
  <c r="C4264" i="2"/>
  <c r="U4264" i="2" s="1"/>
  <c r="C4263" i="2"/>
  <c r="U4263" i="2" s="1"/>
  <c r="C4262" i="2"/>
  <c r="U4262" i="2" s="1"/>
  <c r="C4261" i="2"/>
  <c r="U4261" i="2" s="1"/>
  <c r="C4260" i="2"/>
  <c r="U4260" i="2" s="1"/>
  <c r="C4259" i="2"/>
  <c r="U4259" i="2" s="1"/>
  <c r="C4258" i="2"/>
  <c r="U4258" i="2" s="1"/>
  <c r="C4257" i="2"/>
  <c r="U4257" i="2" s="1"/>
  <c r="C4256" i="2"/>
  <c r="U4256" i="2" s="1"/>
  <c r="C4255" i="2"/>
  <c r="U4255" i="2" s="1"/>
  <c r="C4254" i="2"/>
  <c r="U4254" i="2" s="1"/>
  <c r="C4253" i="2"/>
  <c r="U4253" i="2" s="1"/>
  <c r="C4252" i="2"/>
  <c r="U4252" i="2" s="1"/>
  <c r="C4251" i="2"/>
  <c r="U4251" i="2" s="1"/>
  <c r="C4250" i="2"/>
  <c r="U4250" i="2" s="1"/>
  <c r="C4249" i="2"/>
  <c r="U4249" i="2" s="1"/>
  <c r="C4248" i="2"/>
  <c r="U4248" i="2" s="1"/>
  <c r="C4247" i="2"/>
  <c r="U4247" i="2" s="1"/>
  <c r="C4246" i="2"/>
  <c r="U4246" i="2" s="1"/>
  <c r="C4245" i="2"/>
  <c r="U4245" i="2" s="1"/>
  <c r="C4244" i="2"/>
  <c r="U4244" i="2" s="1"/>
  <c r="C4243" i="2"/>
  <c r="U4243" i="2" s="1"/>
  <c r="C4242" i="2"/>
  <c r="U4242" i="2" s="1"/>
  <c r="C4241" i="2"/>
  <c r="U4241" i="2" s="1"/>
  <c r="C4240" i="2"/>
  <c r="U4240" i="2" s="1"/>
  <c r="C4239" i="2"/>
  <c r="U4239" i="2" s="1"/>
  <c r="C4238" i="2"/>
  <c r="U4238" i="2" s="1"/>
  <c r="C4237" i="2"/>
  <c r="U4237" i="2" s="1"/>
  <c r="C4236" i="2"/>
  <c r="U4236" i="2" s="1"/>
  <c r="C4235" i="2"/>
  <c r="U4235" i="2" s="1"/>
  <c r="C4234" i="2"/>
  <c r="U4234" i="2" s="1"/>
  <c r="C4233" i="2"/>
  <c r="U4233" i="2" s="1"/>
  <c r="C4232" i="2"/>
  <c r="U4232" i="2" s="1"/>
  <c r="C4231" i="2"/>
  <c r="U4231" i="2" s="1"/>
  <c r="C4230" i="2"/>
  <c r="U4230" i="2" s="1"/>
  <c r="C4229" i="2"/>
  <c r="U4229" i="2" s="1"/>
  <c r="C4228" i="2"/>
  <c r="U4228" i="2" s="1"/>
  <c r="C4227" i="2"/>
  <c r="U4227" i="2" s="1"/>
  <c r="C4226" i="2"/>
  <c r="U4226" i="2" s="1"/>
  <c r="C4225" i="2"/>
  <c r="U4225" i="2" s="1"/>
  <c r="C4224" i="2"/>
  <c r="U4224" i="2" s="1"/>
  <c r="C4223" i="2"/>
  <c r="U4223" i="2" s="1"/>
  <c r="C4222" i="2"/>
  <c r="U4222" i="2" s="1"/>
  <c r="C4221" i="2"/>
  <c r="U4221" i="2" s="1"/>
  <c r="C4220" i="2"/>
  <c r="U4220" i="2" s="1"/>
  <c r="C4219" i="2"/>
  <c r="U4219" i="2" s="1"/>
  <c r="C4218" i="2"/>
  <c r="U4218" i="2" s="1"/>
  <c r="C4217" i="2"/>
  <c r="U4217" i="2" s="1"/>
  <c r="U4216" i="2"/>
  <c r="C4216" i="2"/>
  <c r="C4215" i="2"/>
  <c r="U4215" i="2" s="1"/>
  <c r="C4214" i="2"/>
  <c r="U4214" i="2" s="1"/>
  <c r="C4213" i="2"/>
  <c r="U4213" i="2" s="1"/>
  <c r="U4212" i="2"/>
  <c r="C4212" i="2"/>
  <c r="C4211" i="2"/>
  <c r="U4211" i="2" s="1"/>
  <c r="C4210" i="2"/>
  <c r="U4210" i="2" s="1"/>
  <c r="C4209" i="2"/>
  <c r="U4209" i="2" s="1"/>
  <c r="U4208" i="2"/>
  <c r="C4208" i="2"/>
  <c r="C4207" i="2"/>
  <c r="U4207" i="2" s="1"/>
  <c r="C4206" i="2"/>
  <c r="U4206" i="2" s="1"/>
  <c r="C4205" i="2"/>
  <c r="U4205" i="2" s="1"/>
  <c r="U4204" i="2"/>
  <c r="C4204" i="2"/>
  <c r="C4203" i="2"/>
  <c r="U4203" i="2" s="1"/>
  <c r="C4202" i="2"/>
  <c r="U4202" i="2" s="1"/>
  <c r="C4201" i="2"/>
  <c r="U4201" i="2" s="1"/>
  <c r="U4200" i="2"/>
  <c r="C4200" i="2"/>
  <c r="C4199" i="2"/>
  <c r="U4199" i="2" s="1"/>
  <c r="C4198" i="2"/>
  <c r="U4198" i="2" s="1"/>
  <c r="C4197" i="2"/>
  <c r="U4197" i="2" s="1"/>
  <c r="U4196" i="2"/>
  <c r="C4196" i="2"/>
  <c r="U4195" i="2"/>
  <c r="C4195" i="2"/>
  <c r="U4194" i="2"/>
  <c r="C4194" i="2"/>
  <c r="U4193" i="2"/>
  <c r="C4193" i="2"/>
  <c r="U4192" i="2"/>
  <c r="C4192" i="2"/>
  <c r="U4191" i="2"/>
  <c r="C4191" i="2"/>
  <c r="U4190" i="2"/>
  <c r="C4190" i="2"/>
  <c r="U4189" i="2"/>
  <c r="C4189" i="2"/>
  <c r="U4188" i="2"/>
  <c r="C4188" i="2"/>
  <c r="U4187" i="2"/>
  <c r="C4187" i="2"/>
  <c r="U4186" i="2"/>
  <c r="C4186" i="2"/>
  <c r="U4185" i="2"/>
  <c r="C4185" i="2"/>
  <c r="U4184" i="2"/>
  <c r="C4184" i="2"/>
  <c r="U4183" i="2"/>
  <c r="C4183" i="2"/>
  <c r="U4182" i="2"/>
  <c r="C4182" i="2"/>
  <c r="U4181" i="2"/>
  <c r="C4181" i="2"/>
  <c r="U4180" i="2"/>
  <c r="C4180" i="2"/>
  <c r="U4179" i="2"/>
  <c r="C4179" i="2"/>
  <c r="U4178" i="2"/>
  <c r="C4178" i="2"/>
  <c r="U4177" i="2"/>
  <c r="C4177" i="2"/>
  <c r="U4176" i="2"/>
  <c r="C4176" i="2"/>
  <c r="U4175" i="2"/>
  <c r="C4175" i="2"/>
  <c r="U4174" i="2"/>
  <c r="C4174" i="2"/>
  <c r="U4173" i="2"/>
  <c r="C4173" i="2"/>
  <c r="U4172" i="2"/>
  <c r="C4172" i="2"/>
  <c r="U4171" i="2"/>
  <c r="C4171" i="2"/>
  <c r="U4170" i="2"/>
  <c r="C4170" i="2"/>
  <c r="U4169" i="2"/>
  <c r="C4169" i="2"/>
  <c r="U4168" i="2"/>
  <c r="C4168" i="2"/>
  <c r="U4167" i="2"/>
  <c r="C4167" i="2"/>
  <c r="U4166" i="2"/>
  <c r="C4166" i="2"/>
  <c r="U4165" i="2"/>
  <c r="C4165" i="2"/>
  <c r="U4164" i="2"/>
  <c r="C4164" i="2"/>
  <c r="U4163" i="2"/>
  <c r="C4163" i="2"/>
  <c r="U4162" i="2"/>
  <c r="C4162" i="2"/>
  <c r="U4161" i="2"/>
  <c r="C4161" i="2"/>
  <c r="U4160" i="2"/>
  <c r="C4160" i="2"/>
  <c r="U4159" i="2"/>
  <c r="C4159" i="2"/>
  <c r="U4158" i="2"/>
  <c r="C4158" i="2"/>
  <c r="U4157" i="2"/>
  <c r="C4157" i="2"/>
  <c r="U4156" i="2"/>
  <c r="C4156" i="2"/>
  <c r="U4155" i="2"/>
  <c r="C4155" i="2"/>
  <c r="U4154" i="2"/>
  <c r="C4154" i="2"/>
  <c r="U4153" i="2"/>
  <c r="C4153" i="2"/>
  <c r="U4152" i="2"/>
  <c r="C4152" i="2"/>
  <c r="U4151" i="2"/>
  <c r="C4151" i="2"/>
  <c r="U4150" i="2"/>
  <c r="C4150" i="2"/>
  <c r="U4149" i="2"/>
  <c r="C4149" i="2"/>
  <c r="U4148" i="2"/>
  <c r="C4148" i="2"/>
  <c r="U4147" i="2"/>
  <c r="C4147" i="2"/>
  <c r="U4146" i="2"/>
  <c r="C4146" i="2"/>
  <c r="U4145" i="2"/>
  <c r="C4145" i="2"/>
  <c r="U4144" i="2"/>
  <c r="C4144" i="2"/>
  <c r="U4143" i="2"/>
  <c r="C4143" i="2"/>
  <c r="U4142" i="2"/>
  <c r="C4142" i="2"/>
  <c r="U4141" i="2"/>
  <c r="C4141" i="2"/>
  <c r="U4140" i="2"/>
  <c r="C4140" i="2"/>
  <c r="U4139" i="2"/>
  <c r="C4139" i="2"/>
  <c r="U4138" i="2"/>
  <c r="C4138" i="2"/>
  <c r="U4137" i="2"/>
  <c r="C4137" i="2"/>
  <c r="U4136" i="2"/>
  <c r="C4136" i="2"/>
  <c r="U4135" i="2"/>
  <c r="C4135" i="2"/>
  <c r="U4134" i="2"/>
  <c r="C4134" i="2"/>
  <c r="U4133" i="2"/>
  <c r="C4133" i="2"/>
  <c r="U4132" i="2"/>
  <c r="C4132" i="2"/>
  <c r="U4131" i="2"/>
  <c r="C4131" i="2"/>
  <c r="U4130" i="2"/>
  <c r="C4130" i="2"/>
  <c r="U4129" i="2"/>
  <c r="C4129" i="2"/>
  <c r="U4128" i="2"/>
  <c r="C4128" i="2"/>
  <c r="U4127" i="2"/>
  <c r="C4127" i="2"/>
  <c r="U4126" i="2"/>
  <c r="C4126" i="2"/>
  <c r="U4125" i="2"/>
  <c r="C4125" i="2"/>
  <c r="U4124" i="2"/>
  <c r="C4124" i="2"/>
  <c r="U4123" i="2"/>
  <c r="C4123" i="2"/>
  <c r="U4122" i="2"/>
  <c r="C4122" i="2"/>
  <c r="U4121" i="2"/>
  <c r="C4121" i="2"/>
  <c r="U4120" i="2"/>
  <c r="C4120" i="2"/>
  <c r="U4119" i="2"/>
  <c r="C4119" i="2"/>
  <c r="U4118" i="2"/>
  <c r="C4118" i="2"/>
  <c r="U4117" i="2"/>
  <c r="C4117" i="2"/>
  <c r="U4116" i="2"/>
  <c r="C4116" i="2"/>
  <c r="U4115" i="2"/>
  <c r="C4115" i="2"/>
  <c r="U4114" i="2"/>
  <c r="C4114" i="2"/>
  <c r="U4113" i="2"/>
  <c r="C4113" i="2"/>
  <c r="U4112" i="2"/>
  <c r="C4112" i="2"/>
  <c r="U4111" i="2"/>
  <c r="C4111" i="2"/>
  <c r="U4110" i="2"/>
  <c r="C4110" i="2"/>
  <c r="U4109" i="2"/>
  <c r="C4109" i="2"/>
  <c r="U4108" i="2"/>
  <c r="C4108" i="2"/>
  <c r="U4107" i="2"/>
  <c r="C4107" i="2"/>
  <c r="U4106" i="2"/>
  <c r="C4106" i="2"/>
  <c r="U4105" i="2"/>
  <c r="C4105" i="2"/>
  <c r="U4104" i="2"/>
  <c r="C4104" i="2"/>
  <c r="U4103" i="2"/>
  <c r="C4103" i="2"/>
  <c r="U4102" i="2"/>
  <c r="C4102" i="2"/>
  <c r="U4101" i="2"/>
  <c r="C4101" i="2"/>
  <c r="U4100" i="2"/>
  <c r="C4100" i="2"/>
  <c r="U4099" i="2"/>
  <c r="C4099" i="2"/>
  <c r="U4098" i="2"/>
  <c r="C4098" i="2"/>
  <c r="U4097" i="2"/>
  <c r="C4097" i="2"/>
  <c r="U4096" i="2"/>
  <c r="C4096" i="2"/>
  <c r="U4095" i="2"/>
  <c r="C4095" i="2"/>
  <c r="U4094" i="2"/>
  <c r="C4094" i="2"/>
  <c r="U4093" i="2"/>
  <c r="C4093" i="2"/>
  <c r="U4092" i="2"/>
  <c r="C4092" i="2"/>
  <c r="U4091" i="2"/>
  <c r="C4091" i="2"/>
  <c r="U4090" i="2"/>
  <c r="C4090" i="2"/>
  <c r="U4089" i="2"/>
  <c r="C4089" i="2"/>
  <c r="U4088" i="2"/>
  <c r="C4088" i="2"/>
  <c r="U4087" i="2"/>
  <c r="C4087" i="2"/>
  <c r="U4086" i="2"/>
  <c r="C4086" i="2"/>
  <c r="U4085" i="2"/>
  <c r="C4085" i="2"/>
  <c r="U4084" i="2"/>
  <c r="C4084" i="2"/>
  <c r="U4083" i="2"/>
  <c r="C4083" i="2"/>
  <c r="U4082" i="2"/>
  <c r="C4082" i="2"/>
  <c r="U4081" i="2"/>
  <c r="C4081" i="2"/>
  <c r="U4080" i="2"/>
  <c r="C4080" i="2"/>
  <c r="U4079" i="2"/>
  <c r="C4079" i="2"/>
  <c r="U4078" i="2"/>
  <c r="C4078" i="2"/>
  <c r="U4077" i="2"/>
  <c r="C4077" i="2"/>
  <c r="U4076" i="2"/>
  <c r="C4076" i="2"/>
  <c r="U4075" i="2"/>
  <c r="C4075" i="2"/>
  <c r="U4074" i="2"/>
  <c r="C4074" i="2"/>
  <c r="U4073" i="2"/>
  <c r="C4073" i="2"/>
  <c r="U4072" i="2"/>
  <c r="C4072" i="2"/>
  <c r="U4071" i="2"/>
  <c r="C4071" i="2"/>
  <c r="U4070" i="2"/>
  <c r="C4070" i="2"/>
  <c r="U4069" i="2"/>
  <c r="C4069" i="2"/>
  <c r="U4068" i="2"/>
  <c r="C4068" i="2"/>
  <c r="U4067" i="2"/>
  <c r="C4067" i="2"/>
  <c r="U4066" i="2"/>
  <c r="C4066" i="2"/>
  <c r="U4065" i="2"/>
  <c r="C4065" i="2"/>
  <c r="U4064" i="2"/>
  <c r="C4064" i="2"/>
  <c r="U4063" i="2"/>
  <c r="C4063" i="2"/>
  <c r="U4062" i="2"/>
  <c r="C4062" i="2"/>
  <c r="U4061" i="2"/>
  <c r="C4061" i="2"/>
  <c r="U4060" i="2"/>
  <c r="C4060" i="2"/>
  <c r="U4059" i="2"/>
  <c r="C4059" i="2"/>
  <c r="U4058" i="2"/>
  <c r="C4058" i="2"/>
  <c r="U4057" i="2"/>
  <c r="C4057" i="2"/>
  <c r="U4056" i="2"/>
  <c r="C4056" i="2"/>
  <c r="U4055" i="2"/>
  <c r="C4055" i="2"/>
  <c r="U4054" i="2"/>
  <c r="C4054" i="2"/>
  <c r="U4053" i="2"/>
  <c r="C4053" i="2"/>
  <c r="U4052" i="2"/>
  <c r="C4052" i="2"/>
  <c r="U4051" i="2"/>
  <c r="C4051" i="2"/>
  <c r="U4050" i="2"/>
  <c r="C4050" i="2"/>
  <c r="U4049" i="2"/>
  <c r="C4049" i="2"/>
  <c r="U4048" i="2"/>
  <c r="C4048" i="2"/>
  <c r="U4047" i="2"/>
  <c r="C4047" i="2"/>
  <c r="U4046" i="2"/>
  <c r="C4046" i="2"/>
  <c r="U4045" i="2"/>
  <c r="C4045" i="2"/>
  <c r="U4044" i="2"/>
  <c r="C4044" i="2"/>
  <c r="U4043" i="2"/>
  <c r="C4043" i="2"/>
  <c r="U4042" i="2"/>
  <c r="C4042" i="2"/>
  <c r="U4041" i="2"/>
  <c r="C4041" i="2"/>
  <c r="U4040" i="2"/>
  <c r="C4040" i="2"/>
  <c r="U4039" i="2"/>
  <c r="C4039" i="2"/>
  <c r="U4038" i="2"/>
  <c r="C4038" i="2"/>
  <c r="U4037" i="2"/>
  <c r="C4037" i="2"/>
  <c r="U4036" i="2"/>
  <c r="C4036" i="2"/>
  <c r="U4035" i="2"/>
  <c r="C4035" i="2"/>
  <c r="U4034" i="2"/>
  <c r="C4034" i="2"/>
  <c r="U4033" i="2"/>
  <c r="C4033" i="2"/>
  <c r="U4032" i="2"/>
  <c r="C4032" i="2"/>
  <c r="U4031" i="2"/>
  <c r="C4031" i="2"/>
  <c r="U4030" i="2"/>
  <c r="C4030" i="2"/>
  <c r="U4029" i="2"/>
  <c r="C4029" i="2"/>
  <c r="U4028" i="2"/>
  <c r="C4028" i="2"/>
  <c r="U4027" i="2"/>
  <c r="C4027" i="2"/>
  <c r="U4026" i="2"/>
  <c r="C4026" i="2"/>
  <c r="U4025" i="2"/>
  <c r="C4025" i="2"/>
  <c r="U4024" i="2"/>
  <c r="C4024" i="2"/>
  <c r="U4023" i="2"/>
  <c r="C4023" i="2"/>
  <c r="U4022" i="2"/>
  <c r="C4022" i="2"/>
  <c r="U4021" i="2"/>
  <c r="C4021" i="2"/>
  <c r="U4020" i="2"/>
  <c r="C4020" i="2"/>
  <c r="U4019" i="2"/>
  <c r="C4019" i="2"/>
  <c r="U4018" i="2"/>
  <c r="C4018" i="2"/>
  <c r="U4017" i="2"/>
  <c r="C4017" i="2"/>
  <c r="U4016" i="2"/>
  <c r="C4016" i="2"/>
  <c r="U4015" i="2"/>
  <c r="C4015" i="2"/>
  <c r="U4014" i="2"/>
  <c r="C4014" i="2"/>
  <c r="U4013" i="2"/>
  <c r="C4013" i="2"/>
  <c r="U4012" i="2"/>
  <c r="C4012" i="2"/>
  <c r="U4011" i="2"/>
  <c r="C4011" i="2"/>
  <c r="U4010" i="2"/>
  <c r="C4010" i="2"/>
  <c r="U4009" i="2"/>
  <c r="C4009" i="2"/>
  <c r="U4008" i="2"/>
  <c r="C4008" i="2"/>
  <c r="U4007" i="2"/>
  <c r="C4007" i="2"/>
  <c r="U4006" i="2"/>
  <c r="C4006" i="2"/>
  <c r="U4005" i="2"/>
  <c r="C4005" i="2"/>
  <c r="U4004" i="2"/>
  <c r="C4004" i="2"/>
  <c r="U4003" i="2"/>
  <c r="C4003" i="2"/>
  <c r="U4002" i="2"/>
  <c r="C4002" i="2"/>
  <c r="U4001" i="2"/>
  <c r="C4001" i="2"/>
  <c r="U4000" i="2"/>
  <c r="C4000" i="2"/>
  <c r="U3999" i="2"/>
  <c r="C3999" i="2"/>
  <c r="U3998" i="2"/>
  <c r="C3998" i="2"/>
  <c r="U3997" i="2"/>
  <c r="C3997" i="2"/>
  <c r="U3996" i="2"/>
  <c r="C3996" i="2"/>
  <c r="U3995" i="2"/>
  <c r="C3995" i="2"/>
  <c r="U3994" i="2"/>
  <c r="C3994" i="2"/>
  <c r="U3993" i="2"/>
  <c r="C3993" i="2"/>
  <c r="U3992" i="2"/>
  <c r="C3992" i="2"/>
  <c r="U3991" i="2"/>
  <c r="C3991" i="2"/>
  <c r="U3990" i="2"/>
  <c r="C3990" i="2"/>
  <c r="U3989" i="2"/>
  <c r="C3989" i="2"/>
  <c r="U3988" i="2"/>
  <c r="C3988" i="2"/>
  <c r="U3987" i="2"/>
  <c r="C3987" i="2"/>
  <c r="U3986" i="2"/>
  <c r="C3986" i="2"/>
  <c r="U3985" i="2"/>
  <c r="C3985" i="2"/>
  <c r="U3984" i="2"/>
  <c r="C3984" i="2"/>
  <c r="U3983" i="2"/>
  <c r="C3983" i="2"/>
  <c r="U3982" i="2"/>
  <c r="C3982" i="2"/>
  <c r="U3981" i="2"/>
  <c r="C3981" i="2"/>
  <c r="U3980" i="2"/>
  <c r="C3980" i="2"/>
  <c r="U3979" i="2"/>
  <c r="C3979" i="2"/>
  <c r="U3978" i="2"/>
  <c r="C3978" i="2"/>
  <c r="U3977" i="2"/>
  <c r="C3977" i="2"/>
  <c r="U3976" i="2"/>
  <c r="C3976" i="2"/>
  <c r="U3975" i="2"/>
  <c r="C3975" i="2"/>
  <c r="U3974" i="2"/>
  <c r="C3974" i="2"/>
  <c r="U3973" i="2"/>
  <c r="C3973" i="2"/>
  <c r="U3972" i="2"/>
  <c r="C3972" i="2"/>
  <c r="U3971" i="2"/>
  <c r="C3971" i="2"/>
  <c r="U3970" i="2"/>
  <c r="C3970" i="2"/>
  <c r="U3969" i="2"/>
  <c r="C3969" i="2"/>
  <c r="U3968" i="2"/>
  <c r="C3968" i="2"/>
  <c r="U3967" i="2"/>
  <c r="C3967" i="2"/>
  <c r="U3966" i="2"/>
  <c r="C3966" i="2"/>
  <c r="U3965" i="2"/>
  <c r="C3965" i="2"/>
  <c r="U3964" i="2"/>
  <c r="C3964" i="2"/>
  <c r="U3963" i="2"/>
  <c r="C3963" i="2"/>
  <c r="U3962" i="2"/>
  <c r="C3962" i="2"/>
  <c r="U3961" i="2"/>
  <c r="C3961" i="2"/>
  <c r="U3960" i="2"/>
  <c r="C3960" i="2"/>
  <c r="U3959" i="2"/>
  <c r="C3959" i="2"/>
  <c r="U3958" i="2"/>
  <c r="C3958" i="2"/>
  <c r="U3957" i="2"/>
  <c r="C3957" i="2"/>
  <c r="U3956" i="2"/>
  <c r="C3956" i="2"/>
  <c r="U3955" i="2"/>
  <c r="C3955" i="2"/>
  <c r="U3954" i="2"/>
  <c r="C3954" i="2"/>
  <c r="U3953" i="2"/>
  <c r="C3953" i="2"/>
  <c r="U3952" i="2"/>
  <c r="C3952" i="2"/>
  <c r="U3951" i="2"/>
  <c r="C3951" i="2"/>
  <c r="U3950" i="2"/>
  <c r="C3950" i="2"/>
  <c r="U3949" i="2"/>
  <c r="C3949" i="2"/>
  <c r="U3948" i="2"/>
  <c r="C3948" i="2"/>
  <c r="U3947" i="2"/>
  <c r="C3947" i="2"/>
  <c r="U3946" i="2"/>
  <c r="C3946" i="2"/>
  <c r="U3945" i="2"/>
  <c r="C3945" i="2"/>
  <c r="U3944" i="2"/>
  <c r="C3944" i="2"/>
  <c r="U3943" i="2"/>
  <c r="C3943" i="2"/>
  <c r="U3942" i="2"/>
  <c r="C3942" i="2"/>
  <c r="U3941" i="2"/>
  <c r="C3941" i="2"/>
  <c r="U3940" i="2"/>
  <c r="C3940" i="2"/>
  <c r="U3939" i="2"/>
  <c r="C3939" i="2"/>
  <c r="U3938" i="2"/>
  <c r="C3938" i="2"/>
  <c r="U3937" i="2"/>
  <c r="C3937" i="2"/>
  <c r="U3936" i="2"/>
  <c r="C3936" i="2"/>
  <c r="U3935" i="2"/>
  <c r="C3935" i="2"/>
  <c r="U3934" i="2"/>
  <c r="C3934" i="2"/>
  <c r="U3933" i="2"/>
  <c r="C3933" i="2"/>
  <c r="U3932" i="2"/>
  <c r="C3932" i="2"/>
  <c r="U3931" i="2"/>
  <c r="C3931" i="2"/>
  <c r="U3930" i="2"/>
  <c r="C3930" i="2"/>
  <c r="U3929" i="2"/>
  <c r="C3929" i="2"/>
  <c r="U3928" i="2"/>
  <c r="C3928" i="2"/>
  <c r="U3927" i="2"/>
  <c r="C3927" i="2"/>
  <c r="U3926" i="2"/>
  <c r="C3926" i="2"/>
  <c r="U3925" i="2"/>
  <c r="C3925" i="2"/>
  <c r="U3924" i="2"/>
  <c r="C3924" i="2"/>
  <c r="U3923" i="2"/>
  <c r="C3923" i="2"/>
  <c r="U3922" i="2"/>
  <c r="C3922" i="2"/>
  <c r="U3921" i="2"/>
  <c r="C3921" i="2"/>
  <c r="U3920" i="2"/>
  <c r="C3920" i="2"/>
  <c r="U3919" i="2"/>
  <c r="C3919" i="2"/>
  <c r="U3918" i="2"/>
  <c r="C3918" i="2"/>
  <c r="U3917" i="2"/>
  <c r="C3917" i="2"/>
  <c r="U3916" i="2"/>
  <c r="C3916" i="2"/>
  <c r="U3915" i="2"/>
  <c r="C3915" i="2"/>
  <c r="U3914" i="2"/>
  <c r="C3914" i="2"/>
  <c r="U3913" i="2"/>
  <c r="C3913" i="2"/>
  <c r="U3912" i="2"/>
  <c r="C3912" i="2"/>
  <c r="U3911" i="2"/>
  <c r="C3911" i="2"/>
  <c r="U3910" i="2"/>
  <c r="C3910" i="2"/>
  <c r="U3909" i="2"/>
  <c r="C3909" i="2"/>
  <c r="U3908" i="2"/>
  <c r="C3908" i="2"/>
  <c r="U3907" i="2"/>
  <c r="C3907" i="2"/>
  <c r="U3906" i="2"/>
  <c r="C3906" i="2"/>
  <c r="U3905" i="2"/>
  <c r="C3905" i="2"/>
  <c r="U3904" i="2"/>
  <c r="C3904" i="2"/>
  <c r="U3903" i="2"/>
  <c r="C3903" i="2"/>
  <c r="U3902" i="2"/>
  <c r="C3902" i="2"/>
  <c r="U3901" i="2"/>
  <c r="C3901" i="2"/>
  <c r="U3900" i="2"/>
  <c r="C3900" i="2"/>
  <c r="U3899" i="2"/>
  <c r="C3899" i="2"/>
  <c r="U3898" i="2"/>
  <c r="C3898" i="2"/>
  <c r="U3897" i="2"/>
  <c r="C3897" i="2"/>
  <c r="U3896" i="2"/>
  <c r="C3896" i="2"/>
  <c r="U3895" i="2"/>
  <c r="C3895" i="2"/>
  <c r="U3894" i="2"/>
  <c r="C3894" i="2"/>
  <c r="U3893" i="2"/>
  <c r="C3893" i="2"/>
  <c r="U3892" i="2"/>
  <c r="C3892" i="2"/>
  <c r="U3891" i="2"/>
  <c r="C3891" i="2"/>
  <c r="U3890" i="2"/>
  <c r="C3890" i="2"/>
  <c r="U3889" i="2"/>
  <c r="C3889" i="2"/>
  <c r="U3888" i="2"/>
  <c r="C3888" i="2"/>
  <c r="U3887" i="2"/>
  <c r="C3887" i="2"/>
  <c r="U3886" i="2"/>
  <c r="C3886" i="2"/>
  <c r="U3885" i="2"/>
  <c r="C3885" i="2"/>
  <c r="U3884" i="2"/>
  <c r="C3884" i="2"/>
  <c r="U3883" i="2"/>
  <c r="C3883" i="2"/>
  <c r="U3882" i="2"/>
  <c r="C3882" i="2"/>
  <c r="U3881" i="2"/>
  <c r="C3881" i="2"/>
  <c r="U3880" i="2"/>
  <c r="C3880" i="2"/>
  <c r="U3879" i="2"/>
  <c r="C3879" i="2"/>
  <c r="U3878" i="2"/>
  <c r="C3878" i="2"/>
  <c r="U3877" i="2"/>
  <c r="C3877" i="2"/>
  <c r="U3876" i="2"/>
  <c r="C3876" i="2"/>
  <c r="U3875" i="2"/>
  <c r="C3875" i="2"/>
  <c r="U3874" i="2"/>
  <c r="C3874" i="2"/>
  <c r="U3873" i="2"/>
  <c r="C3873" i="2"/>
  <c r="U3872" i="2"/>
  <c r="C3872" i="2"/>
  <c r="U3871" i="2"/>
  <c r="C3871" i="2"/>
  <c r="U3870" i="2"/>
  <c r="C3870" i="2"/>
  <c r="U3869" i="2"/>
  <c r="C3869" i="2"/>
  <c r="U3868" i="2"/>
  <c r="C3868" i="2"/>
  <c r="U3867" i="2"/>
  <c r="C3867" i="2"/>
  <c r="U3866" i="2"/>
  <c r="C3866" i="2"/>
  <c r="U3865" i="2"/>
  <c r="C3865" i="2"/>
  <c r="U3864" i="2"/>
  <c r="C3864" i="2"/>
  <c r="U3863" i="2"/>
  <c r="C3863" i="2"/>
  <c r="U3862" i="2"/>
  <c r="C3862" i="2"/>
  <c r="U3861" i="2"/>
  <c r="C3861" i="2"/>
  <c r="U3860" i="2"/>
  <c r="C3860" i="2"/>
  <c r="U3859" i="2"/>
  <c r="C3859" i="2"/>
  <c r="U3858" i="2"/>
  <c r="C3858" i="2"/>
  <c r="U3857" i="2"/>
  <c r="C3857" i="2"/>
  <c r="U3856" i="2"/>
  <c r="C3856" i="2"/>
  <c r="U3855" i="2"/>
  <c r="C3855" i="2"/>
  <c r="U3854" i="2"/>
  <c r="C3854" i="2"/>
  <c r="U3853" i="2"/>
  <c r="C3853" i="2"/>
  <c r="U3852" i="2"/>
  <c r="C3852" i="2"/>
  <c r="U3851" i="2"/>
  <c r="C3851" i="2"/>
  <c r="U3850" i="2"/>
  <c r="C3850" i="2"/>
  <c r="U3849" i="2"/>
  <c r="C3849" i="2"/>
  <c r="U3848" i="2"/>
  <c r="C3848" i="2"/>
  <c r="U3847" i="2"/>
  <c r="C3847" i="2"/>
  <c r="U3846" i="2"/>
  <c r="C3846" i="2"/>
  <c r="U3845" i="2"/>
  <c r="C3845" i="2"/>
  <c r="U3844" i="2"/>
  <c r="C3844" i="2"/>
  <c r="U3843" i="2"/>
  <c r="C3843" i="2"/>
  <c r="U3842" i="2"/>
  <c r="C3842" i="2"/>
  <c r="U3841" i="2"/>
  <c r="C3841" i="2"/>
  <c r="U3840" i="2"/>
  <c r="C3840" i="2"/>
  <c r="U3839" i="2"/>
  <c r="C3839" i="2"/>
  <c r="U3838" i="2"/>
  <c r="C3838" i="2"/>
  <c r="U3837" i="2"/>
  <c r="C3837" i="2"/>
  <c r="U3836" i="2"/>
  <c r="C3836" i="2"/>
  <c r="U3835" i="2"/>
  <c r="C3835" i="2"/>
  <c r="U3834" i="2"/>
  <c r="C3834" i="2"/>
  <c r="U3833" i="2"/>
  <c r="C3833" i="2"/>
  <c r="U3832" i="2"/>
  <c r="C3832" i="2"/>
  <c r="U3831" i="2"/>
  <c r="C3831" i="2"/>
  <c r="U3830" i="2"/>
  <c r="C3830" i="2"/>
  <c r="U3829" i="2"/>
  <c r="C3829" i="2"/>
  <c r="U3828" i="2"/>
  <c r="C3828" i="2"/>
  <c r="U3827" i="2"/>
  <c r="C3827" i="2"/>
  <c r="U3826" i="2"/>
  <c r="C3826" i="2"/>
  <c r="U3825" i="2"/>
  <c r="C3825" i="2"/>
  <c r="U3824" i="2"/>
  <c r="C3824" i="2"/>
  <c r="U3823" i="2"/>
  <c r="C3823" i="2"/>
  <c r="U3822" i="2"/>
  <c r="C3822" i="2"/>
  <c r="U3821" i="2"/>
  <c r="C3821" i="2"/>
  <c r="U3820" i="2"/>
  <c r="C3820" i="2"/>
  <c r="U3819" i="2"/>
  <c r="C3819" i="2"/>
  <c r="U3818" i="2"/>
  <c r="C3818" i="2"/>
  <c r="U3817" i="2"/>
  <c r="C3817" i="2"/>
  <c r="U3816" i="2"/>
  <c r="C3816" i="2"/>
  <c r="U3815" i="2"/>
  <c r="C3815" i="2"/>
  <c r="U3814" i="2"/>
  <c r="C3814" i="2"/>
  <c r="U3813" i="2"/>
  <c r="C3813" i="2"/>
  <c r="U3812" i="2"/>
  <c r="C3812" i="2"/>
  <c r="U3811" i="2"/>
  <c r="C3811" i="2"/>
  <c r="U3810" i="2"/>
  <c r="C3810" i="2"/>
  <c r="U3809" i="2"/>
  <c r="C3809" i="2"/>
  <c r="U3808" i="2"/>
  <c r="C3808" i="2"/>
  <c r="U3807" i="2"/>
  <c r="C3807" i="2"/>
  <c r="U3806" i="2"/>
  <c r="C3806" i="2"/>
  <c r="U3805" i="2"/>
  <c r="C3805" i="2"/>
  <c r="U3804" i="2"/>
  <c r="C3804" i="2"/>
  <c r="U3803" i="2"/>
  <c r="C3803" i="2"/>
  <c r="U3802" i="2"/>
  <c r="C3802" i="2"/>
  <c r="U3801" i="2"/>
  <c r="C3801" i="2"/>
  <c r="U3800" i="2"/>
  <c r="C3800" i="2"/>
  <c r="U3799" i="2"/>
  <c r="C3799" i="2"/>
  <c r="U3798" i="2"/>
  <c r="C3798" i="2"/>
  <c r="U3797" i="2"/>
  <c r="C3797" i="2"/>
  <c r="U3796" i="2"/>
  <c r="C3796" i="2"/>
  <c r="U3795" i="2"/>
  <c r="C3795" i="2"/>
  <c r="U3794" i="2"/>
  <c r="C3794" i="2"/>
  <c r="U3793" i="2"/>
  <c r="C3793" i="2"/>
  <c r="U3792" i="2"/>
  <c r="C3792" i="2"/>
  <c r="U3791" i="2"/>
  <c r="C3791" i="2"/>
  <c r="U3790" i="2"/>
  <c r="C3790" i="2"/>
  <c r="U3789" i="2"/>
  <c r="C3789" i="2"/>
  <c r="U3788" i="2"/>
  <c r="C3788" i="2"/>
  <c r="U3787" i="2"/>
  <c r="C3787" i="2"/>
  <c r="U3786" i="2"/>
  <c r="C3786" i="2"/>
  <c r="U3785" i="2"/>
  <c r="C3785" i="2"/>
  <c r="U3784" i="2"/>
  <c r="C3784" i="2"/>
  <c r="U3783" i="2"/>
  <c r="C3783" i="2"/>
  <c r="U3782" i="2"/>
  <c r="C3782" i="2"/>
  <c r="U3781" i="2"/>
  <c r="C3781" i="2"/>
  <c r="U3780" i="2"/>
  <c r="C3780" i="2"/>
  <c r="U3779" i="2"/>
  <c r="C3779" i="2"/>
  <c r="U3778" i="2"/>
  <c r="C3778" i="2"/>
  <c r="U3777" i="2"/>
  <c r="C3777" i="2"/>
  <c r="U3776" i="2"/>
  <c r="C3776" i="2"/>
  <c r="U3775" i="2"/>
  <c r="C3775" i="2"/>
  <c r="U3774" i="2"/>
  <c r="C3774" i="2"/>
  <c r="U3773" i="2"/>
  <c r="C3773" i="2"/>
  <c r="U3772" i="2"/>
  <c r="C3772" i="2"/>
  <c r="U3771" i="2"/>
  <c r="C3771" i="2"/>
  <c r="U3770" i="2"/>
  <c r="C3770" i="2"/>
  <c r="U3769" i="2"/>
  <c r="C3769" i="2"/>
  <c r="U3768" i="2"/>
  <c r="C3768" i="2"/>
  <c r="U3767" i="2"/>
  <c r="C3767" i="2"/>
  <c r="U3766" i="2"/>
  <c r="C3766" i="2"/>
  <c r="U3765" i="2"/>
  <c r="C3765" i="2"/>
  <c r="U3764" i="2"/>
  <c r="C3764" i="2"/>
  <c r="U3763" i="2"/>
  <c r="C3763" i="2"/>
  <c r="U3762" i="2"/>
  <c r="C3762" i="2"/>
  <c r="U3761" i="2"/>
  <c r="C3761" i="2"/>
  <c r="U3760" i="2"/>
  <c r="C3760" i="2"/>
  <c r="U3759" i="2"/>
  <c r="C3759" i="2"/>
  <c r="U3758" i="2"/>
  <c r="C3758" i="2"/>
  <c r="U3757" i="2"/>
  <c r="C3757" i="2"/>
  <c r="U3756" i="2"/>
  <c r="C3756" i="2"/>
  <c r="U3755" i="2"/>
  <c r="C3755" i="2"/>
  <c r="U3754" i="2"/>
  <c r="C3754" i="2"/>
  <c r="U3753" i="2"/>
  <c r="C3753" i="2"/>
  <c r="U3752" i="2"/>
  <c r="C3752" i="2"/>
  <c r="U3751" i="2"/>
  <c r="C3751" i="2"/>
  <c r="U3750" i="2"/>
  <c r="C3750" i="2"/>
  <c r="U3749" i="2"/>
  <c r="C3749" i="2"/>
  <c r="U3748" i="2"/>
  <c r="C3748" i="2"/>
  <c r="U3747" i="2"/>
  <c r="C3747" i="2"/>
  <c r="U3746" i="2"/>
  <c r="C3746" i="2"/>
  <c r="U3745" i="2"/>
  <c r="C3745" i="2"/>
  <c r="U3744" i="2"/>
  <c r="C3744" i="2"/>
  <c r="U3743" i="2"/>
  <c r="C3743" i="2"/>
  <c r="U3742" i="2"/>
  <c r="C3742" i="2"/>
  <c r="U3741" i="2"/>
  <c r="C3741" i="2"/>
  <c r="U3740" i="2"/>
  <c r="C3740" i="2"/>
  <c r="U3739" i="2"/>
  <c r="C3739" i="2"/>
  <c r="U3738" i="2"/>
  <c r="C3738" i="2"/>
  <c r="U3737" i="2"/>
  <c r="C3737" i="2"/>
  <c r="U3736" i="2"/>
  <c r="C3736" i="2"/>
  <c r="U3735" i="2"/>
  <c r="C3735" i="2"/>
  <c r="U3734" i="2"/>
  <c r="C3734" i="2"/>
  <c r="U3733" i="2"/>
  <c r="C3733" i="2"/>
  <c r="U3732" i="2"/>
  <c r="C3732" i="2"/>
  <c r="U3731" i="2"/>
  <c r="C3731" i="2"/>
  <c r="U3730" i="2"/>
  <c r="C3730" i="2"/>
  <c r="U3729" i="2"/>
  <c r="C3729" i="2"/>
  <c r="U3728" i="2"/>
  <c r="C3728" i="2"/>
  <c r="U3727" i="2"/>
  <c r="C3727" i="2"/>
  <c r="U3726" i="2"/>
  <c r="C3726" i="2"/>
  <c r="U3725" i="2"/>
  <c r="C3725" i="2"/>
  <c r="U3724" i="2"/>
  <c r="C3724" i="2"/>
  <c r="U3723" i="2"/>
  <c r="C3723" i="2"/>
  <c r="U3722" i="2"/>
  <c r="C3722" i="2"/>
  <c r="U3721" i="2"/>
  <c r="C3721" i="2"/>
  <c r="U3720" i="2"/>
  <c r="C3720" i="2"/>
  <c r="U3719" i="2"/>
  <c r="C3719" i="2"/>
  <c r="U3718" i="2"/>
  <c r="C3718" i="2"/>
  <c r="U3717" i="2"/>
  <c r="C3717" i="2"/>
  <c r="U3716" i="2"/>
  <c r="C3716" i="2"/>
  <c r="U3715" i="2"/>
  <c r="C3715" i="2"/>
  <c r="U3714" i="2"/>
  <c r="C3714" i="2"/>
  <c r="U3713" i="2"/>
  <c r="C3713" i="2"/>
  <c r="U3712" i="2"/>
  <c r="C3712" i="2"/>
  <c r="U3711" i="2"/>
  <c r="C3711" i="2"/>
  <c r="U3710" i="2"/>
  <c r="C3710" i="2"/>
  <c r="U3709" i="2"/>
  <c r="C3709" i="2"/>
  <c r="U3708" i="2"/>
  <c r="C3708" i="2"/>
  <c r="U3707" i="2"/>
  <c r="C3707" i="2"/>
  <c r="U3706" i="2"/>
  <c r="C3706" i="2"/>
  <c r="U3705" i="2"/>
  <c r="C3705" i="2"/>
  <c r="U3704" i="2"/>
  <c r="C3704" i="2"/>
  <c r="U3703" i="2"/>
  <c r="C3703" i="2"/>
  <c r="U3702" i="2"/>
  <c r="C3702" i="2"/>
  <c r="U3701" i="2"/>
  <c r="C3701" i="2"/>
  <c r="U3700" i="2"/>
  <c r="C3700" i="2"/>
  <c r="U3699" i="2"/>
  <c r="C3699" i="2"/>
  <c r="U3698" i="2"/>
  <c r="C3698" i="2"/>
  <c r="U3697" i="2"/>
  <c r="C3697" i="2"/>
  <c r="U3696" i="2"/>
  <c r="C3696" i="2"/>
  <c r="U3695" i="2"/>
  <c r="C3695" i="2"/>
  <c r="U3694" i="2"/>
  <c r="C3694" i="2"/>
  <c r="U3693" i="2"/>
  <c r="C3693" i="2"/>
  <c r="U3692" i="2"/>
  <c r="C3692" i="2"/>
  <c r="U3691" i="2"/>
  <c r="C3691" i="2"/>
  <c r="U3690" i="2"/>
  <c r="C3690" i="2"/>
  <c r="U3689" i="2"/>
  <c r="C3689" i="2"/>
  <c r="U3688" i="2"/>
  <c r="C3688" i="2"/>
  <c r="U3687" i="2"/>
  <c r="C3687" i="2"/>
  <c r="U3686" i="2"/>
  <c r="C3686" i="2"/>
  <c r="U3685" i="2"/>
  <c r="C3685" i="2"/>
  <c r="U3684" i="2"/>
  <c r="C3684" i="2"/>
  <c r="U3683" i="2"/>
  <c r="C3683" i="2"/>
  <c r="U3682" i="2"/>
  <c r="C3682" i="2"/>
  <c r="U3681" i="2"/>
  <c r="C3681" i="2"/>
  <c r="U3680" i="2"/>
  <c r="C3680" i="2"/>
  <c r="U3679" i="2"/>
  <c r="C3679" i="2"/>
  <c r="U3678" i="2"/>
  <c r="C3678" i="2"/>
  <c r="U3677" i="2"/>
  <c r="C3677" i="2"/>
  <c r="U3676" i="2"/>
  <c r="C3676" i="2"/>
  <c r="U3675" i="2"/>
  <c r="C3675" i="2"/>
  <c r="U3674" i="2"/>
  <c r="C3674" i="2"/>
  <c r="U3673" i="2"/>
  <c r="C3673" i="2"/>
  <c r="U3672" i="2"/>
  <c r="C3672" i="2"/>
  <c r="U3671" i="2"/>
  <c r="C3671" i="2"/>
  <c r="U3670" i="2"/>
  <c r="C3670" i="2"/>
  <c r="U3669" i="2"/>
  <c r="C3669" i="2"/>
  <c r="U3668" i="2"/>
  <c r="C3668" i="2"/>
  <c r="U3667" i="2"/>
  <c r="C3667" i="2"/>
  <c r="U3666" i="2"/>
  <c r="C3666" i="2"/>
  <c r="U3665" i="2"/>
  <c r="C3665" i="2"/>
  <c r="U3664" i="2"/>
  <c r="C3664" i="2"/>
  <c r="U3663" i="2"/>
  <c r="C3663" i="2"/>
  <c r="U3662" i="2"/>
  <c r="C3662" i="2"/>
  <c r="U3661" i="2"/>
  <c r="C3661" i="2"/>
  <c r="U3660" i="2"/>
  <c r="C3660" i="2"/>
  <c r="U3659" i="2"/>
  <c r="C3659" i="2"/>
  <c r="U3658" i="2"/>
  <c r="C3658" i="2"/>
  <c r="U3657" i="2"/>
  <c r="C3657" i="2"/>
  <c r="U3656" i="2"/>
  <c r="C3656" i="2"/>
  <c r="U3655" i="2"/>
  <c r="C3655" i="2"/>
  <c r="U3654" i="2"/>
  <c r="C3654" i="2"/>
  <c r="U3653" i="2"/>
  <c r="C3653" i="2"/>
  <c r="U3652" i="2"/>
  <c r="C3652" i="2"/>
  <c r="U3651" i="2"/>
  <c r="C3651" i="2"/>
  <c r="U3650" i="2"/>
  <c r="C3650" i="2"/>
  <c r="U3649" i="2"/>
  <c r="C3649" i="2"/>
  <c r="U3648" i="2"/>
  <c r="C3648" i="2"/>
  <c r="U3647" i="2"/>
  <c r="C3647" i="2"/>
  <c r="U3646" i="2"/>
  <c r="C3646" i="2"/>
  <c r="U3645" i="2"/>
  <c r="C3645" i="2"/>
  <c r="U3644" i="2"/>
  <c r="C3644" i="2"/>
  <c r="U3643" i="2"/>
  <c r="C3643" i="2"/>
  <c r="U3642" i="2"/>
  <c r="C3642" i="2"/>
  <c r="U3641" i="2"/>
  <c r="C3641" i="2"/>
  <c r="U3640" i="2"/>
  <c r="C3640" i="2"/>
  <c r="U3639" i="2"/>
  <c r="C3639" i="2"/>
  <c r="U3638" i="2"/>
  <c r="C3638" i="2"/>
  <c r="U3637" i="2"/>
  <c r="C3637" i="2"/>
  <c r="U3636" i="2"/>
  <c r="C3636" i="2"/>
  <c r="U3635" i="2"/>
  <c r="C3635" i="2"/>
  <c r="U3634" i="2"/>
  <c r="C3634" i="2"/>
  <c r="U3633" i="2"/>
  <c r="C3633" i="2"/>
  <c r="U3632" i="2"/>
  <c r="C3632" i="2"/>
  <c r="U3631" i="2"/>
  <c r="C3631" i="2"/>
  <c r="U3630" i="2"/>
  <c r="C3630" i="2"/>
  <c r="U3629" i="2"/>
  <c r="C3629" i="2"/>
  <c r="U3628" i="2"/>
  <c r="C3628" i="2"/>
  <c r="U3627" i="2"/>
  <c r="C3627" i="2"/>
  <c r="U3626" i="2"/>
  <c r="C3626" i="2"/>
  <c r="U3625" i="2"/>
  <c r="C3625" i="2"/>
  <c r="U3624" i="2"/>
  <c r="C3624" i="2"/>
  <c r="U3623" i="2"/>
  <c r="C3623" i="2"/>
  <c r="U3622" i="2"/>
  <c r="C3622" i="2"/>
  <c r="U3621" i="2"/>
  <c r="C3621" i="2"/>
  <c r="U3620" i="2"/>
  <c r="C3620" i="2"/>
  <c r="U3619" i="2"/>
  <c r="C3619" i="2"/>
  <c r="U3618" i="2"/>
  <c r="C3618" i="2"/>
  <c r="U3617" i="2"/>
  <c r="C3617" i="2"/>
  <c r="U3616" i="2"/>
  <c r="C3616" i="2"/>
  <c r="U3615" i="2"/>
  <c r="C3615" i="2"/>
  <c r="U3614" i="2"/>
  <c r="C3614" i="2"/>
  <c r="U3613" i="2"/>
  <c r="C3613" i="2"/>
  <c r="U3612" i="2"/>
  <c r="C3612" i="2"/>
  <c r="U3611" i="2"/>
  <c r="C3611" i="2"/>
  <c r="U3610" i="2"/>
  <c r="C3610" i="2"/>
  <c r="U3609" i="2"/>
  <c r="C3609" i="2"/>
  <c r="U3608" i="2"/>
  <c r="C3608" i="2"/>
  <c r="U3607" i="2"/>
  <c r="C3607" i="2"/>
  <c r="U3606" i="2"/>
  <c r="C3606" i="2"/>
  <c r="U3605" i="2"/>
  <c r="C3605" i="2"/>
  <c r="U3604" i="2"/>
  <c r="C3604" i="2"/>
  <c r="U3603" i="2"/>
  <c r="C3603" i="2"/>
  <c r="U3602" i="2"/>
  <c r="C3602" i="2"/>
  <c r="U3601" i="2"/>
  <c r="C3601" i="2"/>
  <c r="U3600" i="2"/>
  <c r="C3600" i="2"/>
  <c r="U3599" i="2"/>
  <c r="C3599" i="2"/>
  <c r="U3598" i="2"/>
  <c r="C3598" i="2"/>
  <c r="U3597" i="2"/>
  <c r="C3597" i="2"/>
  <c r="U3596" i="2"/>
  <c r="C3596" i="2"/>
  <c r="U3595" i="2"/>
  <c r="C3595" i="2"/>
  <c r="U3594" i="2"/>
  <c r="C3594" i="2"/>
  <c r="U3593" i="2"/>
  <c r="C3593" i="2"/>
  <c r="U3592" i="2"/>
  <c r="C3592" i="2"/>
  <c r="U3591" i="2"/>
  <c r="C3591" i="2"/>
  <c r="U3590" i="2"/>
  <c r="C3590" i="2"/>
  <c r="U3589" i="2"/>
  <c r="C3589" i="2"/>
  <c r="U3588" i="2"/>
  <c r="C3588" i="2"/>
  <c r="U3587" i="2"/>
  <c r="C3587" i="2"/>
  <c r="U3586" i="2"/>
  <c r="C3586" i="2"/>
  <c r="U3585" i="2"/>
  <c r="C3585" i="2"/>
  <c r="U3584" i="2"/>
  <c r="C3584" i="2"/>
  <c r="U3583" i="2"/>
  <c r="C3583" i="2"/>
  <c r="U3582" i="2"/>
  <c r="C3582" i="2"/>
  <c r="U3581" i="2"/>
  <c r="C3581" i="2"/>
  <c r="U3580" i="2"/>
  <c r="C3580" i="2"/>
  <c r="U3579" i="2"/>
  <c r="C3579" i="2"/>
  <c r="U3578" i="2"/>
  <c r="C3578" i="2"/>
  <c r="U3577" i="2"/>
  <c r="C3577" i="2"/>
  <c r="U3576" i="2"/>
  <c r="C3576" i="2"/>
  <c r="U3575" i="2"/>
  <c r="C3575" i="2"/>
  <c r="U3574" i="2"/>
  <c r="C3574" i="2"/>
  <c r="U3573" i="2"/>
  <c r="C3573" i="2"/>
  <c r="U3572" i="2"/>
  <c r="C3572" i="2"/>
  <c r="U3571" i="2"/>
  <c r="C3571" i="2"/>
  <c r="U3570" i="2"/>
  <c r="C3570" i="2"/>
  <c r="U3569" i="2"/>
  <c r="C3569" i="2"/>
  <c r="U3568" i="2"/>
  <c r="C3568" i="2"/>
  <c r="U3567" i="2"/>
  <c r="C3567" i="2"/>
  <c r="U3566" i="2"/>
  <c r="C3566" i="2"/>
  <c r="U3565" i="2"/>
  <c r="C3565" i="2"/>
  <c r="U3564" i="2"/>
  <c r="C3564" i="2"/>
  <c r="U3563" i="2"/>
  <c r="C3563" i="2"/>
  <c r="U3562" i="2"/>
  <c r="C3562" i="2"/>
  <c r="U3561" i="2"/>
  <c r="C3561" i="2"/>
  <c r="U3560" i="2"/>
  <c r="C3560" i="2"/>
  <c r="U3559" i="2"/>
  <c r="C3559" i="2"/>
  <c r="U3558" i="2"/>
  <c r="C3558" i="2"/>
  <c r="U3557" i="2"/>
  <c r="C3557" i="2"/>
  <c r="U3556" i="2"/>
  <c r="C3556" i="2"/>
  <c r="U3555" i="2"/>
  <c r="C3555" i="2"/>
  <c r="U3554" i="2"/>
  <c r="C3554" i="2"/>
  <c r="U3553" i="2"/>
  <c r="C3553" i="2"/>
  <c r="U3552" i="2"/>
  <c r="C3552" i="2"/>
  <c r="U3551" i="2"/>
  <c r="C3551" i="2"/>
  <c r="U3550" i="2"/>
  <c r="C3550" i="2"/>
  <c r="U3549" i="2"/>
  <c r="C3549" i="2"/>
  <c r="U3548" i="2"/>
  <c r="C3548" i="2"/>
  <c r="U3547" i="2"/>
  <c r="C3547" i="2"/>
  <c r="U3546" i="2"/>
  <c r="C3546" i="2"/>
  <c r="U3545" i="2"/>
  <c r="C3545" i="2"/>
  <c r="U3544" i="2"/>
  <c r="C3544" i="2"/>
  <c r="U3543" i="2"/>
  <c r="C3543" i="2"/>
  <c r="U3542" i="2"/>
  <c r="C3542" i="2"/>
  <c r="U3541" i="2"/>
  <c r="C3541" i="2"/>
  <c r="U3540" i="2"/>
  <c r="C3540" i="2"/>
  <c r="U3539" i="2"/>
  <c r="C3539" i="2"/>
  <c r="U3538" i="2"/>
  <c r="C3538" i="2"/>
  <c r="U3537" i="2"/>
  <c r="C3537" i="2"/>
  <c r="U3536" i="2"/>
  <c r="C3536" i="2"/>
  <c r="U3535" i="2"/>
  <c r="C3535" i="2"/>
  <c r="U3534" i="2"/>
  <c r="C3534" i="2"/>
  <c r="U3533" i="2"/>
  <c r="C3533" i="2"/>
  <c r="U3532" i="2"/>
  <c r="C3532" i="2"/>
  <c r="U3531" i="2"/>
  <c r="C3531" i="2"/>
  <c r="U3530" i="2"/>
  <c r="C3530" i="2"/>
  <c r="U3529" i="2"/>
  <c r="C3529" i="2"/>
  <c r="U3528" i="2"/>
  <c r="C3528" i="2"/>
  <c r="U3527" i="2"/>
  <c r="C3527" i="2"/>
  <c r="U3526" i="2"/>
  <c r="C3526" i="2"/>
  <c r="U3525" i="2"/>
  <c r="C3525" i="2"/>
  <c r="U3524" i="2"/>
  <c r="C3524" i="2"/>
  <c r="U3523" i="2"/>
  <c r="C3523" i="2"/>
  <c r="U3522" i="2"/>
  <c r="C3522" i="2"/>
  <c r="U3521" i="2"/>
  <c r="C3521" i="2"/>
  <c r="U3520" i="2"/>
  <c r="C3520" i="2"/>
  <c r="U3519" i="2"/>
  <c r="C3519" i="2"/>
  <c r="U3518" i="2"/>
  <c r="C3518" i="2"/>
  <c r="U3517" i="2"/>
  <c r="C3517" i="2"/>
  <c r="U3516" i="2"/>
  <c r="C3516" i="2"/>
  <c r="U3515" i="2"/>
  <c r="C3515" i="2"/>
  <c r="U3514" i="2"/>
  <c r="C3514" i="2"/>
  <c r="U3513" i="2"/>
  <c r="C3513" i="2"/>
  <c r="U3512" i="2"/>
  <c r="C3512" i="2"/>
  <c r="U3511" i="2"/>
  <c r="C3511" i="2"/>
  <c r="U3510" i="2"/>
  <c r="C3510" i="2"/>
  <c r="U3509" i="2"/>
  <c r="C3509" i="2"/>
  <c r="U3508" i="2"/>
  <c r="C3508" i="2"/>
  <c r="U3507" i="2"/>
  <c r="C3507" i="2"/>
  <c r="U3506" i="2"/>
  <c r="C3506" i="2"/>
  <c r="U3505" i="2"/>
  <c r="C3505" i="2"/>
  <c r="U3504" i="2"/>
  <c r="C3504" i="2"/>
  <c r="U3503" i="2"/>
  <c r="C3503" i="2"/>
  <c r="U3502" i="2"/>
  <c r="C3502" i="2"/>
  <c r="U3501" i="2"/>
  <c r="C3501" i="2"/>
  <c r="U3500" i="2"/>
  <c r="C3500" i="2"/>
  <c r="U3499" i="2"/>
  <c r="C3499" i="2"/>
  <c r="U3498" i="2"/>
  <c r="C3498" i="2"/>
  <c r="U3497" i="2"/>
  <c r="C3497" i="2"/>
  <c r="U3496" i="2"/>
  <c r="C3496" i="2"/>
  <c r="U3495" i="2"/>
  <c r="C3495" i="2"/>
  <c r="U3494" i="2"/>
  <c r="C3494" i="2"/>
  <c r="U3493" i="2"/>
  <c r="C3493" i="2"/>
  <c r="U3492" i="2"/>
  <c r="C3492" i="2"/>
  <c r="U3491" i="2"/>
  <c r="C3491" i="2"/>
  <c r="U3490" i="2"/>
  <c r="C3490" i="2"/>
  <c r="U3489" i="2"/>
  <c r="C3489" i="2"/>
  <c r="U3488" i="2"/>
  <c r="C3488" i="2"/>
  <c r="U3487" i="2"/>
  <c r="C3487" i="2"/>
  <c r="U3486" i="2"/>
  <c r="C3486" i="2"/>
  <c r="U3485" i="2"/>
  <c r="C3485" i="2"/>
  <c r="U3484" i="2"/>
  <c r="C3484" i="2"/>
  <c r="U3483" i="2"/>
  <c r="C3483" i="2"/>
  <c r="U3482" i="2"/>
  <c r="C3482" i="2"/>
  <c r="U3481" i="2"/>
  <c r="C3481" i="2"/>
  <c r="U3480" i="2"/>
  <c r="C3480" i="2"/>
  <c r="U3479" i="2"/>
  <c r="C3479" i="2"/>
  <c r="U3478" i="2"/>
  <c r="C3478" i="2"/>
  <c r="U3477" i="2"/>
  <c r="C3477" i="2"/>
  <c r="U3476" i="2"/>
  <c r="C3476" i="2"/>
  <c r="U3475" i="2"/>
  <c r="C3475" i="2"/>
  <c r="U3474" i="2"/>
  <c r="C3474" i="2"/>
  <c r="U3473" i="2"/>
  <c r="C3473" i="2"/>
  <c r="U3472" i="2"/>
  <c r="C3472" i="2"/>
  <c r="U3471" i="2"/>
  <c r="C3471" i="2"/>
  <c r="U3470" i="2"/>
  <c r="C3470" i="2"/>
  <c r="U3469" i="2"/>
  <c r="C3469" i="2"/>
  <c r="U3468" i="2"/>
  <c r="C3468" i="2"/>
  <c r="U3467" i="2"/>
  <c r="C3467" i="2"/>
  <c r="U3466" i="2"/>
  <c r="C3466" i="2"/>
  <c r="U3465" i="2"/>
  <c r="C3465" i="2"/>
  <c r="U3464" i="2"/>
  <c r="C3464" i="2"/>
  <c r="U3463" i="2"/>
  <c r="C3463" i="2"/>
  <c r="U3462" i="2"/>
  <c r="C3462" i="2"/>
  <c r="U3461" i="2"/>
  <c r="C3461" i="2"/>
  <c r="U3460" i="2"/>
  <c r="C3460" i="2"/>
  <c r="U3459" i="2"/>
  <c r="C3459" i="2"/>
  <c r="U3458" i="2"/>
  <c r="C3458" i="2"/>
  <c r="U3457" i="2"/>
  <c r="C3457" i="2"/>
  <c r="U3456" i="2"/>
  <c r="C3456" i="2"/>
  <c r="U3455" i="2"/>
  <c r="C3455" i="2"/>
  <c r="U3454" i="2"/>
  <c r="C3454" i="2"/>
  <c r="U3453" i="2"/>
  <c r="C3453" i="2"/>
  <c r="U3452" i="2"/>
  <c r="C3452" i="2"/>
  <c r="U3451" i="2"/>
  <c r="C3451" i="2"/>
  <c r="U3450" i="2"/>
  <c r="C3450" i="2"/>
  <c r="U3449" i="2"/>
  <c r="C3449" i="2"/>
  <c r="U3448" i="2"/>
  <c r="C3448" i="2"/>
  <c r="U3447" i="2"/>
  <c r="C3447" i="2"/>
  <c r="U3446" i="2"/>
  <c r="C3446" i="2"/>
  <c r="U3445" i="2"/>
  <c r="C3445" i="2"/>
  <c r="U3444" i="2"/>
  <c r="C3444" i="2"/>
  <c r="U3443" i="2"/>
  <c r="C3443" i="2"/>
  <c r="U3442" i="2"/>
  <c r="C3442" i="2"/>
  <c r="U3441" i="2"/>
  <c r="C3441" i="2"/>
  <c r="U3440" i="2"/>
  <c r="C3440" i="2"/>
  <c r="U3439" i="2"/>
  <c r="C3439" i="2"/>
  <c r="U3438" i="2"/>
  <c r="C3438" i="2"/>
  <c r="U3437" i="2"/>
  <c r="C3437" i="2"/>
  <c r="U3436" i="2"/>
  <c r="C3436" i="2"/>
  <c r="U3435" i="2"/>
  <c r="C3435" i="2"/>
  <c r="U3434" i="2"/>
  <c r="C3434" i="2"/>
  <c r="U3433" i="2"/>
  <c r="C3433" i="2"/>
  <c r="U3432" i="2"/>
  <c r="C3432" i="2"/>
  <c r="U3431" i="2"/>
  <c r="C3431" i="2"/>
  <c r="U3430" i="2"/>
  <c r="C3430" i="2"/>
  <c r="U3429" i="2"/>
  <c r="C3429" i="2"/>
  <c r="U3428" i="2"/>
  <c r="C3428" i="2"/>
  <c r="U3427" i="2"/>
  <c r="C3427" i="2"/>
  <c r="U3426" i="2"/>
  <c r="C3426" i="2"/>
  <c r="U3425" i="2"/>
  <c r="C3425" i="2"/>
  <c r="U3424" i="2"/>
  <c r="C3424" i="2"/>
  <c r="U3423" i="2"/>
  <c r="C3423" i="2"/>
  <c r="U3422" i="2"/>
  <c r="C3422" i="2"/>
  <c r="U3421" i="2"/>
  <c r="C3421" i="2"/>
  <c r="U3420" i="2"/>
  <c r="C3420" i="2"/>
  <c r="U3419" i="2"/>
  <c r="C3419" i="2"/>
  <c r="U3418" i="2"/>
  <c r="C3418" i="2"/>
  <c r="U3417" i="2"/>
  <c r="C3417" i="2"/>
  <c r="U3416" i="2"/>
  <c r="C3416" i="2"/>
  <c r="U3415" i="2"/>
  <c r="C3415" i="2"/>
  <c r="U3414" i="2"/>
  <c r="C3414" i="2"/>
  <c r="U3413" i="2"/>
  <c r="C3413" i="2"/>
  <c r="U3412" i="2"/>
  <c r="C3412" i="2"/>
  <c r="U3411" i="2"/>
  <c r="C3411" i="2"/>
  <c r="U3410" i="2"/>
  <c r="C3410" i="2"/>
  <c r="U3409" i="2"/>
  <c r="C3409" i="2"/>
  <c r="U3408" i="2"/>
  <c r="C3408" i="2"/>
  <c r="U3407" i="2"/>
  <c r="C3407" i="2"/>
  <c r="U3406" i="2"/>
  <c r="C3406" i="2"/>
  <c r="U3405" i="2"/>
  <c r="C3405" i="2"/>
  <c r="U3404" i="2"/>
  <c r="C3404" i="2"/>
  <c r="U3403" i="2"/>
  <c r="C3403" i="2"/>
  <c r="U3402" i="2"/>
  <c r="C3402" i="2"/>
  <c r="U3401" i="2"/>
  <c r="C3401" i="2"/>
  <c r="U3400" i="2"/>
  <c r="C3400" i="2"/>
  <c r="U3399" i="2"/>
  <c r="C3399" i="2"/>
  <c r="U3398" i="2"/>
  <c r="C3398" i="2"/>
  <c r="U3397" i="2"/>
  <c r="C3397" i="2"/>
  <c r="U3396" i="2"/>
  <c r="C3396" i="2"/>
  <c r="U3395" i="2"/>
  <c r="C3395" i="2"/>
  <c r="U3394" i="2"/>
  <c r="C3394" i="2"/>
  <c r="U3393" i="2"/>
  <c r="C3393" i="2"/>
  <c r="U3392" i="2"/>
  <c r="C3392" i="2"/>
  <c r="U3391" i="2"/>
  <c r="C3391" i="2"/>
  <c r="U3390" i="2"/>
  <c r="C3390" i="2"/>
  <c r="U3389" i="2"/>
  <c r="C3389" i="2"/>
  <c r="U3388" i="2"/>
  <c r="C3388" i="2"/>
  <c r="U3387" i="2"/>
  <c r="C3387" i="2"/>
  <c r="U3386" i="2"/>
  <c r="C3386" i="2"/>
  <c r="U3385" i="2"/>
  <c r="C3385" i="2"/>
  <c r="U3384" i="2"/>
  <c r="C3384" i="2"/>
  <c r="U3383" i="2"/>
  <c r="C3383" i="2"/>
  <c r="U3382" i="2"/>
  <c r="C3382" i="2"/>
  <c r="U3381" i="2"/>
  <c r="C3381" i="2"/>
  <c r="U3380" i="2"/>
  <c r="C3380" i="2"/>
  <c r="U3379" i="2"/>
  <c r="C3379" i="2"/>
  <c r="U3378" i="2"/>
  <c r="C3378" i="2"/>
  <c r="U3377" i="2"/>
  <c r="C3377" i="2"/>
  <c r="U3376" i="2"/>
  <c r="C3376" i="2"/>
  <c r="U3375" i="2"/>
  <c r="C3375" i="2"/>
  <c r="U3374" i="2"/>
  <c r="C3374" i="2"/>
  <c r="U3373" i="2"/>
  <c r="C3373" i="2"/>
  <c r="U3372" i="2"/>
  <c r="C3372" i="2"/>
  <c r="U3371" i="2"/>
  <c r="C3371" i="2"/>
  <c r="U3370" i="2"/>
  <c r="C3370" i="2"/>
  <c r="U3369" i="2"/>
  <c r="C3369" i="2"/>
  <c r="U3368" i="2"/>
  <c r="C3368" i="2"/>
  <c r="U3367" i="2"/>
  <c r="C3367" i="2"/>
  <c r="U3366" i="2"/>
  <c r="C3366" i="2"/>
  <c r="U3365" i="2"/>
  <c r="C3365" i="2"/>
  <c r="U3364" i="2"/>
  <c r="C3364" i="2"/>
  <c r="U3363" i="2"/>
  <c r="C3363" i="2"/>
  <c r="U3362" i="2"/>
  <c r="C3362" i="2"/>
  <c r="U3361" i="2"/>
  <c r="C3361" i="2"/>
  <c r="U3360" i="2"/>
  <c r="C3360" i="2"/>
  <c r="U3359" i="2"/>
  <c r="C3359" i="2"/>
  <c r="U3358" i="2"/>
  <c r="C3358" i="2"/>
  <c r="U3357" i="2"/>
  <c r="C3357" i="2"/>
  <c r="U3356" i="2"/>
  <c r="C3356" i="2"/>
  <c r="U3355" i="2"/>
  <c r="C3355" i="2"/>
  <c r="U3354" i="2"/>
  <c r="C3354" i="2"/>
  <c r="U3353" i="2"/>
  <c r="C3353" i="2"/>
  <c r="U3352" i="2"/>
  <c r="C3352" i="2"/>
  <c r="U3351" i="2"/>
  <c r="C3351" i="2"/>
  <c r="U3350" i="2"/>
  <c r="C3350" i="2"/>
  <c r="U3349" i="2"/>
  <c r="C3349" i="2"/>
  <c r="U3348" i="2"/>
  <c r="C3348" i="2"/>
  <c r="U3347" i="2"/>
  <c r="C3347" i="2"/>
  <c r="U3346" i="2"/>
  <c r="C3346" i="2"/>
  <c r="U3345" i="2"/>
  <c r="C3345" i="2"/>
  <c r="U3344" i="2"/>
  <c r="C3344" i="2"/>
  <c r="U3343" i="2"/>
  <c r="C3343" i="2"/>
  <c r="U3342" i="2"/>
  <c r="C3342" i="2"/>
  <c r="U3341" i="2"/>
  <c r="C3341" i="2"/>
  <c r="U3340" i="2"/>
  <c r="C3340" i="2"/>
  <c r="U3339" i="2"/>
  <c r="C3339" i="2"/>
  <c r="U3338" i="2"/>
  <c r="C3338" i="2"/>
  <c r="U3337" i="2"/>
  <c r="C3337" i="2"/>
  <c r="U3336" i="2"/>
  <c r="C3336" i="2"/>
  <c r="U3335" i="2"/>
  <c r="C3335" i="2"/>
  <c r="U3334" i="2"/>
  <c r="C3334" i="2"/>
  <c r="U3333" i="2"/>
  <c r="C3333" i="2"/>
  <c r="U3332" i="2"/>
  <c r="C3332" i="2"/>
  <c r="U3331" i="2"/>
  <c r="C3331" i="2"/>
  <c r="U3330" i="2"/>
  <c r="C3330" i="2"/>
  <c r="U3329" i="2"/>
  <c r="C3329" i="2"/>
  <c r="U3328" i="2"/>
  <c r="C3328" i="2"/>
  <c r="U3327" i="2"/>
  <c r="C3327" i="2"/>
  <c r="U3326" i="2"/>
  <c r="C3326" i="2"/>
  <c r="U3325" i="2"/>
  <c r="C3325" i="2"/>
  <c r="U3324" i="2"/>
  <c r="C3324" i="2"/>
  <c r="U3323" i="2"/>
  <c r="C3323" i="2"/>
  <c r="U3322" i="2"/>
  <c r="C3322" i="2"/>
  <c r="U3321" i="2"/>
  <c r="C3321" i="2"/>
  <c r="U3320" i="2"/>
  <c r="C3320" i="2"/>
  <c r="U3319" i="2"/>
  <c r="C3319" i="2"/>
  <c r="U3318" i="2"/>
  <c r="C3318" i="2"/>
  <c r="U3317" i="2"/>
  <c r="C3317" i="2"/>
  <c r="U3316" i="2"/>
  <c r="C3316" i="2"/>
  <c r="U3315" i="2"/>
  <c r="C3315" i="2"/>
  <c r="U3314" i="2"/>
  <c r="C3314" i="2"/>
  <c r="U3313" i="2"/>
  <c r="C3313" i="2"/>
  <c r="U3312" i="2"/>
  <c r="C3312" i="2"/>
  <c r="U3311" i="2"/>
  <c r="C3311" i="2"/>
  <c r="U3310" i="2"/>
  <c r="C3310" i="2"/>
  <c r="U3309" i="2"/>
  <c r="C3309" i="2"/>
  <c r="U3308" i="2"/>
  <c r="C3308" i="2"/>
  <c r="U3307" i="2"/>
  <c r="C3307" i="2"/>
  <c r="U3306" i="2"/>
  <c r="C3306" i="2"/>
  <c r="U3305" i="2"/>
  <c r="C3305" i="2"/>
  <c r="U3304" i="2"/>
  <c r="C3304" i="2"/>
  <c r="U3303" i="2"/>
  <c r="C3303" i="2"/>
  <c r="U3302" i="2"/>
  <c r="C3302" i="2"/>
  <c r="U3301" i="2"/>
  <c r="C3301" i="2"/>
  <c r="U3300" i="2"/>
  <c r="C3300" i="2"/>
  <c r="U3299" i="2"/>
  <c r="C3299" i="2"/>
  <c r="U3298" i="2"/>
  <c r="C3298" i="2"/>
  <c r="U3297" i="2"/>
  <c r="C3297" i="2"/>
  <c r="U3296" i="2"/>
  <c r="C3296" i="2"/>
  <c r="U3295" i="2"/>
  <c r="C3295" i="2"/>
  <c r="U3294" i="2"/>
  <c r="C3294" i="2"/>
  <c r="U3293" i="2"/>
  <c r="C3293" i="2"/>
  <c r="U3292" i="2"/>
  <c r="C3292" i="2"/>
  <c r="U3291" i="2"/>
  <c r="C3291" i="2"/>
  <c r="U3290" i="2"/>
  <c r="C3290" i="2"/>
  <c r="U3289" i="2"/>
  <c r="C3289" i="2"/>
  <c r="U3288" i="2"/>
  <c r="C3288" i="2"/>
  <c r="U3287" i="2"/>
  <c r="C3287" i="2"/>
  <c r="U3286" i="2"/>
  <c r="C3286" i="2"/>
  <c r="U3285" i="2"/>
  <c r="C3285" i="2"/>
  <c r="U3284" i="2"/>
  <c r="C3284" i="2"/>
  <c r="U3283" i="2"/>
  <c r="C3283" i="2"/>
  <c r="U3282" i="2"/>
  <c r="C3282" i="2"/>
  <c r="U3281" i="2"/>
  <c r="C3281" i="2"/>
  <c r="U3280" i="2"/>
  <c r="C3280" i="2"/>
  <c r="U3279" i="2"/>
  <c r="C3279" i="2"/>
  <c r="U3278" i="2"/>
  <c r="C3278" i="2"/>
  <c r="U3277" i="2"/>
  <c r="C3277" i="2"/>
  <c r="U3276" i="2"/>
  <c r="C3276" i="2"/>
  <c r="U3275" i="2"/>
  <c r="C3275" i="2"/>
  <c r="U3274" i="2"/>
  <c r="C3274" i="2"/>
  <c r="U3273" i="2"/>
  <c r="C3273" i="2"/>
  <c r="U3272" i="2"/>
  <c r="C3272" i="2"/>
  <c r="U3271" i="2"/>
  <c r="C3271" i="2"/>
  <c r="U3270" i="2"/>
  <c r="C3270" i="2"/>
  <c r="U3269" i="2"/>
  <c r="C3269" i="2"/>
  <c r="U3268" i="2"/>
  <c r="C3268" i="2"/>
  <c r="U3267" i="2"/>
  <c r="C3267" i="2"/>
  <c r="U3266" i="2"/>
  <c r="C3266" i="2"/>
  <c r="U3265" i="2"/>
  <c r="C3265" i="2"/>
  <c r="U3264" i="2"/>
  <c r="C3264" i="2"/>
  <c r="U3263" i="2"/>
  <c r="C3263" i="2"/>
  <c r="U3262" i="2"/>
  <c r="C3262" i="2"/>
  <c r="U3261" i="2"/>
  <c r="C3261" i="2"/>
  <c r="U3260" i="2"/>
  <c r="C3260" i="2"/>
  <c r="U3259" i="2"/>
  <c r="C3259" i="2"/>
  <c r="U3258" i="2"/>
  <c r="C3258" i="2"/>
  <c r="U3257" i="2"/>
  <c r="C3257" i="2"/>
  <c r="U3256" i="2"/>
  <c r="C3256" i="2"/>
  <c r="U3255" i="2"/>
  <c r="C3255" i="2"/>
  <c r="U3254" i="2"/>
  <c r="C3254" i="2"/>
  <c r="U3253" i="2"/>
  <c r="C3253" i="2"/>
  <c r="U3252" i="2"/>
  <c r="C3252" i="2"/>
  <c r="U3251" i="2"/>
  <c r="C3251" i="2"/>
  <c r="U3250" i="2"/>
  <c r="C3250" i="2"/>
  <c r="U3249" i="2"/>
  <c r="C3249" i="2"/>
  <c r="U3248" i="2"/>
  <c r="C3248" i="2"/>
  <c r="U3247" i="2"/>
  <c r="C3247" i="2"/>
  <c r="U3246" i="2"/>
  <c r="C3246" i="2"/>
  <c r="U3245" i="2"/>
  <c r="C3245" i="2"/>
  <c r="U3244" i="2"/>
  <c r="C3244" i="2"/>
  <c r="U3243" i="2"/>
  <c r="C3243" i="2"/>
  <c r="U3242" i="2"/>
  <c r="C3242" i="2"/>
  <c r="U3241" i="2"/>
  <c r="C3241" i="2"/>
  <c r="U3240" i="2"/>
  <c r="C3240" i="2"/>
  <c r="U3239" i="2"/>
  <c r="C3239" i="2"/>
  <c r="U3238" i="2"/>
  <c r="C3238" i="2"/>
  <c r="U3237" i="2"/>
  <c r="C3237" i="2"/>
  <c r="U3236" i="2"/>
  <c r="C3236" i="2"/>
  <c r="U3235" i="2"/>
  <c r="C3235" i="2"/>
  <c r="U3234" i="2"/>
  <c r="C3234" i="2"/>
  <c r="U3233" i="2"/>
  <c r="C3233" i="2"/>
  <c r="U3232" i="2"/>
  <c r="C3232" i="2"/>
  <c r="U3231" i="2"/>
  <c r="C3231" i="2"/>
  <c r="U3230" i="2"/>
  <c r="C3230" i="2"/>
  <c r="U3229" i="2"/>
  <c r="C3229" i="2"/>
  <c r="U3228" i="2"/>
  <c r="C3228" i="2"/>
  <c r="U3227" i="2"/>
  <c r="C3227" i="2"/>
  <c r="U3226" i="2"/>
  <c r="C3226" i="2"/>
  <c r="U3225" i="2"/>
  <c r="C3225" i="2"/>
  <c r="U3224" i="2"/>
  <c r="C3224" i="2"/>
  <c r="U3223" i="2"/>
  <c r="C3223" i="2"/>
  <c r="U3222" i="2"/>
  <c r="C3222" i="2"/>
  <c r="U3221" i="2"/>
  <c r="C3221" i="2"/>
  <c r="U3220" i="2"/>
  <c r="C3220" i="2"/>
  <c r="U3219" i="2"/>
  <c r="C3219" i="2"/>
  <c r="U3218" i="2"/>
  <c r="C3218" i="2"/>
  <c r="U3217" i="2"/>
  <c r="C3217" i="2"/>
  <c r="U3216" i="2"/>
  <c r="C3216" i="2"/>
  <c r="U3215" i="2"/>
  <c r="C3215" i="2"/>
  <c r="U3214" i="2"/>
  <c r="C3214" i="2"/>
  <c r="U3213" i="2"/>
  <c r="C3213" i="2"/>
  <c r="U3212" i="2"/>
  <c r="C3212" i="2"/>
  <c r="U3211" i="2"/>
  <c r="C3211" i="2"/>
  <c r="U3210" i="2"/>
  <c r="C3210" i="2"/>
  <c r="U3209" i="2"/>
  <c r="C3209" i="2"/>
  <c r="U3208" i="2"/>
  <c r="C3208" i="2"/>
  <c r="U3207" i="2"/>
  <c r="C3207" i="2"/>
  <c r="U3206" i="2"/>
  <c r="C3206" i="2"/>
  <c r="U3205" i="2"/>
  <c r="C3205" i="2"/>
  <c r="U3204" i="2"/>
  <c r="C3204" i="2"/>
  <c r="U3203" i="2"/>
  <c r="C3203" i="2"/>
  <c r="U3202" i="2"/>
  <c r="C3202" i="2"/>
  <c r="U3201" i="2"/>
  <c r="C3201" i="2"/>
  <c r="U3200" i="2"/>
  <c r="C3200" i="2"/>
  <c r="U3199" i="2"/>
  <c r="C3199" i="2"/>
  <c r="U3198" i="2"/>
  <c r="C3198" i="2"/>
  <c r="U3197" i="2"/>
  <c r="C3197" i="2"/>
  <c r="U3196" i="2"/>
  <c r="C3196" i="2"/>
  <c r="U3195" i="2"/>
  <c r="C3195" i="2"/>
  <c r="U3194" i="2"/>
  <c r="C3194" i="2"/>
  <c r="U3193" i="2"/>
  <c r="C3193" i="2"/>
  <c r="U3192" i="2"/>
  <c r="C3192" i="2"/>
  <c r="U3191" i="2"/>
  <c r="C3191" i="2"/>
  <c r="U3190" i="2"/>
  <c r="C3190" i="2"/>
  <c r="U3189" i="2"/>
  <c r="C3189" i="2"/>
  <c r="U3188" i="2"/>
  <c r="C3188" i="2"/>
  <c r="U3187" i="2"/>
  <c r="C3187" i="2"/>
  <c r="U3186" i="2"/>
  <c r="C3186" i="2"/>
  <c r="U3185" i="2"/>
  <c r="C3185" i="2"/>
  <c r="U3184" i="2"/>
  <c r="C3184" i="2"/>
  <c r="U3183" i="2"/>
  <c r="C3183" i="2"/>
  <c r="U3182" i="2"/>
  <c r="C3182" i="2"/>
  <c r="U3181" i="2"/>
  <c r="C3181" i="2"/>
  <c r="U3180" i="2"/>
  <c r="C3180" i="2"/>
  <c r="U3179" i="2"/>
  <c r="C3179" i="2"/>
  <c r="U3178" i="2"/>
  <c r="C3178" i="2"/>
  <c r="U3177" i="2"/>
  <c r="C3177" i="2"/>
  <c r="U3176" i="2"/>
  <c r="C3176" i="2"/>
  <c r="U3175" i="2"/>
  <c r="C3175" i="2"/>
  <c r="U3174" i="2"/>
  <c r="C3174" i="2"/>
  <c r="U3173" i="2"/>
  <c r="C3173" i="2"/>
  <c r="U3172" i="2"/>
  <c r="C3172" i="2"/>
  <c r="U3171" i="2"/>
  <c r="C3171" i="2"/>
  <c r="U3170" i="2"/>
  <c r="C3170" i="2"/>
  <c r="U3169" i="2"/>
  <c r="C3169" i="2"/>
  <c r="U3168" i="2"/>
  <c r="C3168" i="2"/>
  <c r="U3167" i="2"/>
  <c r="C3167" i="2"/>
  <c r="U3166" i="2"/>
  <c r="C3166" i="2"/>
  <c r="U3165" i="2"/>
  <c r="C3165" i="2"/>
  <c r="U3164" i="2"/>
  <c r="C3164" i="2"/>
  <c r="U3163" i="2"/>
  <c r="C3163" i="2"/>
  <c r="U3162" i="2"/>
  <c r="C3162" i="2"/>
  <c r="U3161" i="2"/>
  <c r="C3161" i="2"/>
  <c r="U3160" i="2"/>
  <c r="C3160" i="2"/>
  <c r="U3159" i="2"/>
  <c r="C3159" i="2"/>
  <c r="U3158" i="2"/>
  <c r="C3158" i="2"/>
  <c r="U3157" i="2"/>
  <c r="C3157" i="2"/>
  <c r="U3156" i="2"/>
  <c r="C3156" i="2"/>
  <c r="U3155" i="2"/>
  <c r="C3155" i="2"/>
  <c r="U3154" i="2"/>
  <c r="C3154" i="2"/>
  <c r="U3153" i="2"/>
  <c r="C3153" i="2"/>
  <c r="U3152" i="2"/>
  <c r="C3152" i="2"/>
  <c r="U3151" i="2"/>
  <c r="C3151" i="2"/>
  <c r="U3150" i="2"/>
  <c r="C3150" i="2"/>
  <c r="U3149" i="2"/>
  <c r="C3149" i="2"/>
  <c r="U3148" i="2"/>
  <c r="C3148" i="2"/>
  <c r="U3147" i="2"/>
  <c r="C3147" i="2"/>
  <c r="U3146" i="2"/>
  <c r="C3146" i="2"/>
  <c r="U3145" i="2"/>
  <c r="C3145" i="2"/>
  <c r="U3144" i="2"/>
  <c r="C3144" i="2"/>
  <c r="U3143" i="2"/>
  <c r="C3143" i="2"/>
  <c r="U3142" i="2"/>
  <c r="C3142" i="2"/>
  <c r="U3141" i="2"/>
  <c r="C3141" i="2"/>
  <c r="U3140" i="2"/>
  <c r="C3140" i="2"/>
  <c r="U3139" i="2"/>
  <c r="C3139" i="2"/>
  <c r="U3138" i="2"/>
  <c r="C3138" i="2"/>
  <c r="U3137" i="2"/>
  <c r="C3137" i="2"/>
  <c r="U3136" i="2"/>
  <c r="C3136" i="2"/>
  <c r="U3135" i="2"/>
  <c r="C3135" i="2"/>
  <c r="U3134" i="2"/>
  <c r="C3134" i="2"/>
  <c r="U3133" i="2"/>
  <c r="C3133" i="2"/>
  <c r="U3132" i="2"/>
  <c r="C3132" i="2"/>
  <c r="U3131" i="2"/>
  <c r="C3131" i="2"/>
  <c r="U3130" i="2"/>
  <c r="C3130" i="2"/>
  <c r="U3129" i="2"/>
  <c r="C3129" i="2"/>
  <c r="U3128" i="2"/>
  <c r="C3128" i="2"/>
  <c r="U3127" i="2"/>
  <c r="C3127" i="2"/>
  <c r="U3126" i="2"/>
  <c r="C3126" i="2"/>
  <c r="U3125" i="2"/>
  <c r="C3125" i="2"/>
  <c r="U3124" i="2"/>
  <c r="C3124" i="2"/>
  <c r="U3123" i="2"/>
  <c r="C3123" i="2"/>
  <c r="U3122" i="2"/>
  <c r="C3122" i="2"/>
  <c r="U3121" i="2"/>
  <c r="C3121" i="2"/>
  <c r="U3120" i="2"/>
  <c r="C3120" i="2"/>
  <c r="U3119" i="2"/>
  <c r="C3119" i="2"/>
  <c r="U3118" i="2"/>
  <c r="C3118" i="2"/>
  <c r="U3117" i="2"/>
  <c r="C3117" i="2"/>
  <c r="U3116" i="2"/>
  <c r="C3116" i="2"/>
  <c r="U3115" i="2"/>
  <c r="C3115" i="2"/>
  <c r="U3114" i="2"/>
  <c r="C3114" i="2"/>
  <c r="U3113" i="2"/>
  <c r="C3113" i="2"/>
  <c r="U3112" i="2"/>
  <c r="C3112" i="2"/>
  <c r="U3111" i="2"/>
  <c r="C3111" i="2"/>
  <c r="U3110" i="2"/>
  <c r="C3110" i="2"/>
  <c r="U3109" i="2"/>
  <c r="C3109" i="2"/>
  <c r="U3108" i="2"/>
  <c r="C3108" i="2"/>
  <c r="U3107" i="2"/>
  <c r="C3107" i="2"/>
  <c r="U3106" i="2"/>
  <c r="C3106" i="2"/>
  <c r="U3105" i="2"/>
  <c r="C3105" i="2"/>
  <c r="U3104" i="2"/>
  <c r="C3104" i="2"/>
  <c r="U3103" i="2"/>
  <c r="C3103" i="2"/>
  <c r="U3102" i="2"/>
  <c r="C3102" i="2"/>
  <c r="U3101" i="2"/>
  <c r="C3101" i="2"/>
  <c r="U3100" i="2"/>
  <c r="C3100" i="2"/>
  <c r="U3099" i="2"/>
  <c r="C3099" i="2"/>
  <c r="U3098" i="2"/>
  <c r="C3098" i="2"/>
  <c r="U3097" i="2"/>
  <c r="C3097" i="2"/>
  <c r="U3096" i="2"/>
  <c r="C3096" i="2"/>
  <c r="U3095" i="2"/>
  <c r="C3095" i="2"/>
  <c r="U3094" i="2"/>
  <c r="C3094" i="2"/>
  <c r="U3093" i="2"/>
  <c r="C3093" i="2"/>
  <c r="U3092" i="2"/>
  <c r="C3092" i="2"/>
  <c r="U3091" i="2"/>
  <c r="C3091" i="2"/>
  <c r="U3090" i="2"/>
  <c r="C3090" i="2"/>
  <c r="U3089" i="2"/>
  <c r="C3089" i="2"/>
  <c r="U3088" i="2"/>
  <c r="C3088" i="2"/>
  <c r="U3087" i="2"/>
  <c r="C3087" i="2"/>
  <c r="U3086" i="2"/>
  <c r="C3086" i="2"/>
  <c r="U3085" i="2"/>
  <c r="C3085" i="2"/>
  <c r="U3084" i="2"/>
  <c r="C3084" i="2"/>
  <c r="U3083" i="2"/>
  <c r="C3083" i="2"/>
  <c r="U3082" i="2"/>
  <c r="C3082" i="2"/>
  <c r="U3081" i="2"/>
  <c r="C3081" i="2"/>
  <c r="U3080" i="2"/>
  <c r="C3080" i="2"/>
  <c r="U3079" i="2"/>
  <c r="C3079" i="2"/>
  <c r="U3078" i="2"/>
  <c r="C3078" i="2"/>
  <c r="U3077" i="2"/>
  <c r="C3077" i="2"/>
  <c r="U3076" i="2"/>
  <c r="C3076" i="2"/>
  <c r="U3075" i="2"/>
  <c r="C3075" i="2"/>
  <c r="U3074" i="2"/>
  <c r="C3074" i="2"/>
  <c r="U3073" i="2"/>
  <c r="C3073" i="2"/>
  <c r="U3072" i="2"/>
  <c r="C3072" i="2"/>
  <c r="U3071" i="2"/>
  <c r="C3071" i="2"/>
  <c r="U3070" i="2"/>
  <c r="C3070" i="2"/>
  <c r="U3069" i="2"/>
  <c r="C3069" i="2"/>
  <c r="U3068" i="2"/>
  <c r="C3068" i="2"/>
  <c r="U3067" i="2"/>
  <c r="C3067" i="2"/>
  <c r="U3066" i="2"/>
  <c r="C3066" i="2"/>
  <c r="U3065" i="2"/>
  <c r="C3065" i="2"/>
  <c r="U3064" i="2"/>
  <c r="C3064" i="2"/>
  <c r="U3063" i="2"/>
  <c r="C3063" i="2"/>
  <c r="U3062" i="2"/>
  <c r="C3062" i="2"/>
  <c r="U3061" i="2"/>
  <c r="C3061" i="2"/>
  <c r="U3060" i="2"/>
  <c r="C3060" i="2"/>
  <c r="U3059" i="2"/>
  <c r="C3059" i="2"/>
  <c r="U3058" i="2"/>
  <c r="C3058" i="2"/>
  <c r="U3057" i="2"/>
  <c r="C3057" i="2"/>
  <c r="U3056" i="2"/>
  <c r="C3056" i="2"/>
  <c r="U3055" i="2"/>
  <c r="C3055" i="2"/>
  <c r="U3054" i="2"/>
  <c r="C3054" i="2"/>
  <c r="U3053" i="2"/>
  <c r="C3053" i="2"/>
  <c r="U3052" i="2"/>
  <c r="C3052" i="2"/>
  <c r="U3051" i="2"/>
  <c r="C3051" i="2"/>
  <c r="U3050" i="2"/>
  <c r="C3050" i="2"/>
  <c r="U3049" i="2"/>
  <c r="C3049" i="2"/>
  <c r="U3048" i="2"/>
  <c r="C3048" i="2"/>
  <c r="U3047" i="2"/>
  <c r="C3047" i="2"/>
  <c r="U3046" i="2"/>
  <c r="C3046" i="2"/>
  <c r="U3045" i="2"/>
  <c r="C3045" i="2"/>
  <c r="U3044" i="2"/>
  <c r="C3044" i="2"/>
  <c r="U3043" i="2"/>
  <c r="C3043" i="2"/>
  <c r="U3042" i="2"/>
  <c r="C3042" i="2"/>
  <c r="U3041" i="2"/>
  <c r="C3041" i="2"/>
  <c r="U3040" i="2"/>
  <c r="C3040" i="2"/>
  <c r="U3039" i="2"/>
  <c r="C3039" i="2"/>
  <c r="U3038" i="2"/>
  <c r="C3038" i="2"/>
  <c r="U3037" i="2"/>
  <c r="C3037" i="2"/>
  <c r="U3036" i="2"/>
  <c r="C3036" i="2"/>
  <c r="U3035" i="2"/>
  <c r="C3035" i="2"/>
  <c r="U3034" i="2"/>
  <c r="C3034" i="2"/>
  <c r="U3033" i="2"/>
  <c r="C3033" i="2"/>
  <c r="U3032" i="2"/>
  <c r="C3032" i="2"/>
  <c r="U3031" i="2"/>
  <c r="C3031" i="2"/>
  <c r="U3030" i="2"/>
  <c r="C3030" i="2"/>
  <c r="U3029" i="2"/>
  <c r="C3029" i="2"/>
  <c r="U3028" i="2"/>
  <c r="C3028" i="2"/>
  <c r="U3027" i="2"/>
  <c r="C3027" i="2"/>
  <c r="U3026" i="2"/>
  <c r="C3026" i="2"/>
  <c r="U3025" i="2"/>
  <c r="C3025" i="2"/>
  <c r="U3024" i="2"/>
  <c r="C3024" i="2"/>
  <c r="U3023" i="2"/>
  <c r="C3023" i="2"/>
  <c r="U3022" i="2"/>
  <c r="C3022" i="2"/>
  <c r="U3021" i="2"/>
  <c r="C3021" i="2"/>
  <c r="U3020" i="2"/>
  <c r="C3020" i="2"/>
  <c r="U3019" i="2"/>
  <c r="C3019" i="2"/>
  <c r="U3018" i="2"/>
  <c r="C3018" i="2"/>
  <c r="U3017" i="2"/>
  <c r="C3017" i="2"/>
  <c r="U3016" i="2"/>
  <c r="C3016" i="2"/>
  <c r="U3015" i="2"/>
  <c r="C3015" i="2"/>
  <c r="U3014" i="2"/>
  <c r="C3014" i="2"/>
  <c r="U3013" i="2"/>
  <c r="C3013" i="2"/>
  <c r="U3012" i="2"/>
  <c r="C3012" i="2"/>
  <c r="U3011" i="2"/>
  <c r="C3011" i="2"/>
  <c r="U3010" i="2"/>
  <c r="C3010" i="2"/>
  <c r="U3009" i="2"/>
  <c r="C3009" i="2"/>
  <c r="U3008" i="2"/>
  <c r="C3008" i="2"/>
  <c r="U3007" i="2"/>
  <c r="C3007" i="2"/>
  <c r="U3006" i="2"/>
  <c r="C3006" i="2"/>
  <c r="U3005" i="2"/>
  <c r="C3005" i="2"/>
  <c r="U3004" i="2"/>
  <c r="C3004" i="2"/>
  <c r="U3003" i="2"/>
  <c r="C3003" i="2"/>
  <c r="U3002" i="2"/>
  <c r="C3002" i="2"/>
  <c r="U3001" i="2"/>
  <c r="C3001" i="2"/>
  <c r="U3000" i="2"/>
  <c r="C3000" i="2"/>
  <c r="U2999" i="2"/>
  <c r="C2999" i="2"/>
  <c r="U2998" i="2"/>
  <c r="C2998" i="2"/>
  <c r="U2997" i="2"/>
  <c r="C2997" i="2"/>
  <c r="U2996" i="2"/>
  <c r="C2996" i="2"/>
  <c r="U2995" i="2"/>
  <c r="C2995" i="2"/>
  <c r="U2994" i="2"/>
  <c r="C2994" i="2"/>
  <c r="U2993" i="2"/>
  <c r="C2993" i="2"/>
  <c r="U2992" i="2"/>
  <c r="C2992" i="2"/>
  <c r="U2991" i="2"/>
  <c r="C2991" i="2"/>
  <c r="U2990" i="2"/>
  <c r="C2990" i="2"/>
  <c r="U2989" i="2"/>
  <c r="C2989" i="2"/>
  <c r="U2988" i="2"/>
  <c r="C2988" i="2"/>
  <c r="U2987" i="2"/>
  <c r="C2987" i="2"/>
  <c r="U2986" i="2"/>
  <c r="C2986" i="2"/>
  <c r="U2985" i="2"/>
  <c r="C2985" i="2"/>
  <c r="U2984" i="2"/>
  <c r="C2984" i="2"/>
  <c r="U2983" i="2"/>
  <c r="C2983" i="2"/>
  <c r="U2982" i="2"/>
  <c r="C2982" i="2"/>
  <c r="U2981" i="2"/>
  <c r="C2981" i="2"/>
  <c r="U2980" i="2"/>
  <c r="C2980" i="2"/>
  <c r="U2979" i="2"/>
  <c r="C2979" i="2"/>
  <c r="U2978" i="2"/>
  <c r="C2978" i="2"/>
  <c r="U2977" i="2"/>
  <c r="C2977" i="2"/>
  <c r="U2976" i="2"/>
  <c r="C2976" i="2"/>
  <c r="U2975" i="2"/>
  <c r="C2975" i="2"/>
  <c r="U2974" i="2"/>
  <c r="C2974" i="2"/>
  <c r="U2973" i="2"/>
  <c r="C2973" i="2"/>
  <c r="U2972" i="2"/>
  <c r="C2972" i="2"/>
  <c r="U2971" i="2"/>
  <c r="C2971" i="2"/>
  <c r="U2970" i="2"/>
  <c r="C2970" i="2"/>
  <c r="U2969" i="2"/>
  <c r="C2969" i="2"/>
  <c r="U2968" i="2"/>
  <c r="C2968" i="2"/>
  <c r="U2967" i="2"/>
  <c r="C2967" i="2"/>
  <c r="U2966" i="2"/>
  <c r="C2966" i="2"/>
  <c r="U2965" i="2"/>
  <c r="C2965" i="2"/>
  <c r="U2964" i="2"/>
  <c r="C2964" i="2"/>
  <c r="U2963" i="2"/>
  <c r="C2963" i="2"/>
  <c r="U2962" i="2"/>
  <c r="C2962" i="2"/>
  <c r="U2961" i="2"/>
  <c r="C2961" i="2"/>
  <c r="U2960" i="2"/>
  <c r="C2960" i="2"/>
  <c r="U2959" i="2"/>
  <c r="C2959" i="2"/>
  <c r="U2958" i="2"/>
  <c r="C2958" i="2"/>
  <c r="U2957" i="2"/>
  <c r="C2957" i="2"/>
  <c r="U2956" i="2"/>
  <c r="C2956" i="2"/>
  <c r="U2955" i="2"/>
  <c r="C2955" i="2"/>
  <c r="U2954" i="2"/>
  <c r="C2954" i="2"/>
  <c r="U2953" i="2"/>
  <c r="C2953" i="2"/>
  <c r="U2952" i="2"/>
  <c r="C2952" i="2"/>
  <c r="U2951" i="2"/>
  <c r="C2951" i="2"/>
  <c r="U2950" i="2"/>
  <c r="C2950" i="2"/>
  <c r="U2949" i="2"/>
  <c r="C2949" i="2"/>
  <c r="U2948" i="2"/>
  <c r="C2948" i="2"/>
  <c r="U2947" i="2"/>
  <c r="C2947" i="2"/>
  <c r="U2946" i="2"/>
  <c r="C2946" i="2"/>
  <c r="U2945" i="2"/>
  <c r="C2945" i="2"/>
  <c r="U2944" i="2"/>
  <c r="C2944" i="2"/>
  <c r="U2943" i="2"/>
  <c r="C2943" i="2"/>
  <c r="U2942" i="2"/>
  <c r="C2942" i="2"/>
  <c r="U2941" i="2"/>
  <c r="C2941" i="2"/>
  <c r="U2940" i="2"/>
  <c r="C2940" i="2"/>
  <c r="U2939" i="2"/>
  <c r="C2939" i="2"/>
  <c r="U2938" i="2"/>
  <c r="C2938" i="2"/>
  <c r="U2937" i="2"/>
  <c r="C2937" i="2"/>
  <c r="U2936" i="2"/>
  <c r="C2936" i="2"/>
  <c r="U2935" i="2"/>
  <c r="C2935" i="2"/>
  <c r="U2934" i="2"/>
  <c r="C2934" i="2"/>
  <c r="U2933" i="2"/>
  <c r="C2933" i="2"/>
  <c r="U2932" i="2"/>
  <c r="C2932" i="2"/>
  <c r="U2931" i="2"/>
  <c r="C2931" i="2"/>
  <c r="U2930" i="2"/>
  <c r="C2930" i="2"/>
  <c r="U2929" i="2"/>
  <c r="C2929" i="2"/>
  <c r="U2928" i="2"/>
  <c r="C2928" i="2"/>
  <c r="U2927" i="2"/>
  <c r="C2927" i="2"/>
  <c r="U2926" i="2"/>
  <c r="C2926" i="2"/>
  <c r="U2925" i="2"/>
  <c r="C2925" i="2"/>
  <c r="U2924" i="2"/>
  <c r="C2924" i="2"/>
  <c r="U2923" i="2"/>
  <c r="C2923" i="2"/>
  <c r="U2922" i="2"/>
  <c r="C2922" i="2"/>
  <c r="U2921" i="2"/>
  <c r="C2921" i="2"/>
  <c r="U2920" i="2"/>
  <c r="C2920" i="2"/>
  <c r="U2919" i="2"/>
  <c r="C2919" i="2"/>
  <c r="U2918" i="2"/>
  <c r="C2918" i="2"/>
  <c r="U2917" i="2"/>
  <c r="C2917" i="2"/>
  <c r="U2916" i="2"/>
  <c r="C2916" i="2"/>
  <c r="U2915" i="2"/>
  <c r="C2915" i="2"/>
  <c r="U2914" i="2"/>
  <c r="C2914" i="2"/>
  <c r="U2913" i="2"/>
  <c r="C2913" i="2"/>
  <c r="U2912" i="2"/>
  <c r="C2912" i="2"/>
  <c r="U2911" i="2"/>
  <c r="C2911" i="2"/>
  <c r="U2910" i="2"/>
  <c r="C2910" i="2"/>
  <c r="U2909" i="2"/>
  <c r="C2909" i="2"/>
  <c r="U2908" i="2"/>
  <c r="C2908" i="2"/>
  <c r="U2907" i="2"/>
  <c r="C2907" i="2"/>
  <c r="U2906" i="2"/>
  <c r="C2906" i="2"/>
  <c r="U2905" i="2"/>
  <c r="C2905" i="2"/>
  <c r="U2904" i="2"/>
  <c r="C2904" i="2"/>
  <c r="U2903" i="2"/>
  <c r="C2903" i="2"/>
  <c r="U2902" i="2"/>
  <c r="C2902" i="2"/>
  <c r="U2901" i="2"/>
  <c r="C2901" i="2"/>
  <c r="U2900" i="2"/>
  <c r="C2900" i="2"/>
  <c r="U2899" i="2"/>
  <c r="C2899" i="2"/>
  <c r="U2898" i="2"/>
  <c r="C2898" i="2"/>
  <c r="U2897" i="2"/>
  <c r="C2897" i="2"/>
  <c r="U2896" i="2"/>
  <c r="C2896" i="2"/>
  <c r="U2895" i="2"/>
  <c r="C2895" i="2"/>
  <c r="U2894" i="2"/>
  <c r="C2894" i="2"/>
  <c r="U2893" i="2"/>
  <c r="C2893" i="2"/>
  <c r="U2892" i="2"/>
  <c r="C2892" i="2"/>
  <c r="U2891" i="2"/>
  <c r="C2891" i="2"/>
  <c r="U2890" i="2"/>
  <c r="C2890" i="2"/>
  <c r="U2889" i="2"/>
  <c r="C2889" i="2"/>
  <c r="U2888" i="2"/>
  <c r="C2888" i="2"/>
  <c r="U2887" i="2"/>
  <c r="C2887" i="2"/>
  <c r="U2886" i="2"/>
  <c r="C2886" i="2"/>
  <c r="U2885" i="2"/>
  <c r="C2885" i="2"/>
  <c r="U2884" i="2"/>
  <c r="C2884" i="2"/>
  <c r="U2883" i="2"/>
  <c r="C2883" i="2"/>
  <c r="U2882" i="2"/>
  <c r="C2882" i="2"/>
  <c r="U2881" i="2"/>
  <c r="C2881" i="2"/>
  <c r="U2880" i="2"/>
  <c r="C2880" i="2"/>
  <c r="U2879" i="2"/>
  <c r="C2879" i="2"/>
  <c r="U2878" i="2"/>
  <c r="C2878" i="2"/>
  <c r="U2877" i="2"/>
  <c r="C2877" i="2"/>
  <c r="U2876" i="2"/>
  <c r="C2876" i="2"/>
  <c r="U2875" i="2"/>
  <c r="C2875" i="2"/>
  <c r="U2874" i="2"/>
  <c r="C2874" i="2"/>
  <c r="U2873" i="2"/>
  <c r="C2873" i="2"/>
  <c r="U2872" i="2"/>
  <c r="C2872" i="2"/>
  <c r="U2871" i="2"/>
  <c r="C2871" i="2"/>
  <c r="U2870" i="2"/>
  <c r="C2870" i="2"/>
  <c r="U2869" i="2"/>
  <c r="C2869" i="2"/>
  <c r="U2868" i="2"/>
  <c r="C2868" i="2"/>
  <c r="U2867" i="2"/>
  <c r="C2867" i="2"/>
  <c r="U2866" i="2"/>
  <c r="C2866" i="2"/>
  <c r="U2865" i="2"/>
  <c r="C2865" i="2"/>
  <c r="U2864" i="2"/>
  <c r="C2864" i="2"/>
  <c r="U2863" i="2"/>
  <c r="C2863" i="2"/>
  <c r="U2862" i="2"/>
  <c r="C2862" i="2"/>
  <c r="U2861" i="2"/>
  <c r="C2861" i="2"/>
  <c r="U2860" i="2"/>
  <c r="C2860" i="2"/>
  <c r="U2859" i="2"/>
  <c r="C2859" i="2"/>
  <c r="U2858" i="2"/>
  <c r="C2858" i="2"/>
  <c r="U2857" i="2"/>
  <c r="C2857" i="2"/>
  <c r="U2856" i="2"/>
  <c r="C2856" i="2"/>
  <c r="U2855" i="2"/>
  <c r="C2855" i="2"/>
  <c r="U2854" i="2"/>
  <c r="C2854" i="2"/>
  <c r="U2853" i="2"/>
  <c r="C2853" i="2"/>
  <c r="U2852" i="2"/>
  <c r="C2852" i="2"/>
  <c r="U2851" i="2"/>
  <c r="C2851" i="2"/>
  <c r="U2850" i="2"/>
  <c r="C2850" i="2"/>
  <c r="U2849" i="2"/>
  <c r="C2849" i="2"/>
  <c r="U2848" i="2"/>
  <c r="C2848" i="2"/>
  <c r="U2847" i="2"/>
  <c r="C2847" i="2"/>
  <c r="U2846" i="2"/>
  <c r="C2846" i="2"/>
  <c r="U2845" i="2"/>
  <c r="C2845" i="2"/>
  <c r="U2844" i="2"/>
  <c r="C2844" i="2"/>
  <c r="U2843" i="2"/>
  <c r="C2843" i="2"/>
  <c r="U2842" i="2"/>
  <c r="C2842" i="2"/>
  <c r="U2841" i="2"/>
  <c r="C2841" i="2"/>
  <c r="U2840" i="2"/>
  <c r="C2840" i="2"/>
  <c r="U2839" i="2"/>
  <c r="C2839" i="2"/>
  <c r="U2838" i="2"/>
  <c r="C2838" i="2"/>
  <c r="U2837" i="2"/>
  <c r="C2837" i="2"/>
  <c r="U2836" i="2"/>
  <c r="C2836" i="2"/>
  <c r="U2835" i="2"/>
  <c r="C2835" i="2"/>
  <c r="U2834" i="2"/>
  <c r="C2834" i="2"/>
  <c r="U2833" i="2"/>
  <c r="C2833" i="2"/>
  <c r="U2832" i="2"/>
  <c r="C2832" i="2"/>
  <c r="U2831" i="2"/>
  <c r="C2831" i="2"/>
  <c r="U2830" i="2"/>
  <c r="C2830" i="2"/>
  <c r="U2829" i="2"/>
  <c r="C2829" i="2"/>
  <c r="U2828" i="2"/>
  <c r="C2828" i="2"/>
  <c r="U2827" i="2"/>
  <c r="C2827" i="2"/>
  <c r="U2826" i="2"/>
  <c r="C2826" i="2"/>
  <c r="U2825" i="2"/>
  <c r="C2825" i="2"/>
  <c r="U2824" i="2"/>
  <c r="C2824" i="2"/>
  <c r="U2823" i="2"/>
  <c r="C2823" i="2"/>
  <c r="U2822" i="2"/>
  <c r="C2822" i="2"/>
  <c r="U2821" i="2"/>
  <c r="C2821" i="2"/>
  <c r="U2820" i="2"/>
  <c r="C2820" i="2"/>
  <c r="U2819" i="2"/>
  <c r="C2819" i="2"/>
  <c r="U2818" i="2"/>
  <c r="C2818" i="2"/>
  <c r="U2817" i="2"/>
  <c r="C2817" i="2"/>
  <c r="U2816" i="2"/>
  <c r="C2816" i="2"/>
  <c r="U2815" i="2"/>
  <c r="C2815" i="2"/>
  <c r="U2814" i="2"/>
  <c r="C2814" i="2"/>
  <c r="U2813" i="2"/>
  <c r="C2813" i="2"/>
  <c r="U2812" i="2"/>
  <c r="C2812" i="2"/>
  <c r="U2811" i="2"/>
  <c r="C2811" i="2"/>
  <c r="U2810" i="2"/>
  <c r="C2810" i="2"/>
  <c r="U2809" i="2"/>
  <c r="C2809" i="2"/>
  <c r="U2808" i="2"/>
  <c r="C2808" i="2"/>
  <c r="U2807" i="2"/>
  <c r="C2807" i="2"/>
  <c r="U2806" i="2"/>
  <c r="C2806" i="2"/>
  <c r="U2805" i="2"/>
  <c r="C2805" i="2"/>
  <c r="U2804" i="2"/>
  <c r="C2804" i="2"/>
  <c r="U2803" i="2"/>
  <c r="C2803" i="2"/>
  <c r="U2802" i="2"/>
  <c r="C2802" i="2"/>
  <c r="U2801" i="2"/>
  <c r="C2801" i="2"/>
  <c r="U2800" i="2"/>
  <c r="C2800" i="2"/>
  <c r="U2799" i="2"/>
  <c r="C2799" i="2"/>
  <c r="U2798" i="2"/>
  <c r="C2798" i="2"/>
  <c r="U2797" i="2"/>
  <c r="C2797" i="2"/>
  <c r="U2796" i="2"/>
  <c r="C2796" i="2"/>
  <c r="U2795" i="2"/>
  <c r="C2795" i="2"/>
  <c r="U2794" i="2"/>
  <c r="C2794" i="2"/>
  <c r="U2793" i="2"/>
  <c r="C2793" i="2"/>
  <c r="U2792" i="2"/>
  <c r="C2792" i="2"/>
  <c r="U2791" i="2"/>
  <c r="C2791" i="2"/>
  <c r="U2790" i="2"/>
  <c r="C2790" i="2"/>
  <c r="U2789" i="2"/>
  <c r="C2789" i="2"/>
  <c r="U2788" i="2"/>
  <c r="C2788" i="2"/>
  <c r="U2787" i="2"/>
  <c r="C2787" i="2"/>
  <c r="U2786" i="2"/>
  <c r="C2786" i="2"/>
  <c r="U2785" i="2"/>
  <c r="C2785" i="2"/>
  <c r="U2784" i="2"/>
  <c r="C2784" i="2"/>
  <c r="U2783" i="2"/>
  <c r="C2783" i="2"/>
  <c r="U2782" i="2"/>
  <c r="C2782" i="2"/>
  <c r="U2781" i="2"/>
  <c r="C2781" i="2"/>
  <c r="U2780" i="2"/>
  <c r="C2780" i="2"/>
  <c r="U2779" i="2"/>
  <c r="C2779" i="2"/>
  <c r="U2778" i="2"/>
  <c r="C2778" i="2"/>
  <c r="U2777" i="2"/>
  <c r="C2777" i="2"/>
  <c r="U2776" i="2"/>
  <c r="C2776" i="2"/>
  <c r="U2775" i="2"/>
  <c r="C2775" i="2"/>
  <c r="U2774" i="2"/>
  <c r="C2774" i="2"/>
  <c r="U2773" i="2"/>
  <c r="C2773" i="2"/>
  <c r="U2772" i="2"/>
  <c r="C2772" i="2"/>
  <c r="U2771" i="2"/>
  <c r="C2771" i="2"/>
  <c r="U2770" i="2"/>
  <c r="C2770" i="2"/>
  <c r="U2769" i="2"/>
  <c r="C2769" i="2"/>
  <c r="U2768" i="2"/>
  <c r="C2768" i="2"/>
  <c r="U2767" i="2"/>
  <c r="C2767" i="2"/>
  <c r="U2766" i="2"/>
  <c r="C2766" i="2"/>
  <c r="U2765" i="2"/>
  <c r="C2765" i="2"/>
  <c r="U2764" i="2"/>
  <c r="C2764" i="2"/>
  <c r="U2763" i="2"/>
  <c r="C2763" i="2"/>
  <c r="U2762" i="2"/>
  <c r="C2762" i="2"/>
  <c r="U2761" i="2"/>
  <c r="C2761" i="2"/>
  <c r="U2760" i="2"/>
  <c r="C2760" i="2"/>
  <c r="U2759" i="2"/>
  <c r="C2759" i="2"/>
  <c r="U2758" i="2"/>
  <c r="C2758" i="2"/>
  <c r="U2757" i="2"/>
  <c r="C2757" i="2"/>
  <c r="U2756" i="2"/>
  <c r="C2756" i="2"/>
  <c r="U2755" i="2"/>
  <c r="C2755" i="2"/>
  <c r="U2754" i="2"/>
  <c r="C2754" i="2"/>
  <c r="U2753" i="2"/>
  <c r="C2753" i="2"/>
  <c r="U2752" i="2"/>
  <c r="C2752" i="2"/>
  <c r="U2751" i="2"/>
  <c r="C2751" i="2"/>
  <c r="U2750" i="2"/>
  <c r="C2750" i="2"/>
  <c r="U2749" i="2"/>
  <c r="C2749" i="2"/>
  <c r="U2748" i="2"/>
  <c r="C2748" i="2"/>
  <c r="U2747" i="2"/>
  <c r="C2747" i="2"/>
  <c r="U2746" i="2"/>
  <c r="C2746" i="2"/>
  <c r="U2745" i="2"/>
  <c r="C2745" i="2"/>
  <c r="U2744" i="2"/>
  <c r="C2744" i="2"/>
  <c r="U2743" i="2"/>
  <c r="C2743" i="2"/>
  <c r="U2742" i="2"/>
  <c r="C2742" i="2"/>
  <c r="U2741" i="2"/>
  <c r="C2741" i="2"/>
  <c r="U2740" i="2"/>
  <c r="C2740" i="2"/>
  <c r="U2739" i="2"/>
  <c r="C2739" i="2"/>
  <c r="U2738" i="2"/>
  <c r="C2738" i="2"/>
  <c r="U2737" i="2"/>
  <c r="C2737" i="2"/>
  <c r="U2736" i="2"/>
  <c r="C2736" i="2"/>
  <c r="U2735" i="2"/>
  <c r="C2735" i="2"/>
  <c r="U2734" i="2"/>
  <c r="C2734" i="2"/>
  <c r="U2733" i="2"/>
  <c r="C2733" i="2"/>
  <c r="U2732" i="2"/>
  <c r="C2732" i="2"/>
  <c r="U2731" i="2"/>
  <c r="C2731" i="2"/>
  <c r="U2730" i="2"/>
  <c r="C2730" i="2"/>
  <c r="U2729" i="2"/>
  <c r="C2729" i="2"/>
  <c r="U2728" i="2"/>
  <c r="C2728" i="2"/>
  <c r="U2727" i="2"/>
  <c r="C2727" i="2"/>
  <c r="U2726" i="2"/>
  <c r="C2726" i="2"/>
  <c r="U2725" i="2"/>
  <c r="C2725" i="2"/>
  <c r="U2724" i="2"/>
  <c r="C2724" i="2"/>
  <c r="U2723" i="2"/>
  <c r="C2723" i="2"/>
  <c r="U2722" i="2"/>
  <c r="C2722" i="2"/>
  <c r="U2721" i="2"/>
  <c r="C2721" i="2"/>
  <c r="U2720" i="2"/>
  <c r="C2720" i="2"/>
  <c r="U2719" i="2"/>
  <c r="C2719" i="2"/>
  <c r="U2718" i="2"/>
  <c r="C2718" i="2"/>
  <c r="U2717" i="2"/>
  <c r="C2717" i="2"/>
  <c r="U2716" i="2"/>
  <c r="C2716" i="2"/>
  <c r="U2715" i="2"/>
  <c r="C2715" i="2"/>
  <c r="U2714" i="2"/>
  <c r="C2714" i="2"/>
  <c r="U2713" i="2"/>
  <c r="C2713" i="2"/>
  <c r="U2712" i="2"/>
  <c r="C2712" i="2"/>
  <c r="U2711" i="2"/>
  <c r="C2711" i="2"/>
  <c r="U2710" i="2"/>
  <c r="C2710" i="2"/>
  <c r="U2709" i="2"/>
  <c r="C2709" i="2"/>
  <c r="U2708" i="2"/>
  <c r="C2708" i="2"/>
  <c r="U2707" i="2"/>
  <c r="C2707" i="2"/>
  <c r="U2706" i="2"/>
  <c r="C2706" i="2"/>
  <c r="U2705" i="2"/>
  <c r="C2705" i="2"/>
  <c r="U2704" i="2"/>
  <c r="C2704" i="2"/>
  <c r="U2703" i="2"/>
  <c r="C2703" i="2"/>
  <c r="U2702" i="2"/>
  <c r="C2702" i="2"/>
  <c r="U2701" i="2"/>
  <c r="C2701" i="2"/>
  <c r="U2700" i="2"/>
  <c r="C2700" i="2"/>
  <c r="U2699" i="2"/>
  <c r="C2699" i="2"/>
  <c r="U2698" i="2"/>
  <c r="C2698" i="2"/>
  <c r="U2697" i="2"/>
  <c r="C2697" i="2"/>
  <c r="U2696" i="2"/>
  <c r="C2696" i="2"/>
  <c r="U2695" i="2"/>
  <c r="C2695" i="2"/>
  <c r="U2694" i="2"/>
  <c r="C2694" i="2"/>
  <c r="U2693" i="2"/>
  <c r="C2693" i="2"/>
  <c r="U2692" i="2"/>
  <c r="C2692" i="2"/>
  <c r="U2691" i="2"/>
  <c r="C2691" i="2"/>
  <c r="U2690" i="2"/>
  <c r="C2690" i="2"/>
  <c r="U2689" i="2"/>
  <c r="C2689" i="2"/>
  <c r="U2688" i="2"/>
  <c r="C2688" i="2"/>
  <c r="U2687" i="2"/>
  <c r="C2687" i="2"/>
  <c r="U2686" i="2"/>
  <c r="C2686" i="2"/>
  <c r="U2685" i="2"/>
  <c r="C2685" i="2"/>
  <c r="U2684" i="2"/>
  <c r="C2684" i="2"/>
  <c r="U2683" i="2"/>
  <c r="C2683" i="2"/>
  <c r="U2682" i="2"/>
  <c r="C2682" i="2"/>
  <c r="U2681" i="2"/>
  <c r="C2681" i="2"/>
  <c r="U2680" i="2"/>
  <c r="C2680" i="2"/>
  <c r="U2679" i="2"/>
  <c r="C2679" i="2"/>
  <c r="U2678" i="2"/>
  <c r="C2678" i="2"/>
  <c r="U2677" i="2"/>
  <c r="C2677" i="2"/>
  <c r="U2676" i="2"/>
  <c r="C2676" i="2"/>
  <c r="U2675" i="2"/>
  <c r="C2675" i="2"/>
  <c r="U2674" i="2"/>
  <c r="C2674" i="2"/>
  <c r="U2673" i="2"/>
  <c r="C2673" i="2"/>
  <c r="U2672" i="2"/>
  <c r="C2672" i="2"/>
  <c r="U2671" i="2"/>
  <c r="C2671" i="2"/>
  <c r="U2670" i="2"/>
  <c r="C2670" i="2"/>
  <c r="U2669" i="2"/>
  <c r="C2669" i="2"/>
  <c r="U2668" i="2"/>
  <c r="C2668" i="2"/>
  <c r="U2667" i="2"/>
  <c r="C2667" i="2"/>
  <c r="U2666" i="2"/>
  <c r="C2666" i="2"/>
  <c r="U2665" i="2"/>
  <c r="C2665" i="2"/>
  <c r="U2664" i="2"/>
  <c r="C2664" i="2"/>
  <c r="U2663" i="2"/>
  <c r="C2663" i="2"/>
  <c r="U2662" i="2"/>
  <c r="C2662" i="2"/>
  <c r="U2661" i="2"/>
  <c r="C2661" i="2"/>
  <c r="U2660" i="2"/>
  <c r="C2660" i="2"/>
  <c r="U2659" i="2"/>
  <c r="C2659" i="2"/>
  <c r="U2658" i="2"/>
  <c r="C2658" i="2"/>
  <c r="U2657" i="2"/>
  <c r="C2657" i="2"/>
  <c r="U2656" i="2"/>
  <c r="C2656" i="2"/>
  <c r="U2655" i="2"/>
  <c r="C2655" i="2"/>
  <c r="U2654" i="2"/>
  <c r="C2654" i="2"/>
  <c r="U2653" i="2"/>
  <c r="C2653" i="2"/>
  <c r="U2652" i="2"/>
  <c r="C2652" i="2"/>
  <c r="U2651" i="2"/>
  <c r="C2651" i="2"/>
  <c r="U2650" i="2"/>
  <c r="C2650" i="2"/>
  <c r="U2649" i="2"/>
  <c r="C2649" i="2"/>
  <c r="U2648" i="2"/>
  <c r="C2648" i="2"/>
  <c r="U2647" i="2"/>
  <c r="C2647" i="2"/>
  <c r="U2646" i="2"/>
  <c r="C2646" i="2"/>
  <c r="U2645" i="2"/>
  <c r="C2645" i="2"/>
  <c r="U2644" i="2"/>
  <c r="C2644" i="2"/>
  <c r="U2643" i="2"/>
  <c r="C2643" i="2"/>
  <c r="U2642" i="2"/>
  <c r="C2642" i="2"/>
  <c r="U2641" i="2"/>
  <c r="C2641" i="2"/>
  <c r="U2640" i="2"/>
  <c r="C2640" i="2"/>
  <c r="U2639" i="2"/>
  <c r="C2639" i="2"/>
  <c r="U2638" i="2"/>
  <c r="C2638" i="2"/>
  <c r="U2637" i="2"/>
  <c r="C2637" i="2"/>
  <c r="U2636" i="2"/>
  <c r="C2636" i="2"/>
  <c r="U2635" i="2"/>
  <c r="C2635" i="2"/>
  <c r="U2634" i="2"/>
  <c r="C2634" i="2"/>
  <c r="U2633" i="2"/>
  <c r="C2633" i="2"/>
  <c r="U2632" i="2"/>
  <c r="C2632" i="2"/>
  <c r="U2631" i="2"/>
  <c r="C2631" i="2"/>
  <c r="U2630" i="2"/>
  <c r="C2630" i="2"/>
  <c r="U2629" i="2"/>
  <c r="C2629" i="2"/>
  <c r="U2628" i="2"/>
  <c r="C2628" i="2"/>
  <c r="U2627" i="2"/>
  <c r="C2627" i="2"/>
  <c r="U2626" i="2"/>
  <c r="C2626" i="2"/>
  <c r="U2625" i="2"/>
  <c r="C2625" i="2"/>
  <c r="U2624" i="2"/>
  <c r="C2624" i="2"/>
  <c r="U2623" i="2"/>
  <c r="C2623" i="2"/>
  <c r="U2622" i="2"/>
  <c r="C2622" i="2"/>
  <c r="U2621" i="2"/>
  <c r="C2621" i="2"/>
  <c r="U2620" i="2"/>
  <c r="C2620" i="2"/>
  <c r="U2619" i="2"/>
  <c r="C2619" i="2"/>
  <c r="U2618" i="2"/>
  <c r="C2618" i="2"/>
  <c r="U2617" i="2"/>
  <c r="C2617" i="2"/>
  <c r="U2616" i="2"/>
  <c r="C2616" i="2"/>
  <c r="U2615" i="2"/>
  <c r="C2615" i="2"/>
  <c r="U2614" i="2"/>
  <c r="C2614" i="2"/>
  <c r="U2613" i="2"/>
  <c r="C2613" i="2"/>
  <c r="U2612" i="2"/>
  <c r="C2612" i="2"/>
  <c r="U2611" i="2"/>
  <c r="C2611" i="2"/>
  <c r="U2610" i="2"/>
  <c r="C2610" i="2"/>
  <c r="U2609" i="2"/>
  <c r="C2609" i="2"/>
  <c r="U2608" i="2"/>
  <c r="C2608" i="2"/>
  <c r="U2607" i="2"/>
  <c r="C2607" i="2"/>
  <c r="U2606" i="2"/>
  <c r="C2606" i="2"/>
  <c r="U2605" i="2"/>
  <c r="C2605" i="2"/>
  <c r="U2604" i="2"/>
  <c r="C2604" i="2"/>
  <c r="U2603" i="2"/>
  <c r="C2603" i="2"/>
  <c r="U2602" i="2"/>
  <c r="C2602" i="2"/>
  <c r="U2601" i="2"/>
  <c r="C2601" i="2"/>
  <c r="U2600" i="2"/>
  <c r="C2600" i="2"/>
  <c r="U2599" i="2"/>
  <c r="C2599" i="2"/>
  <c r="U2598" i="2"/>
  <c r="C2598" i="2"/>
  <c r="U2597" i="2"/>
  <c r="C2597" i="2"/>
  <c r="U2596" i="2"/>
  <c r="C2596" i="2"/>
  <c r="U2595" i="2"/>
  <c r="C2595" i="2"/>
  <c r="U2594" i="2"/>
  <c r="C2594" i="2"/>
  <c r="U2593" i="2"/>
  <c r="C2593" i="2"/>
  <c r="U2592" i="2"/>
  <c r="C2592" i="2"/>
  <c r="U2591" i="2"/>
  <c r="C2591" i="2"/>
  <c r="U2590" i="2"/>
  <c r="C2590" i="2"/>
  <c r="U2589" i="2"/>
  <c r="C2589" i="2"/>
  <c r="U2588" i="2"/>
  <c r="C2588" i="2"/>
  <c r="U2587" i="2"/>
  <c r="C2587" i="2"/>
  <c r="U2586" i="2"/>
  <c r="C2586" i="2"/>
  <c r="U2585" i="2"/>
  <c r="C2585" i="2"/>
  <c r="U2584" i="2"/>
  <c r="C2584" i="2"/>
  <c r="U2583" i="2"/>
  <c r="C2583" i="2"/>
  <c r="U2582" i="2"/>
  <c r="C2582" i="2"/>
  <c r="U2581" i="2"/>
  <c r="C2581" i="2"/>
  <c r="U2580" i="2"/>
  <c r="C2580" i="2"/>
  <c r="U2579" i="2"/>
  <c r="C2579" i="2"/>
  <c r="U2578" i="2"/>
  <c r="C2578" i="2"/>
  <c r="U2577" i="2"/>
  <c r="C2577" i="2"/>
  <c r="U2576" i="2"/>
  <c r="C2576" i="2"/>
  <c r="U2575" i="2"/>
  <c r="C2575" i="2"/>
  <c r="U2574" i="2"/>
  <c r="C2574" i="2"/>
  <c r="U2573" i="2"/>
  <c r="C2573" i="2"/>
  <c r="U2572" i="2"/>
  <c r="C2572" i="2"/>
  <c r="U2571" i="2"/>
  <c r="C2571" i="2"/>
  <c r="U2570" i="2"/>
  <c r="C2570" i="2"/>
  <c r="U2569" i="2"/>
  <c r="C2569" i="2"/>
  <c r="U2568" i="2"/>
  <c r="C2568" i="2"/>
  <c r="U2567" i="2"/>
  <c r="C2567" i="2"/>
  <c r="U2566" i="2"/>
  <c r="C2566" i="2"/>
  <c r="U2565" i="2"/>
  <c r="C2565" i="2"/>
  <c r="U2564" i="2"/>
  <c r="C2564" i="2"/>
  <c r="U2563" i="2"/>
  <c r="C2563" i="2"/>
  <c r="U2562" i="2"/>
  <c r="C2562" i="2"/>
  <c r="U2561" i="2"/>
  <c r="C2561" i="2"/>
  <c r="U2560" i="2"/>
  <c r="C2560" i="2"/>
  <c r="U2559" i="2"/>
  <c r="C2559" i="2"/>
  <c r="U2558" i="2"/>
  <c r="C2558" i="2"/>
  <c r="U2557" i="2"/>
  <c r="C2557" i="2"/>
  <c r="U2556" i="2"/>
  <c r="C2556" i="2"/>
  <c r="U2555" i="2"/>
  <c r="C2555" i="2"/>
  <c r="U2554" i="2"/>
  <c r="C2554" i="2"/>
  <c r="U2553" i="2"/>
  <c r="C2553" i="2"/>
  <c r="U2552" i="2"/>
  <c r="C2552" i="2"/>
  <c r="U2551" i="2"/>
  <c r="C2551" i="2"/>
  <c r="U2550" i="2"/>
  <c r="C2550" i="2"/>
  <c r="U2549" i="2"/>
  <c r="C2549" i="2"/>
  <c r="U2548" i="2"/>
  <c r="C2548" i="2"/>
  <c r="U2547" i="2"/>
  <c r="C2547" i="2"/>
  <c r="U2546" i="2"/>
  <c r="C2546" i="2"/>
  <c r="U2545" i="2"/>
  <c r="C2545" i="2"/>
  <c r="U2544" i="2"/>
  <c r="C2544" i="2"/>
  <c r="U2543" i="2"/>
  <c r="C2543" i="2"/>
  <c r="U2542" i="2"/>
  <c r="C2542" i="2"/>
  <c r="U2541" i="2"/>
  <c r="C2541" i="2"/>
  <c r="U2540" i="2"/>
  <c r="C2540" i="2"/>
  <c r="U2539" i="2"/>
  <c r="C2539" i="2"/>
  <c r="U2538" i="2"/>
  <c r="C2538" i="2"/>
  <c r="U2537" i="2"/>
  <c r="C2537" i="2"/>
  <c r="U2536" i="2"/>
  <c r="C2536" i="2"/>
  <c r="U2535" i="2"/>
  <c r="C2535" i="2"/>
  <c r="U2534" i="2"/>
  <c r="C2534" i="2"/>
  <c r="U2533" i="2"/>
  <c r="C2533" i="2"/>
  <c r="U2532" i="2"/>
  <c r="C2532" i="2"/>
  <c r="U2531" i="2"/>
  <c r="C2531" i="2"/>
  <c r="U2530" i="2"/>
  <c r="C2530" i="2"/>
  <c r="U2529" i="2"/>
  <c r="C2529" i="2"/>
  <c r="U2528" i="2"/>
  <c r="C2528" i="2"/>
  <c r="U2527" i="2"/>
  <c r="C2527" i="2"/>
  <c r="U2526" i="2"/>
  <c r="C2526" i="2"/>
  <c r="U2525" i="2"/>
  <c r="C2525" i="2"/>
  <c r="U2524" i="2"/>
  <c r="C2524" i="2"/>
  <c r="U2523" i="2"/>
  <c r="C2523" i="2"/>
  <c r="U2522" i="2"/>
  <c r="C2522" i="2"/>
  <c r="U2521" i="2"/>
  <c r="C2521" i="2"/>
  <c r="U2520" i="2"/>
  <c r="C2520" i="2"/>
  <c r="U2519" i="2"/>
  <c r="C2519" i="2"/>
  <c r="U2518" i="2"/>
  <c r="C2518" i="2"/>
  <c r="U2517" i="2"/>
  <c r="C2517" i="2"/>
  <c r="U2516" i="2"/>
  <c r="C2516" i="2"/>
  <c r="U2515" i="2"/>
  <c r="C2515" i="2"/>
  <c r="U2514" i="2"/>
  <c r="C2514" i="2"/>
  <c r="U2513" i="2"/>
  <c r="C2513" i="2"/>
  <c r="U2512" i="2"/>
  <c r="C2512" i="2"/>
  <c r="U2511" i="2"/>
  <c r="C2511" i="2"/>
  <c r="U2510" i="2"/>
  <c r="C2510" i="2"/>
  <c r="U2509" i="2"/>
  <c r="C2509" i="2"/>
  <c r="U2508" i="2"/>
  <c r="C2508" i="2"/>
  <c r="U2507" i="2"/>
  <c r="C2507" i="2"/>
  <c r="U2506" i="2"/>
  <c r="C2506" i="2"/>
  <c r="U2505" i="2"/>
  <c r="C2505" i="2"/>
  <c r="U2504" i="2"/>
  <c r="C2504" i="2"/>
  <c r="U2503" i="2"/>
  <c r="C2503" i="2"/>
  <c r="U2502" i="2"/>
  <c r="C2502" i="2"/>
  <c r="U2501" i="2"/>
  <c r="C2501" i="2"/>
  <c r="U2500" i="2"/>
  <c r="C2500" i="2"/>
  <c r="U2499" i="2"/>
  <c r="C2499" i="2"/>
  <c r="U2498" i="2"/>
  <c r="C2498" i="2"/>
  <c r="U2497" i="2"/>
  <c r="C2497" i="2"/>
  <c r="U2496" i="2"/>
  <c r="C2496" i="2"/>
  <c r="U2495" i="2"/>
  <c r="C2495" i="2"/>
  <c r="U2494" i="2"/>
  <c r="C2494" i="2"/>
  <c r="U2493" i="2"/>
  <c r="C2493" i="2"/>
  <c r="U2492" i="2"/>
  <c r="C2492" i="2"/>
  <c r="U2491" i="2"/>
  <c r="C2491" i="2"/>
  <c r="U2490" i="2"/>
  <c r="C2490" i="2"/>
  <c r="U2489" i="2"/>
  <c r="C2489" i="2"/>
  <c r="U2488" i="2"/>
  <c r="C2488" i="2"/>
  <c r="U2487" i="2"/>
  <c r="C2487" i="2"/>
  <c r="U2486" i="2"/>
  <c r="C2486" i="2"/>
  <c r="U2485" i="2"/>
  <c r="C2485" i="2"/>
  <c r="U2484" i="2"/>
  <c r="C2484" i="2"/>
  <c r="U2483" i="2"/>
  <c r="C2483" i="2"/>
  <c r="U2482" i="2"/>
  <c r="C2482" i="2"/>
  <c r="U2481" i="2"/>
  <c r="C2481" i="2"/>
  <c r="U2480" i="2"/>
  <c r="C2480" i="2"/>
  <c r="U2479" i="2"/>
  <c r="C2479" i="2"/>
  <c r="U2478" i="2"/>
  <c r="C2478" i="2"/>
  <c r="U2477" i="2"/>
  <c r="C2477" i="2"/>
  <c r="U2476" i="2"/>
  <c r="C2476" i="2"/>
  <c r="U2475" i="2"/>
  <c r="C2475" i="2"/>
  <c r="U2474" i="2"/>
  <c r="C2474" i="2"/>
  <c r="U2473" i="2"/>
  <c r="C2473" i="2"/>
  <c r="U2472" i="2"/>
  <c r="C2472" i="2"/>
  <c r="U2471" i="2"/>
  <c r="C2471" i="2"/>
  <c r="U2470" i="2"/>
  <c r="C2470" i="2"/>
  <c r="U2469" i="2"/>
  <c r="C2469" i="2"/>
  <c r="U2468" i="2"/>
  <c r="C2468" i="2"/>
  <c r="U2467" i="2"/>
  <c r="C2467" i="2"/>
  <c r="U2466" i="2"/>
  <c r="C2466" i="2"/>
  <c r="U2465" i="2"/>
  <c r="C2465" i="2"/>
  <c r="U2464" i="2"/>
  <c r="C2464" i="2"/>
  <c r="U2463" i="2"/>
  <c r="C2463" i="2"/>
  <c r="U2462" i="2"/>
  <c r="C2462" i="2"/>
  <c r="U2461" i="2"/>
  <c r="C2461" i="2"/>
  <c r="U2460" i="2"/>
  <c r="C2460" i="2"/>
  <c r="U2459" i="2"/>
  <c r="C2459" i="2"/>
  <c r="U2458" i="2"/>
  <c r="C2458" i="2"/>
  <c r="U2457" i="2"/>
  <c r="C2457" i="2"/>
  <c r="U2456" i="2"/>
  <c r="C2456" i="2"/>
  <c r="U2455" i="2"/>
  <c r="C2455" i="2"/>
  <c r="U2454" i="2"/>
  <c r="C2454" i="2"/>
  <c r="U2453" i="2"/>
  <c r="C2453" i="2"/>
  <c r="U2452" i="2"/>
  <c r="C2452" i="2"/>
  <c r="U2451" i="2"/>
  <c r="C2451" i="2"/>
  <c r="U2450" i="2"/>
  <c r="C2450" i="2"/>
  <c r="U2449" i="2"/>
  <c r="C2449" i="2"/>
  <c r="U2448" i="2"/>
  <c r="C2448" i="2"/>
  <c r="U2447" i="2"/>
  <c r="C2447" i="2"/>
  <c r="U2446" i="2"/>
  <c r="C2446" i="2"/>
  <c r="U2445" i="2"/>
  <c r="C2445" i="2"/>
  <c r="U2444" i="2"/>
  <c r="C2444" i="2"/>
  <c r="U2443" i="2"/>
  <c r="C2443" i="2"/>
  <c r="U2442" i="2"/>
  <c r="C2442" i="2"/>
  <c r="U2441" i="2"/>
  <c r="C2441" i="2"/>
  <c r="U2440" i="2"/>
  <c r="C2440" i="2"/>
  <c r="U2439" i="2"/>
  <c r="C2439" i="2"/>
  <c r="U2438" i="2"/>
  <c r="C2438" i="2"/>
  <c r="U2437" i="2"/>
  <c r="C2437" i="2"/>
  <c r="U2436" i="2"/>
  <c r="C2436" i="2"/>
  <c r="U2435" i="2"/>
  <c r="C2435" i="2"/>
  <c r="U2434" i="2"/>
  <c r="C2434" i="2"/>
  <c r="U2433" i="2"/>
  <c r="C2433" i="2"/>
  <c r="U2432" i="2"/>
  <c r="C2432" i="2"/>
  <c r="U2431" i="2"/>
  <c r="C2431" i="2"/>
  <c r="U2430" i="2"/>
  <c r="C2430" i="2"/>
  <c r="U2429" i="2"/>
  <c r="C2429" i="2"/>
  <c r="U2428" i="2"/>
  <c r="C2428" i="2"/>
  <c r="U2427" i="2"/>
  <c r="C2427" i="2"/>
  <c r="U2426" i="2"/>
  <c r="C2426" i="2"/>
  <c r="U2425" i="2"/>
  <c r="C2425" i="2"/>
  <c r="U2424" i="2"/>
  <c r="C2424" i="2"/>
  <c r="U2423" i="2"/>
  <c r="C2423" i="2"/>
  <c r="U2422" i="2"/>
  <c r="C2422" i="2"/>
  <c r="U2421" i="2"/>
  <c r="C2421" i="2"/>
  <c r="U2420" i="2"/>
  <c r="C2420" i="2"/>
  <c r="U2419" i="2"/>
  <c r="C2419" i="2"/>
  <c r="U2418" i="2"/>
  <c r="C2418" i="2"/>
  <c r="U2417" i="2"/>
  <c r="C2417" i="2"/>
  <c r="U2416" i="2"/>
  <c r="C2416" i="2"/>
  <c r="U2415" i="2"/>
  <c r="C2415" i="2"/>
  <c r="U2414" i="2"/>
  <c r="C2414" i="2"/>
  <c r="U2413" i="2"/>
  <c r="C2413" i="2"/>
  <c r="U2412" i="2"/>
  <c r="C2412" i="2"/>
  <c r="U2411" i="2"/>
  <c r="C2411" i="2"/>
  <c r="U2410" i="2"/>
  <c r="C2410" i="2"/>
  <c r="U2409" i="2"/>
  <c r="C2409" i="2"/>
  <c r="U2408" i="2"/>
  <c r="C2408" i="2"/>
  <c r="U2407" i="2"/>
  <c r="C2407" i="2"/>
  <c r="U2406" i="2"/>
  <c r="C2406" i="2"/>
  <c r="U2405" i="2"/>
  <c r="C2405" i="2"/>
  <c r="U2404" i="2"/>
  <c r="C2404" i="2"/>
  <c r="U2403" i="2"/>
  <c r="C2403" i="2"/>
  <c r="U2402" i="2"/>
  <c r="C2402" i="2"/>
  <c r="U2401" i="2"/>
  <c r="C2401" i="2"/>
  <c r="U2400" i="2"/>
  <c r="C2400" i="2"/>
  <c r="U2399" i="2"/>
  <c r="C2399" i="2"/>
  <c r="U2398" i="2"/>
  <c r="C2398" i="2"/>
  <c r="U2397" i="2"/>
  <c r="C2397" i="2"/>
  <c r="U2396" i="2"/>
  <c r="C2396" i="2"/>
  <c r="U2395" i="2"/>
  <c r="C2395" i="2"/>
  <c r="U2394" i="2"/>
  <c r="C2394" i="2"/>
  <c r="U2393" i="2"/>
  <c r="C2393" i="2"/>
  <c r="U2392" i="2"/>
  <c r="C2392" i="2"/>
  <c r="U2391" i="2"/>
  <c r="C2391" i="2"/>
  <c r="U2390" i="2"/>
  <c r="C2390" i="2"/>
  <c r="U2389" i="2"/>
  <c r="C2389" i="2"/>
  <c r="U2388" i="2"/>
  <c r="C2388" i="2"/>
  <c r="U2387" i="2"/>
  <c r="C2387" i="2"/>
  <c r="U2386" i="2"/>
  <c r="C2386" i="2"/>
  <c r="U2385" i="2"/>
  <c r="C2385" i="2"/>
  <c r="U2384" i="2"/>
  <c r="C2384" i="2"/>
  <c r="U2383" i="2"/>
  <c r="C2383" i="2"/>
  <c r="U2382" i="2"/>
  <c r="C2382" i="2"/>
  <c r="U2381" i="2"/>
  <c r="C2381" i="2"/>
  <c r="U2380" i="2"/>
  <c r="C2380" i="2"/>
  <c r="U2379" i="2"/>
  <c r="C2379" i="2"/>
  <c r="U2378" i="2"/>
  <c r="C2378" i="2"/>
  <c r="U2377" i="2"/>
  <c r="C2377" i="2"/>
  <c r="U2376" i="2"/>
  <c r="C2376" i="2"/>
  <c r="U2375" i="2"/>
  <c r="C2375" i="2"/>
  <c r="U2374" i="2"/>
  <c r="C2374" i="2"/>
  <c r="U2373" i="2"/>
  <c r="C2373" i="2"/>
  <c r="U2372" i="2"/>
  <c r="C2372" i="2"/>
  <c r="U2371" i="2"/>
  <c r="C2371" i="2"/>
  <c r="U2370" i="2"/>
  <c r="C2370" i="2"/>
  <c r="U2369" i="2"/>
  <c r="C2369" i="2"/>
  <c r="U2368" i="2"/>
  <c r="C2368" i="2"/>
  <c r="U2367" i="2"/>
  <c r="C2367" i="2"/>
  <c r="U2366" i="2"/>
  <c r="C2366" i="2"/>
  <c r="U2365" i="2"/>
  <c r="C2365" i="2"/>
  <c r="U2364" i="2"/>
  <c r="C2364" i="2"/>
  <c r="U2363" i="2"/>
  <c r="C2363" i="2"/>
  <c r="U2362" i="2"/>
  <c r="C2362" i="2"/>
  <c r="U2361" i="2"/>
  <c r="C2361" i="2"/>
  <c r="U2360" i="2"/>
  <c r="C2360" i="2"/>
  <c r="U2359" i="2"/>
  <c r="C2359" i="2"/>
  <c r="U2358" i="2"/>
  <c r="C2358" i="2"/>
  <c r="U2357" i="2"/>
  <c r="C2357" i="2"/>
  <c r="U2356" i="2"/>
  <c r="C2356" i="2"/>
  <c r="U2355" i="2"/>
  <c r="C2355" i="2"/>
  <c r="U2354" i="2"/>
  <c r="C2354" i="2"/>
  <c r="U2353" i="2"/>
  <c r="C2353" i="2"/>
  <c r="U2352" i="2"/>
  <c r="C2352" i="2"/>
  <c r="U2351" i="2"/>
  <c r="C2351" i="2"/>
  <c r="U2350" i="2"/>
  <c r="C2350" i="2"/>
  <c r="U2349" i="2"/>
  <c r="C2349" i="2"/>
  <c r="U2348" i="2"/>
  <c r="C2348" i="2"/>
  <c r="U2347" i="2"/>
  <c r="C2347" i="2"/>
  <c r="U2346" i="2"/>
  <c r="C2346" i="2"/>
  <c r="U2345" i="2"/>
  <c r="C2345" i="2"/>
  <c r="U2344" i="2"/>
  <c r="C2344" i="2"/>
  <c r="U2343" i="2"/>
  <c r="C2343" i="2"/>
  <c r="U2342" i="2"/>
  <c r="C2342" i="2"/>
  <c r="U2341" i="2"/>
  <c r="C2341" i="2"/>
  <c r="U2340" i="2"/>
  <c r="C2340" i="2"/>
  <c r="U2339" i="2"/>
  <c r="C2339" i="2"/>
  <c r="U2338" i="2"/>
  <c r="C2338" i="2"/>
  <c r="U2337" i="2"/>
  <c r="C2337" i="2"/>
  <c r="U2336" i="2"/>
  <c r="C2336" i="2"/>
  <c r="U2335" i="2"/>
  <c r="C2335" i="2"/>
  <c r="U2334" i="2"/>
  <c r="C2334" i="2"/>
  <c r="U2333" i="2"/>
  <c r="C2333" i="2"/>
  <c r="U2332" i="2"/>
  <c r="C2332" i="2"/>
  <c r="U2331" i="2"/>
  <c r="C2331" i="2"/>
  <c r="U2330" i="2"/>
  <c r="C2330" i="2"/>
  <c r="U2329" i="2"/>
  <c r="C2329" i="2"/>
  <c r="U2328" i="2"/>
  <c r="C2328" i="2"/>
  <c r="U2327" i="2"/>
  <c r="C2327" i="2"/>
  <c r="U2326" i="2"/>
  <c r="C2326" i="2"/>
  <c r="U2325" i="2"/>
  <c r="C2325" i="2"/>
  <c r="U2324" i="2"/>
  <c r="C2324" i="2"/>
  <c r="U2323" i="2"/>
  <c r="C2323" i="2"/>
  <c r="U2322" i="2"/>
  <c r="C2322" i="2"/>
  <c r="U2321" i="2"/>
  <c r="C2321" i="2"/>
  <c r="U2320" i="2"/>
  <c r="C2320" i="2"/>
  <c r="U2319" i="2"/>
  <c r="C2319" i="2"/>
  <c r="U2318" i="2"/>
  <c r="C2318" i="2"/>
  <c r="U2317" i="2"/>
  <c r="C2317" i="2"/>
  <c r="U2316" i="2"/>
  <c r="C2316" i="2"/>
  <c r="U2315" i="2"/>
  <c r="C2315" i="2"/>
  <c r="U2314" i="2"/>
  <c r="C2314" i="2"/>
  <c r="U2313" i="2"/>
  <c r="C2313" i="2"/>
  <c r="U2312" i="2"/>
  <c r="C2312" i="2"/>
  <c r="U2311" i="2"/>
  <c r="C2311" i="2"/>
  <c r="U2310" i="2"/>
  <c r="C2310" i="2"/>
  <c r="U2309" i="2"/>
  <c r="C2309" i="2"/>
  <c r="U2308" i="2"/>
  <c r="C2308" i="2"/>
  <c r="U2307" i="2"/>
  <c r="C2307" i="2"/>
  <c r="U2306" i="2"/>
  <c r="C2306" i="2"/>
  <c r="U2305" i="2"/>
  <c r="C2305" i="2"/>
  <c r="U2304" i="2"/>
  <c r="C2304" i="2"/>
  <c r="U2303" i="2"/>
  <c r="C2303" i="2"/>
  <c r="U2302" i="2"/>
  <c r="C2302" i="2"/>
  <c r="U2301" i="2"/>
  <c r="C2301" i="2"/>
  <c r="U2300" i="2"/>
  <c r="C2300" i="2"/>
  <c r="U2299" i="2"/>
  <c r="C2299" i="2"/>
  <c r="U2298" i="2"/>
  <c r="C2298" i="2"/>
  <c r="U2297" i="2"/>
  <c r="C2297" i="2"/>
  <c r="U2296" i="2"/>
  <c r="C2296" i="2"/>
  <c r="U2295" i="2"/>
  <c r="C2295" i="2"/>
  <c r="U2294" i="2"/>
  <c r="C2294" i="2"/>
  <c r="U2293" i="2"/>
  <c r="C2293" i="2"/>
  <c r="U2292" i="2"/>
  <c r="C2292" i="2"/>
  <c r="U2291" i="2"/>
  <c r="C2291" i="2"/>
  <c r="U2290" i="2"/>
  <c r="C2290" i="2"/>
  <c r="U2289" i="2"/>
  <c r="C2289" i="2"/>
  <c r="U2288" i="2"/>
  <c r="C2288" i="2"/>
  <c r="U2287" i="2"/>
  <c r="C2287" i="2"/>
  <c r="U2286" i="2"/>
  <c r="C2286" i="2"/>
  <c r="U2285" i="2"/>
  <c r="C2285" i="2"/>
  <c r="U2284" i="2"/>
  <c r="C2284" i="2"/>
  <c r="U2283" i="2"/>
  <c r="C2283" i="2"/>
  <c r="U2282" i="2"/>
  <c r="C2282" i="2"/>
  <c r="U2281" i="2"/>
  <c r="C2281" i="2"/>
  <c r="U2280" i="2"/>
  <c r="C2280" i="2"/>
  <c r="U2279" i="2"/>
  <c r="C2279" i="2"/>
  <c r="U2278" i="2"/>
  <c r="C2278" i="2"/>
  <c r="U2277" i="2"/>
  <c r="C2277" i="2"/>
  <c r="U2276" i="2"/>
  <c r="C2276" i="2"/>
  <c r="U2275" i="2"/>
  <c r="C2275" i="2"/>
  <c r="U2274" i="2"/>
  <c r="C2274" i="2"/>
  <c r="U2273" i="2"/>
  <c r="C2273" i="2"/>
  <c r="U2272" i="2"/>
  <c r="C2272" i="2"/>
  <c r="U2271" i="2"/>
  <c r="C2271" i="2"/>
  <c r="U2270" i="2"/>
  <c r="C2270" i="2"/>
  <c r="U2269" i="2"/>
  <c r="C2269" i="2"/>
  <c r="U2268" i="2"/>
  <c r="C2268" i="2"/>
  <c r="U2267" i="2"/>
  <c r="C2267" i="2"/>
  <c r="U2266" i="2"/>
  <c r="C2266" i="2"/>
  <c r="U2265" i="2"/>
  <c r="C2265" i="2"/>
  <c r="U2264" i="2"/>
  <c r="C2264" i="2"/>
  <c r="U2263" i="2"/>
  <c r="C2263" i="2"/>
  <c r="U2262" i="2"/>
  <c r="C2262" i="2"/>
  <c r="U2261" i="2"/>
  <c r="C2261" i="2"/>
  <c r="U2260" i="2"/>
  <c r="C2260" i="2"/>
  <c r="U2259" i="2"/>
  <c r="C2259" i="2"/>
  <c r="U2258" i="2"/>
  <c r="C2258" i="2"/>
  <c r="U2257" i="2"/>
  <c r="C2257" i="2"/>
  <c r="U2256" i="2"/>
  <c r="C2256" i="2"/>
  <c r="U2255" i="2"/>
  <c r="C2255" i="2"/>
  <c r="U2254" i="2"/>
  <c r="C2254" i="2"/>
  <c r="U2253" i="2"/>
  <c r="C2253" i="2"/>
  <c r="U2252" i="2"/>
  <c r="C2252" i="2"/>
  <c r="U2251" i="2"/>
  <c r="C2251" i="2"/>
  <c r="U2250" i="2"/>
  <c r="C2250" i="2"/>
  <c r="U2249" i="2"/>
  <c r="C2249" i="2"/>
  <c r="U2248" i="2"/>
  <c r="C2248" i="2"/>
  <c r="U2247" i="2"/>
  <c r="C2247" i="2"/>
  <c r="U2246" i="2"/>
  <c r="C2246" i="2"/>
  <c r="U2245" i="2"/>
  <c r="C2245" i="2"/>
  <c r="U2244" i="2"/>
  <c r="C2244" i="2"/>
  <c r="U2243" i="2"/>
  <c r="C2243" i="2"/>
  <c r="U2242" i="2"/>
  <c r="C2242" i="2"/>
  <c r="U2241" i="2"/>
  <c r="C2241" i="2"/>
  <c r="U2240" i="2"/>
  <c r="C2240" i="2"/>
  <c r="U2239" i="2"/>
  <c r="C2239" i="2"/>
  <c r="U2238" i="2"/>
  <c r="C2238" i="2"/>
  <c r="U2237" i="2"/>
  <c r="C2237" i="2"/>
  <c r="U2236" i="2"/>
  <c r="C2236" i="2"/>
  <c r="U2235" i="2"/>
  <c r="C2235" i="2"/>
  <c r="U2234" i="2"/>
  <c r="C2234" i="2"/>
  <c r="U2233" i="2"/>
  <c r="C2233" i="2"/>
  <c r="U2232" i="2"/>
  <c r="C2232" i="2"/>
  <c r="U2231" i="2"/>
  <c r="C2231" i="2"/>
  <c r="U2230" i="2"/>
  <c r="C2230" i="2"/>
  <c r="U2229" i="2"/>
  <c r="C2229" i="2"/>
  <c r="U2228" i="2"/>
  <c r="C2228" i="2"/>
  <c r="U2227" i="2"/>
  <c r="C2227" i="2"/>
  <c r="U2226" i="2"/>
  <c r="C2226" i="2"/>
  <c r="U2225" i="2"/>
  <c r="C2225" i="2"/>
  <c r="U2224" i="2"/>
  <c r="C2224" i="2"/>
  <c r="U2223" i="2"/>
  <c r="C2223" i="2"/>
  <c r="U2222" i="2"/>
  <c r="C2222" i="2"/>
  <c r="U2221" i="2"/>
  <c r="C2221" i="2"/>
  <c r="U2220" i="2"/>
  <c r="C2220" i="2"/>
  <c r="U2219" i="2"/>
  <c r="C2219" i="2"/>
  <c r="U2218" i="2"/>
  <c r="C2218" i="2"/>
  <c r="U2217" i="2"/>
  <c r="C2217" i="2"/>
  <c r="U2216" i="2"/>
  <c r="C2216" i="2"/>
  <c r="U2215" i="2"/>
  <c r="C2215" i="2"/>
  <c r="U2214" i="2"/>
  <c r="C2214" i="2"/>
  <c r="U2213" i="2"/>
  <c r="C2213" i="2"/>
  <c r="U2212" i="2"/>
  <c r="C2212" i="2"/>
  <c r="U2211" i="2"/>
  <c r="C2211" i="2"/>
  <c r="U2210" i="2"/>
  <c r="C2210" i="2"/>
  <c r="U2209" i="2"/>
  <c r="C2209" i="2"/>
  <c r="U2208" i="2"/>
  <c r="C2208" i="2"/>
  <c r="U2207" i="2"/>
  <c r="C2207" i="2"/>
  <c r="U2206" i="2"/>
  <c r="C2206" i="2"/>
  <c r="U2205" i="2"/>
  <c r="C2205" i="2"/>
  <c r="U2204" i="2"/>
  <c r="C2204" i="2"/>
  <c r="U2203" i="2"/>
  <c r="C2203" i="2"/>
  <c r="U2202" i="2"/>
  <c r="C2202" i="2"/>
  <c r="U2201" i="2"/>
  <c r="C2201" i="2"/>
  <c r="U2200" i="2"/>
  <c r="C2200" i="2"/>
  <c r="U2199" i="2"/>
  <c r="C2199" i="2"/>
  <c r="U2198" i="2"/>
  <c r="C2198" i="2"/>
  <c r="U2197" i="2"/>
  <c r="C2197" i="2"/>
  <c r="U2196" i="2"/>
  <c r="C2196" i="2"/>
  <c r="U2195" i="2"/>
  <c r="C2195" i="2"/>
  <c r="U2194" i="2"/>
  <c r="C2194" i="2"/>
  <c r="U2193" i="2"/>
  <c r="C2193" i="2"/>
  <c r="U2192" i="2"/>
  <c r="C2192" i="2"/>
  <c r="U2191" i="2"/>
  <c r="C2191" i="2"/>
  <c r="U2190" i="2"/>
  <c r="C2190" i="2"/>
  <c r="U2189" i="2"/>
  <c r="C2189" i="2"/>
  <c r="U2188" i="2"/>
  <c r="C2188" i="2"/>
  <c r="U2187" i="2"/>
  <c r="C2187" i="2"/>
  <c r="U2186" i="2"/>
  <c r="C2186" i="2"/>
  <c r="U2185" i="2"/>
  <c r="C2185" i="2"/>
  <c r="U2184" i="2"/>
  <c r="C2184" i="2"/>
  <c r="U2183" i="2"/>
  <c r="C2183" i="2"/>
  <c r="U2182" i="2"/>
  <c r="C2182" i="2"/>
  <c r="U2181" i="2"/>
  <c r="C2181" i="2"/>
  <c r="U2180" i="2"/>
  <c r="C2180" i="2"/>
  <c r="U2179" i="2"/>
  <c r="C2179" i="2"/>
  <c r="U2178" i="2"/>
  <c r="C2178" i="2"/>
  <c r="U2177" i="2"/>
  <c r="C2177" i="2"/>
  <c r="U2176" i="2"/>
  <c r="C2176" i="2"/>
  <c r="U2175" i="2"/>
  <c r="C2175" i="2"/>
  <c r="U2174" i="2"/>
  <c r="C2174" i="2"/>
  <c r="U2173" i="2"/>
  <c r="C2173" i="2"/>
  <c r="U2172" i="2"/>
  <c r="C2172" i="2"/>
  <c r="U2171" i="2"/>
  <c r="C2171" i="2"/>
  <c r="U2170" i="2"/>
  <c r="C2170" i="2"/>
  <c r="U2169" i="2"/>
  <c r="C2169" i="2"/>
  <c r="U2168" i="2"/>
  <c r="C2168" i="2"/>
  <c r="U2167" i="2"/>
  <c r="C2167" i="2"/>
  <c r="U2166" i="2"/>
  <c r="C2166" i="2"/>
  <c r="U2165" i="2"/>
  <c r="C2165" i="2"/>
  <c r="U2164" i="2"/>
  <c r="C2164" i="2"/>
  <c r="U2163" i="2"/>
  <c r="C2163" i="2"/>
  <c r="U2162" i="2"/>
  <c r="C2162" i="2"/>
  <c r="U2161" i="2"/>
  <c r="C2161" i="2"/>
  <c r="U2160" i="2"/>
  <c r="C2160" i="2"/>
  <c r="U2159" i="2"/>
  <c r="C2159" i="2"/>
  <c r="U2158" i="2"/>
  <c r="C2158" i="2"/>
  <c r="U2157" i="2"/>
  <c r="C2157" i="2"/>
  <c r="U2156" i="2"/>
  <c r="C2156" i="2"/>
  <c r="U2155" i="2"/>
  <c r="C2155" i="2"/>
  <c r="U2154" i="2"/>
  <c r="C2154" i="2"/>
  <c r="U2153" i="2"/>
  <c r="C2153" i="2"/>
  <c r="U2152" i="2"/>
  <c r="C2152" i="2"/>
  <c r="U2151" i="2"/>
  <c r="C2151" i="2"/>
  <c r="U2150" i="2"/>
  <c r="C2150" i="2"/>
  <c r="U2149" i="2"/>
  <c r="C2149" i="2"/>
  <c r="U2148" i="2"/>
  <c r="C2148" i="2"/>
  <c r="U2147" i="2"/>
  <c r="C2147" i="2"/>
  <c r="U2146" i="2"/>
  <c r="C2146" i="2"/>
  <c r="U2145" i="2"/>
  <c r="C2145" i="2"/>
  <c r="U2144" i="2"/>
  <c r="C2144" i="2"/>
  <c r="U2143" i="2"/>
  <c r="C2143" i="2"/>
  <c r="U2142" i="2"/>
  <c r="C2142" i="2"/>
  <c r="U2141" i="2"/>
  <c r="C2141" i="2"/>
  <c r="U2140" i="2"/>
  <c r="C2140" i="2"/>
  <c r="U2139" i="2"/>
  <c r="C2139" i="2"/>
  <c r="U2138" i="2"/>
  <c r="C2138" i="2"/>
  <c r="U2137" i="2"/>
  <c r="C2137" i="2"/>
  <c r="U2136" i="2"/>
  <c r="C2136" i="2"/>
  <c r="U2135" i="2"/>
  <c r="C2135" i="2"/>
  <c r="U2134" i="2"/>
  <c r="C2134" i="2"/>
  <c r="U2133" i="2"/>
  <c r="C2133" i="2"/>
  <c r="U2132" i="2"/>
  <c r="C2132" i="2"/>
  <c r="U2131" i="2"/>
  <c r="C2131" i="2"/>
  <c r="U2130" i="2"/>
  <c r="C2130" i="2"/>
  <c r="U2129" i="2"/>
  <c r="C2129" i="2"/>
  <c r="U2128" i="2"/>
  <c r="C2128" i="2"/>
  <c r="U2127" i="2"/>
  <c r="C2127" i="2"/>
  <c r="U2126" i="2"/>
  <c r="C2126" i="2"/>
  <c r="U2125" i="2"/>
  <c r="C2125" i="2"/>
  <c r="U2124" i="2"/>
  <c r="C2124" i="2"/>
  <c r="U2123" i="2"/>
  <c r="C2123" i="2"/>
  <c r="U2122" i="2"/>
  <c r="C2122" i="2"/>
  <c r="U2121" i="2"/>
  <c r="C2121" i="2"/>
  <c r="U2120" i="2"/>
  <c r="C2120" i="2"/>
  <c r="U2119" i="2"/>
  <c r="C2119" i="2"/>
  <c r="U2118" i="2"/>
  <c r="C2118" i="2"/>
  <c r="U2117" i="2"/>
  <c r="C2117" i="2"/>
  <c r="U2116" i="2"/>
  <c r="C2116" i="2"/>
  <c r="U2115" i="2"/>
  <c r="C2115" i="2"/>
  <c r="U2114" i="2"/>
  <c r="C2114" i="2"/>
  <c r="U2113" i="2"/>
  <c r="C2113" i="2"/>
  <c r="U2112" i="2"/>
  <c r="C2112" i="2"/>
  <c r="U2111" i="2"/>
  <c r="C2111" i="2"/>
  <c r="U2110" i="2"/>
  <c r="C2110" i="2"/>
  <c r="U2109" i="2"/>
  <c r="C2109" i="2"/>
  <c r="U2108" i="2"/>
  <c r="C2108" i="2"/>
  <c r="U2107" i="2"/>
  <c r="C2107" i="2"/>
  <c r="U2106" i="2"/>
  <c r="C2106" i="2"/>
  <c r="U2105" i="2"/>
  <c r="C2105" i="2"/>
  <c r="U2104" i="2"/>
  <c r="C2104" i="2"/>
  <c r="U2103" i="2"/>
  <c r="C2103" i="2"/>
  <c r="U2102" i="2"/>
  <c r="C2102" i="2"/>
  <c r="U2101" i="2"/>
  <c r="C2101" i="2"/>
  <c r="U2100" i="2"/>
  <c r="C2100" i="2"/>
  <c r="U2099" i="2"/>
  <c r="C2099" i="2"/>
  <c r="U2098" i="2"/>
  <c r="C2098" i="2"/>
  <c r="U2097" i="2"/>
  <c r="C2097" i="2"/>
  <c r="U2096" i="2"/>
  <c r="C2096" i="2"/>
  <c r="U2095" i="2"/>
  <c r="C2095" i="2"/>
  <c r="U2094" i="2"/>
  <c r="C2094" i="2"/>
  <c r="U2093" i="2"/>
  <c r="C2093" i="2"/>
  <c r="U2092" i="2"/>
  <c r="C2092" i="2"/>
  <c r="U2091" i="2"/>
  <c r="C2091" i="2"/>
  <c r="U2090" i="2"/>
  <c r="C2090" i="2"/>
  <c r="U2089" i="2"/>
  <c r="C2089" i="2"/>
  <c r="U2088" i="2"/>
  <c r="C2088" i="2"/>
  <c r="U2087" i="2"/>
  <c r="C2087" i="2"/>
  <c r="U2086" i="2"/>
  <c r="C2086" i="2"/>
  <c r="U2085" i="2"/>
  <c r="C2085" i="2"/>
  <c r="U2084" i="2"/>
  <c r="C2084" i="2"/>
  <c r="U2083" i="2"/>
  <c r="C2083" i="2"/>
  <c r="U2082" i="2"/>
  <c r="C2082" i="2"/>
  <c r="U2081" i="2"/>
  <c r="C2081" i="2"/>
  <c r="U2080" i="2"/>
  <c r="C2080" i="2"/>
  <c r="U2079" i="2"/>
  <c r="C2079" i="2"/>
  <c r="U2078" i="2"/>
  <c r="C2078" i="2"/>
  <c r="U2077" i="2"/>
  <c r="C2077" i="2"/>
  <c r="U2076" i="2"/>
  <c r="C2076" i="2"/>
  <c r="U2075" i="2"/>
  <c r="C2075" i="2"/>
  <c r="U2074" i="2"/>
  <c r="C2074" i="2"/>
  <c r="U2073" i="2"/>
  <c r="C2073" i="2"/>
  <c r="U2072" i="2"/>
  <c r="C2072" i="2"/>
  <c r="U2071" i="2"/>
  <c r="C2071" i="2"/>
  <c r="U2070" i="2"/>
  <c r="C2070" i="2"/>
  <c r="U2069" i="2"/>
  <c r="C2069" i="2"/>
  <c r="U2068" i="2"/>
  <c r="C2068" i="2"/>
  <c r="U2067" i="2"/>
  <c r="C2067" i="2"/>
  <c r="U2066" i="2"/>
  <c r="C2066" i="2"/>
  <c r="U2065" i="2"/>
  <c r="C2065" i="2"/>
  <c r="U2064" i="2"/>
  <c r="C2064" i="2"/>
  <c r="U2063" i="2"/>
  <c r="C2063" i="2"/>
  <c r="U2062" i="2"/>
  <c r="C2062" i="2"/>
  <c r="U2061" i="2"/>
  <c r="C2061" i="2"/>
  <c r="U2060" i="2"/>
  <c r="C2060" i="2"/>
  <c r="U2059" i="2"/>
  <c r="C2059" i="2"/>
  <c r="U2058" i="2"/>
  <c r="C2058" i="2"/>
  <c r="U2057" i="2"/>
  <c r="C2057" i="2"/>
  <c r="U2056" i="2"/>
  <c r="C2056" i="2"/>
  <c r="U2055" i="2"/>
  <c r="C2055" i="2"/>
  <c r="U2054" i="2"/>
  <c r="C2054" i="2"/>
  <c r="U2053" i="2"/>
  <c r="C2053" i="2"/>
  <c r="U2052" i="2"/>
  <c r="C2052" i="2"/>
  <c r="U2051" i="2"/>
  <c r="C2051" i="2"/>
  <c r="U2050" i="2"/>
  <c r="C2050" i="2"/>
  <c r="U2049" i="2"/>
  <c r="C2049" i="2"/>
  <c r="U2048" i="2"/>
  <c r="C2048" i="2"/>
  <c r="U2047" i="2"/>
  <c r="C2047" i="2"/>
  <c r="U2046" i="2"/>
  <c r="C2046" i="2"/>
  <c r="U2045" i="2"/>
  <c r="C2045" i="2"/>
  <c r="U2044" i="2"/>
  <c r="C2044" i="2"/>
  <c r="U2043" i="2"/>
  <c r="C2043" i="2"/>
  <c r="U2042" i="2"/>
  <c r="C2042" i="2"/>
  <c r="U2041" i="2"/>
  <c r="C2041" i="2"/>
  <c r="U2040" i="2"/>
  <c r="C2040" i="2"/>
  <c r="U2039" i="2"/>
  <c r="C2039" i="2"/>
  <c r="U2038" i="2"/>
  <c r="C2038" i="2"/>
  <c r="U2037" i="2"/>
  <c r="C2037" i="2"/>
  <c r="U2036" i="2"/>
  <c r="C2036" i="2"/>
  <c r="U2035" i="2"/>
  <c r="C2035" i="2"/>
  <c r="U2034" i="2"/>
  <c r="C2034" i="2"/>
  <c r="U2033" i="2"/>
  <c r="C2033" i="2"/>
  <c r="U2032" i="2"/>
  <c r="C2032" i="2"/>
  <c r="U2031" i="2"/>
  <c r="C2031" i="2"/>
  <c r="U2030" i="2"/>
  <c r="C2030" i="2"/>
  <c r="U2029" i="2"/>
  <c r="C2029" i="2"/>
  <c r="U2028" i="2"/>
  <c r="C2028" i="2"/>
  <c r="U2027" i="2"/>
  <c r="C2027" i="2"/>
  <c r="U2026" i="2"/>
  <c r="C2026" i="2"/>
  <c r="U2025" i="2"/>
  <c r="C2025" i="2"/>
  <c r="U2024" i="2"/>
  <c r="C2024" i="2"/>
  <c r="U2023" i="2"/>
  <c r="C2023" i="2"/>
  <c r="U2022" i="2"/>
  <c r="C2022" i="2"/>
  <c r="U2021" i="2"/>
  <c r="C2021" i="2"/>
  <c r="U2020" i="2"/>
  <c r="C2020" i="2"/>
  <c r="U2019" i="2"/>
  <c r="C2019" i="2"/>
  <c r="U2018" i="2"/>
  <c r="C2018" i="2"/>
  <c r="U2017" i="2"/>
  <c r="C2017" i="2"/>
  <c r="U2016" i="2"/>
  <c r="C2016" i="2"/>
  <c r="U2015" i="2"/>
  <c r="C2015" i="2"/>
  <c r="U2014" i="2"/>
  <c r="C2014" i="2"/>
  <c r="U2013" i="2"/>
  <c r="C2013" i="2"/>
  <c r="U2012" i="2"/>
  <c r="C2012" i="2"/>
  <c r="U2011" i="2"/>
  <c r="C2011" i="2"/>
  <c r="U2010" i="2"/>
  <c r="C2010" i="2"/>
  <c r="U2009" i="2"/>
  <c r="C2009" i="2"/>
  <c r="U2008" i="2"/>
  <c r="C2008" i="2"/>
  <c r="U2007" i="2"/>
  <c r="C2007" i="2"/>
  <c r="U2006" i="2"/>
  <c r="C2006" i="2"/>
  <c r="U2005" i="2"/>
  <c r="C2005" i="2"/>
  <c r="U2004" i="2"/>
  <c r="C2004" i="2"/>
  <c r="U2003" i="2"/>
  <c r="C2003" i="2"/>
  <c r="U2002" i="2"/>
  <c r="C2002" i="2"/>
  <c r="U2001" i="2"/>
  <c r="C2001" i="2"/>
  <c r="U2000" i="2"/>
  <c r="C2000" i="2"/>
  <c r="U1999" i="2"/>
  <c r="C1999" i="2"/>
  <c r="U1998" i="2"/>
  <c r="C1998" i="2"/>
  <c r="U1997" i="2"/>
  <c r="C1997" i="2"/>
  <c r="U1996" i="2"/>
  <c r="C1996" i="2"/>
  <c r="U1995" i="2"/>
  <c r="C1995" i="2"/>
  <c r="U1994" i="2"/>
  <c r="C1994" i="2"/>
  <c r="U1993" i="2"/>
  <c r="C1993" i="2"/>
  <c r="U1992" i="2"/>
  <c r="C1992" i="2"/>
  <c r="U1991" i="2"/>
  <c r="C1991" i="2"/>
  <c r="U1990" i="2"/>
  <c r="C1990" i="2"/>
  <c r="U1989" i="2"/>
  <c r="C1989" i="2"/>
  <c r="U1988" i="2"/>
  <c r="C1988" i="2"/>
  <c r="U1987" i="2"/>
  <c r="C1987" i="2"/>
  <c r="U1986" i="2"/>
  <c r="C1986" i="2"/>
  <c r="U1985" i="2"/>
  <c r="C1985" i="2"/>
  <c r="U1984" i="2"/>
  <c r="C1984" i="2"/>
  <c r="U1983" i="2"/>
  <c r="C1983" i="2"/>
  <c r="U1982" i="2"/>
  <c r="C1982" i="2"/>
  <c r="U1981" i="2"/>
  <c r="C1981" i="2"/>
  <c r="U1980" i="2"/>
  <c r="C1980" i="2"/>
  <c r="U1979" i="2"/>
  <c r="C1979" i="2"/>
  <c r="U1978" i="2"/>
  <c r="C1978" i="2"/>
  <c r="U1977" i="2"/>
  <c r="C1977" i="2"/>
  <c r="U1976" i="2"/>
  <c r="C1976" i="2"/>
  <c r="U1975" i="2"/>
  <c r="C1975" i="2"/>
  <c r="U1974" i="2"/>
  <c r="C1974" i="2"/>
  <c r="U1973" i="2"/>
  <c r="C1973" i="2"/>
  <c r="U1972" i="2"/>
  <c r="C1972" i="2"/>
  <c r="U1971" i="2"/>
  <c r="C1971" i="2"/>
  <c r="U1970" i="2"/>
  <c r="C1970" i="2"/>
  <c r="U1969" i="2"/>
  <c r="C1969" i="2"/>
  <c r="U1968" i="2"/>
  <c r="C1968" i="2"/>
  <c r="U1967" i="2"/>
  <c r="C1967" i="2"/>
  <c r="U1966" i="2"/>
  <c r="C1966" i="2"/>
  <c r="U1965" i="2"/>
  <c r="C1965" i="2"/>
  <c r="U1964" i="2"/>
  <c r="C1964" i="2"/>
  <c r="U1963" i="2"/>
  <c r="C1963" i="2"/>
  <c r="U1962" i="2"/>
  <c r="C1962" i="2"/>
  <c r="U1961" i="2"/>
  <c r="C1961" i="2"/>
  <c r="U1960" i="2"/>
  <c r="C1960" i="2"/>
  <c r="U1959" i="2"/>
  <c r="C1959" i="2"/>
  <c r="U1958" i="2"/>
  <c r="C1958" i="2"/>
  <c r="U1957" i="2"/>
  <c r="C1957" i="2"/>
  <c r="U1956" i="2"/>
  <c r="C1956" i="2"/>
  <c r="U1955" i="2"/>
  <c r="C1955" i="2"/>
  <c r="U1954" i="2"/>
  <c r="C1954" i="2"/>
  <c r="U1953" i="2"/>
  <c r="C1953" i="2"/>
  <c r="U1952" i="2"/>
  <c r="C1952" i="2"/>
  <c r="U1951" i="2"/>
  <c r="C1951" i="2"/>
  <c r="U1950" i="2"/>
  <c r="C1950" i="2"/>
  <c r="U1949" i="2"/>
  <c r="C1949" i="2"/>
  <c r="U1948" i="2"/>
  <c r="C1948" i="2"/>
  <c r="U1947" i="2"/>
  <c r="C1947" i="2"/>
  <c r="U1946" i="2"/>
  <c r="C1946" i="2"/>
  <c r="U1945" i="2"/>
  <c r="C1945" i="2"/>
  <c r="U1944" i="2"/>
  <c r="C1944" i="2"/>
  <c r="U1943" i="2"/>
  <c r="C1943" i="2"/>
  <c r="U1942" i="2"/>
  <c r="C1942" i="2"/>
  <c r="U1941" i="2"/>
  <c r="C1941" i="2"/>
  <c r="U1940" i="2"/>
  <c r="C1940" i="2"/>
  <c r="U1939" i="2"/>
  <c r="C1939" i="2"/>
  <c r="U1938" i="2"/>
  <c r="C1938" i="2"/>
  <c r="U1937" i="2"/>
  <c r="C1937" i="2"/>
  <c r="U1936" i="2"/>
  <c r="C1936" i="2"/>
  <c r="U1935" i="2"/>
  <c r="C1935" i="2"/>
  <c r="U1934" i="2"/>
  <c r="C1934" i="2"/>
  <c r="U1933" i="2"/>
  <c r="C1933" i="2"/>
  <c r="U1932" i="2"/>
  <c r="C1932" i="2"/>
  <c r="U1931" i="2"/>
  <c r="C1931" i="2"/>
  <c r="U1930" i="2"/>
  <c r="C1930" i="2"/>
  <c r="U1929" i="2"/>
  <c r="C1929" i="2"/>
  <c r="U1928" i="2"/>
  <c r="C1928" i="2"/>
  <c r="U1927" i="2"/>
  <c r="C1927" i="2"/>
  <c r="U1926" i="2"/>
  <c r="C1926" i="2"/>
  <c r="U1925" i="2"/>
  <c r="C1925" i="2"/>
  <c r="U1924" i="2"/>
  <c r="C1924" i="2"/>
  <c r="U1923" i="2"/>
  <c r="C1923" i="2"/>
  <c r="U1922" i="2"/>
  <c r="C1922" i="2"/>
  <c r="U1921" i="2"/>
  <c r="C1921" i="2"/>
  <c r="U1920" i="2"/>
  <c r="C1920" i="2"/>
  <c r="U1919" i="2"/>
  <c r="C1919" i="2"/>
  <c r="U1918" i="2"/>
  <c r="C1918" i="2"/>
  <c r="U1917" i="2"/>
  <c r="C1917" i="2"/>
  <c r="U1916" i="2"/>
  <c r="C1916" i="2"/>
  <c r="U1915" i="2"/>
  <c r="C1915" i="2"/>
  <c r="U1914" i="2"/>
  <c r="C1914" i="2"/>
  <c r="U1913" i="2"/>
  <c r="C1913" i="2"/>
  <c r="U1912" i="2"/>
  <c r="C1912" i="2"/>
  <c r="U1911" i="2"/>
  <c r="C1911" i="2"/>
  <c r="U1910" i="2"/>
  <c r="C1910" i="2"/>
  <c r="U1909" i="2"/>
  <c r="C1909" i="2"/>
  <c r="U1908" i="2"/>
  <c r="C1908" i="2"/>
  <c r="U1907" i="2"/>
  <c r="C1907" i="2"/>
  <c r="U1906" i="2"/>
  <c r="C1906" i="2"/>
  <c r="U1905" i="2"/>
  <c r="C1905" i="2"/>
  <c r="U1904" i="2"/>
  <c r="C1904" i="2"/>
  <c r="U1903" i="2"/>
  <c r="C1903" i="2"/>
  <c r="U1902" i="2"/>
  <c r="C1902" i="2"/>
  <c r="U1901" i="2"/>
  <c r="C1901" i="2"/>
  <c r="U1900" i="2"/>
  <c r="C1900" i="2"/>
  <c r="U1899" i="2"/>
  <c r="C1899" i="2"/>
  <c r="U1898" i="2"/>
  <c r="C1898" i="2"/>
  <c r="U1897" i="2"/>
  <c r="C1897" i="2"/>
  <c r="U1896" i="2"/>
  <c r="C1896" i="2"/>
  <c r="U1895" i="2"/>
  <c r="C1895" i="2"/>
  <c r="U1894" i="2"/>
  <c r="C1894" i="2"/>
  <c r="U1893" i="2"/>
  <c r="C1893" i="2"/>
  <c r="U1892" i="2"/>
  <c r="C1892" i="2"/>
  <c r="U1891" i="2"/>
  <c r="C1891" i="2"/>
  <c r="U1890" i="2"/>
  <c r="C1890" i="2"/>
  <c r="U1889" i="2"/>
  <c r="C1889" i="2"/>
  <c r="U1888" i="2"/>
  <c r="C1888" i="2"/>
  <c r="U1887" i="2"/>
  <c r="C1887" i="2"/>
  <c r="U1886" i="2"/>
  <c r="C1886" i="2"/>
  <c r="U1885" i="2"/>
  <c r="C1885" i="2"/>
  <c r="U1884" i="2"/>
  <c r="C1884" i="2"/>
  <c r="U1883" i="2"/>
  <c r="C1883" i="2"/>
  <c r="U1882" i="2"/>
  <c r="C1882" i="2"/>
  <c r="U1881" i="2"/>
  <c r="C1881" i="2"/>
  <c r="U1880" i="2"/>
  <c r="C1880" i="2"/>
  <c r="U1879" i="2"/>
  <c r="C1879" i="2"/>
  <c r="U1878" i="2"/>
  <c r="C1878" i="2"/>
  <c r="U1877" i="2"/>
  <c r="C1877" i="2"/>
  <c r="U1876" i="2"/>
  <c r="C1876" i="2"/>
  <c r="U1875" i="2"/>
  <c r="C1875" i="2"/>
  <c r="U1874" i="2"/>
  <c r="C1874" i="2"/>
  <c r="U1873" i="2"/>
  <c r="C1873" i="2"/>
  <c r="U1872" i="2"/>
  <c r="C1872" i="2"/>
  <c r="U1871" i="2"/>
  <c r="C1871" i="2"/>
  <c r="U1870" i="2"/>
  <c r="C1870" i="2"/>
  <c r="U1869" i="2"/>
  <c r="C1869" i="2"/>
  <c r="U1868" i="2"/>
  <c r="C1868" i="2"/>
  <c r="U1867" i="2"/>
  <c r="C1867" i="2"/>
  <c r="U1866" i="2"/>
  <c r="C1866" i="2"/>
  <c r="U1865" i="2"/>
  <c r="C1865" i="2"/>
  <c r="U1864" i="2"/>
  <c r="C1864" i="2"/>
  <c r="U1863" i="2"/>
  <c r="C1863" i="2"/>
  <c r="U1862" i="2"/>
  <c r="C1862" i="2"/>
  <c r="U1861" i="2"/>
  <c r="C1861" i="2"/>
  <c r="U1860" i="2"/>
  <c r="C1860" i="2"/>
  <c r="U1859" i="2"/>
  <c r="C1859" i="2"/>
  <c r="U1858" i="2"/>
  <c r="C1858" i="2"/>
  <c r="U1857" i="2"/>
  <c r="C1857" i="2"/>
  <c r="U1856" i="2"/>
  <c r="C1856" i="2"/>
  <c r="U1855" i="2"/>
  <c r="C1855" i="2"/>
  <c r="U1854" i="2"/>
  <c r="C1854" i="2"/>
  <c r="U1853" i="2"/>
  <c r="C1853" i="2"/>
  <c r="U1852" i="2"/>
  <c r="C1852" i="2"/>
  <c r="U1851" i="2"/>
  <c r="C1851" i="2"/>
  <c r="U1850" i="2"/>
  <c r="C1850" i="2"/>
  <c r="U1849" i="2"/>
  <c r="C1849" i="2"/>
  <c r="U1848" i="2"/>
  <c r="C1848" i="2"/>
  <c r="U1847" i="2"/>
  <c r="C1847" i="2"/>
  <c r="U1846" i="2"/>
  <c r="C1846" i="2"/>
  <c r="U1845" i="2"/>
  <c r="C1845" i="2"/>
  <c r="U1844" i="2"/>
  <c r="C1844" i="2"/>
  <c r="U1843" i="2"/>
  <c r="C1843" i="2"/>
  <c r="U1842" i="2"/>
  <c r="C1842" i="2"/>
  <c r="U1841" i="2"/>
  <c r="C1841" i="2"/>
  <c r="U1840" i="2"/>
  <c r="C1840" i="2"/>
  <c r="U1839" i="2"/>
  <c r="C1839" i="2"/>
  <c r="U1838" i="2"/>
  <c r="C1838" i="2"/>
  <c r="U1837" i="2"/>
  <c r="C1837" i="2"/>
  <c r="U1836" i="2"/>
  <c r="C1836" i="2"/>
  <c r="U1835" i="2"/>
  <c r="C1835" i="2"/>
  <c r="U1834" i="2"/>
  <c r="C1834" i="2"/>
  <c r="U1833" i="2"/>
  <c r="C1833" i="2"/>
  <c r="U1832" i="2"/>
  <c r="C1832" i="2"/>
  <c r="U1831" i="2"/>
  <c r="C1831" i="2"/>
  <c r="U1830" i="2"/>
  <c r="C1830" i="2"/>
  <c r="U1829" i="2"/>
  <c r="C1829" i="2"/>
  <c r="U1828" i="2"/>
  <c r="C1828" i="2"/>
  <c r="U1827" i="2"/>
  <c r="C1827" i="2"/>
  <c r="U1826" i="2"/>
  <c r="C1826" i="2"/>
  <c r="U1825" i="2"/>
  <c r="C1825" i="2"/>
  <c r="U1824" i="2"/>
  <c r="C1824" i="2"/>
  <c r="U1823" i="2"/>
  <c r="C1823" i="2"/>
  <c r="U1822" i="2"/>
  <c r="C1822" i="2"/>
  <c r="U1821" i="2"/>
  <c r="C1821" i="2"/>
  <c r="U1820" i="2"/>
  <c r="C1820" i="2"/>
  <c r="U1819" i="2"/>
  <c r="C1819" i="2"/>
  <c r="U1818" i="2"/>
  <c r="C1818" i="2"/>
  <c r="U1817" i="2"/>
  <c r="C1817" i="2"/>
  <c r="U1816" i="2"/>
  <c r="C1816" i="2"/>
  <c r="U1815" i="2"/>
  <c r="C1815" i="2"/>
  <c r="U1814" i="2"/>
  <c r="C1814" i="2"/>
  <c r="U1813" i="2"/>
  <c r="C1813" i="2"/>
  <c r="U1812" i="2"/>
  <c r="C1812" i="2"/>
  <c r="U1811" i="2"/>
  <c r="C1811" i="2"/>
  <c r="U1810" i="2"/>
  <c r="C1810" i="2"/>
  <c r="U1809" i="2"/>
  <c r="C1809" i="2"/>
  <c r="U1808" i="2"/>
  <c r="C1808" i="2"/>
  <c r="U1807" i="2"/>
  <c r="C1807" i="2"/>
  <c r="U1806" i="2"/>
  <c r="C1806" i="2"/>
  <c r="U1805" i="2"/>
  <c r="C1805" i="2"/>
  <c r="U1804" i="2"/>
  <c r="C1804" i="2"/>
  <c r="U1803" i="2"/>
  <c r="C1803" i="2"/>
  <c r="U1802" i="2"/>
  <c r="C1802" i="2"/>
  <c r="U1801" i="2"/>
  <c r="C1801" i="2"/>
  <c r="U1800" i="2"/>
  <c r="C1800" i="2"/>
  <c r="U1799" i="2"/>
  <c r="C1799" i="2"/>
  <c r="U1798" i="2"/>
  <c r="C1798" i="2"/>
  <c r="U1797" i="2"/>
  <c r="C1797" i="2"/>
  <c r="U1796" i="2"/>
  <c r="C1796" i="2"/>
  <c r="U1795" i="2"/>
  <c r="C1795" i="2"/>
  <c r="U1794" i="2"/>
  <c r="C1794" i="2"/>
  <c r="U1793" i="2"/>
  <c r="C1793" i="2"/>
  <c r="U1792" i="2"/>
  <c r="C1792" i="2"/>
  <c r="U1791" i="2"/>
  <c r="C1791" i="2"/>
  <c r="U1790" i="2"/>
  <c r="C1790" i="2"/>
  <c r="U1789" i="2"/>
  <c r="C1789" i="2"/>
  <c r="U1788" i="2"/>
  <c r="C1788" i="2"/>
  <c r="U1787" i="2"/>
  <c r="C1787" i="2"/>
  <c r="U1786" i="2"/>
  <c r="C1786" i="2"/>
  <c r="U1785" i="2"/>
  <c r="C1785" i="2"/>
  <c r="U1784" i="2"/>
  <c r="C1784" i="2"/>
  <c r="U1783" i="2"/>
  <c r="C1783" i="2"/>
  <c r="U1782" i="2"/>
  <c r="C1782" i="2"/>
  <c r="U1781" i="2"/>
  <c r="C1781" i="2"/>
  <c r="U1780" i="2"/>
  <c r="C1780" i="2"/>
  <c r="U1779" i="2"/>
  <c r="C1779" i="2"/>
  <c r="U1778" i="2"/>
  <c r="C1778" i="2"/>
  <c r="U1777" i="2"/>
  <c r="C1777" i="2"/>
  <c r="U1776" i="2"/>
  <c r="C1776" i="2"/>
  <c r="U1775" i="2"/>
  <c r="C1775" i="2"/>
  <c r="U1774" i="2"/>
  <c r="C1774" i="2"/>
  <c r="U1773" i="2"/>
  <c r="C1773" i="2"/>
  <c r="U1772" i="2"/>
  <c r="C1772" i="2"/>
  <c r="U1771" i="2"/>
  <c r="C1771" i="2"/>
  <c r="U1770" i="2"/>
  <c r="C1770" i="2"/>
  <c r="U1769" i="2"/>
  <c r="C1769" i="2"/>
  <c r="U1768" i="2"/>
  <c r="C1768" i="2"/>
  <c r="U1767" i="2"/>
  <c r="C1767" i="2"/>
  <c r="U1766" i="2"/>
  <c r="C1766" i="2"/>
  <c r="U1765" i="2"/>
  <c r="C1765" i="2"/>
  <c r="U1764" i="2"/>
  <c r="C1764" i="2"/>
  <c r="U1763" i="2"/>
  <c r="C1763" i="2"/>
  <c r="U1762" i="2"/>
  <c r="C1762" i="2"/>
  <c r="U1761" i="2"/>
  <c r="C1761" i="2"/>
  <c r="U1760" i="2"/>
  <c r="C1760" i="2"/>
  <c r="U1759" i="2"/>
  <c r="C1759" i="2"/>
  <c r="U1758" i="2"/>
  <c r="C1758" i="2"/>
  <c r="U1757" i="2"/>
  <c r="C1757" i="2"/>
  <c r="U1756" i="2"/>
  <c r="C1756" i="2"/>
  <c r="U1755" i="2"/>
  <c r="C1755" i="2"/>
  <c r="U1754" i="2"/>
  <c r="C1754" i="2"/>
  <c r="U1753" i="2"/>
  <c r="C1753" i="2"/>
  <c r="U1752" i="2"/>
  <c r="C1752" i="2"/>
  <c r="U1751" i="2"/>
  <c r="C1751" i="2"/>
  <c r="U1750" i="2"/>
  <c r="C1750" i="2"/>
  <c r="U1749" i="2"/>
  <c r="C1749" i="2"/>
  <c r="U1748" i="2"/>
  <c r="C1748" i="2"/>
  <c r="U1747" i="2"/>
  <c r="C1747" i="2"/>
  <c r="U1746" i="2"/>
  <c r="C1746" i="2"/>
  <c r="U1745" i="2"/>
  <c r="C1745" i="2"/>
  <c r="U1744" i="2"/>
  <c r="C1744" i="2"/>
  <c r="U1743" i="2"/>
  <c r="C1743" i="2"/>
  <c r="U1742" i="2"/>
  <c r="C1742" i="2"/>
  <c r="U1741" i="2"/>
  <c r="C1741" i="2"/>
  <c r="U1740" i="2"/>
  <c r="C1740" i="2"/>
  <c r="U1739" i="2"/>
  <c r="C1739" i="2"/>
  <c r="U1738" i="2"/>
  <c r="C1738" i="2"/>
  <c r="U1737" i="2"/>
  <c r="C1737" i="2"/>
  <c r="U1736" i="2"/>
  <c r="C1736" i="2"/>
  <c r="U1735" i="2"/>
  <c r="C1735" i="2"/>
  <c r="U1734" i="2"/>
  <c r="C1734" i="2"/>
  <c r="U1733" i="2"/>
  <c r="C1733" i="2"/>
  <c r="U1732" i="2"/>
  <c r="C1732" i="2"/>
  <c r="U1731" i="2"/>
  <c r="C1731" i="2"/>
  <c r="U1730" i="2"/>
  <c r="C1730" i="2"/>
  <c r="U1729" i="2"/>
  <c r="C1729" i="2"/>
  <c r="U1728" i="2"/>
  <c r="C1728" i="2"/>
  <c r="U1727" i="2"/>
  <c r="C1727" i="2"/>
  <c r="U1726" i="2"/>
  <c r="C1726" i="2"/>
  <c r="U1725" i="2"/>
  <c r="C1725" i="2"/>
  <c r="U1724" i="2"/>
  <c r="C1724" i="2"/>
  <c r="U1723" i="2"/>
  <c r="C1723" i="2"/>
  <c r="U1722" i="2"/>
  <c r="C1722" i="2"/>
  <c r="U1721" i="2"/>
  <c r="C1721" i="2"/>
  <c r="U1720" i="2"/>
  <c r="C1720" i="2"/>
  <c r="U1719" i="2"/>
  <c r="C1719" i="2"/>
  <c r="U1718" i="2"/>
  <c r="C1718" i="2"/>
  <c r="U1717" i="2"/>
  <c r="C1717" i="2"/>
  <c r="U1716" i="2"/>
  <c r="C1716" i="2"/>
  <c r="U1715" i="2"/>
  <c r="C1715" i="2"/>
  <c r="U1714" i="2"/>
  <c r="C1714" i="2"/>
  <c r="U1713" i="2"/>
  <c r="C1713" i="2"/>
  <c r="U1712" i="2"/>
  <c r="C1712" i="2"/>
  <c r="U1711" i="2"/>
  <c r="C1711" i="2"/>
  <c r="U1710" i="2"/>
  <c r="C1710" i="2"/>
  <c r="U1709" i="2"/>
  <c r="C1709" i="2"/>
  <c r="U1708" i="2"/>
  <c r="C1708" i="2"/>
  <c r="U1707" i="2"/>
  <c r="C1707" i="2"/>
  <c r="U1706" i="2"/>
  <c r="C1706" i="2"/>
  <c r="U1705" i="2"/>
  <c r="C1705" i="2"/>
  <c r="U1704" i="2"/>
  <c r="C1704" i="2"/>
  <c r="U1703" i="2"/>
  <c r="C1703" i="2"/>
  <c r="U1702" i="2"/>
  <c r="C1702" i="2"/>
  <c r="U1701" i="2"/>
  <c r="C1701" i="2"/>
  <c r="U1700" i="2"/>
  <c r="C1700" i="2"/>
  <c r="U1699" i="2"/>
  <c r="C1699" i="2"/>
  <c r="U1698" i="2"/>
  <c r="C1698" i="2"/>
  <c r="U1697" i="2"/>
  <c r="C1697" i="2"/>
  <c r="U1696" i="2"/>
  <c r="C1696" i="2"/>
  <c r="U1695" i="2"/>
  <c r="C1695" i="2"/>
  <c r="U1694" i="2"/>
  <c r="C1694" i="2"/>
  <c r="U1693" i="2"/>
  <c r="C1693" i="2"/>
  <c r="U1692" i="2"/>
  <c r="C1692" i="2"/>
  <c r="U1691" i="2"/>
  <c r="C1691" i="2"/>
  <c r="U1690" i="2"/>
  <c r="C1690" i="2"/>
  <c r="U1689" i="2"/>
  <c r="C1689" i="2"/>
  <c r="U1688" i="2"/>
  <c r="C1688" i="2"/>
  <c r="U1687" i="2"/>
  <c r="C1687" i="2"/>
  <c r="U1686" i="2"/>
  <c r="C1686" i="2"/>
  <c r="U1685" i="2"/>
  <c r="C1685" i="2"/>
  <c r="U1684" i="2"/>
  <c r="C1684" i="2"/>
  <c r="U1683" i="2"/>
  <c r="C1683" i="2"/>
  <c r="U1682" i="2"/>
  <c r="C1682" i="2"/>
  <c r="U1681" i="2"/>
  <c r="C1681" i="2"/>
  <c r="U1680" i="2"/>
  <c r="C1680" i="2"/>
  <c r="U1679" i="2"/>
  <c r="C1679" i="2"/>
  <c r="U1678" i="2"/>
  <c r="C1678" i="2"/>
  <c r="U1677" i="2"/>
  <c r="C1677" i="2"/>
  <c r="U1676" i="2"/>
  <c r="C1676" i="2"/>
  <c r="U1675" i="2"/>
  <c r="C1675" i="2"/>
  <c r="U1674" i="2"/>
  <c r="C1674" i="2"/>
  <c r="U1673" i="2"/>
  <c r="C1673" i="2"/>
  <c r="U1672" i="2"/>
  <c r="C1672" i="2"/>
  <c r="U1671" i="2"/>
  <c r="C1671" i="2"/>
  <c r="U1670" i="2"/>
  <c r="C1670" i="2"/>
  <c r="U1669" i="2"/>
  <c r="C1669" i="2"/>
  <c r="U1668" i="2"/>
  <c r="C1668" i="2"/>
  <c r="U1667" i="2"/>
  <c r="C1667" i="2"/>
  <c r="U1666" i="2"/>
  <c r="C1666" i="2"/>
  <c r="U1665" i="2"/>
  <c r="C1665" i="2"/>
  <c r="U1664" i="2"/>
  <c r="C1664" i="2"/>
  <c r="U1663" i="2"/>
  <c r="C1663" i="2"/>
  <c r="U1662" i="2"/>
  <c r="C1662" i="2"/>
  <c r="U1661" i="2"/>
  <c r="C1661" i="2"/>
  <c r="U1660" i="2"/>
  <c r="C1660" i="2"/>
  <c r="U1659" i="2"/>
  <c r="C1659" i="2"/>
  <c r="U1658" i="2"/>
  <c r="C1658" i="2"/>
  <c r="U1657" i="2"/>
  <c r="C1657" i="2"/>
  <c r="U1656" i="2"/>
  <c r="C1656" i="2"/>
  <c r="U1655" i="2"/>
  <c r="C1655" i="2"/>
  <c r="U1654" i="2"/>
  <c r="C1654" i="2"/>
  <c r="U1653" i="2"/>
  <c r="C1653" i="2"/>
  <c r="U1652" i="2"/>
  <c r="C1652" i="2"/>
  <c r="U1651" i="2"/>
  <c r="C1651" i="2"/>
  <c r="U1650" i="2"/>
  <c r="C1650" i="2"/>
  <c r="U1649" i="2"/>
  <c r="C1649" i="2"/>
  <c r="U1648" i="2"/>
  <c r="C1648" i="2"/>
  <c r="U1647" i="2"/>
  <c r="C1647" i="2"/>
  <c r="U1646" i="2"/>
  <c r="C1646" i="2"/>
  <c r="U1645" i="2"/>
  <c r="C1645" i="2"/>
  <c r="U1644" i="2"/>
  <c r="C1644" i="2"/>
  <c r="U1643" i="2"/>
  <c r="C1643" i="2"/>
  <c r="U1642" i="2"/>
  <c r="C1642" i="2"/>
  <c r="U1641" i="2"/>
  <c r="C1641" i="2"/>
  <c r="U1640" i="2"/>
  <c r="C1640" i="2"/>
  <c r="U1639" i="2"/>
  <c r="C1639" i="2"/>
  <c r="U1638" i="2"/>
  <c r="C1638" i="2"/>
  <c r="U1637" i="2"/>
  <c r="C1637" i="2"/>
  <c r="U1636" i="2"/>
  <c r="C1636" i="2"/>
  <c r="U1635" i="2"/>
  <c r="C1635" i="2"/>
  <c r="U1634" i="2"/>
  <c r="C1634" i="2"/>
  <c r="U1633" i="2"/>
  <c r="C1633" i="2"/>
  <c r="U1632" i="2"/>
  <c r="C1632" i="2"/>
  <c r="U1631" i="2"/>
  <c r="C1631" i="2"/>
  <c r="U1630" i="2"/>
  <c r="C1630" i="2"/>
  <c r="U1629" i="2"/>
  <c r="C1629" i="2"/>
  <c r="U1628" i="2"/>
  <c r="C1628" i="2"/>
  <c r="U1627" i="2"/>
  <c r="C1627" i="2"/>
  <c r="U1626" i="2"/>
  <c r="C1626" i="2"/>
  <c r="U1625" i="2"/>
  <c r="C1625" i="2"/>
  <c r="U1624" i="2"/>
  <c r="C1624" i="2"/>
  <c r="U1623" i="2"/>
  <c r="C1623" i="2"/>
  <c r="U1622" i="2"/>
  <c r="C1622" i="2"/>
  <c r="U1621" i="2"/>
  <c r="C1621" i="2"/>
  <c r="U1620" i="2"/>
  <c r="C1620" i="2"/>
  <c r="U1619" i="2"/>
  <c r="C1619" i="2"/>
  <c r="U1618" i="2"/>
  <c r="C1618" i="2"/>
  <c r="U1617" i="2"/>
  <c r="C1617" i="2"/>
  <c r="U1616" i="2"/>
  <c r="C1616" i="2"/>
  <c r="U1615" i="2"/>
  <c r="C1615" i="2"/>
  <c r="U1614" i="2"/>
  <c r="C1614" i="2"/>
  <c r="U1613" i="2"/>
  <c r="C1613" i="2"/>
  <c r="U1612" i="2"/>
  <c r="C1612" i="2"/>
  <c r="U1611" i="2"/>
  <c r="C1611" i="2"/>
  <c r="U1610" i="2"/>
  <c r="C1610" i="2"/>
  <c r="U1609" i="2"/>
  <c r="C1609" i="2"/>
  <c r="U1608" i="2"/>
  <c r="C1608" i="2"/>
  <c r="U1607" i="2"/>
  <c r="C1607" i="2"/>
  <c r="U1606" i="2"/>
  <c r="C1606" i="2"/>
  <c r="U1605" i="2"/>
  <c r="C1605" i="2"/>
  <c r="U1604" i="2"/>
  <c r="C1604" i="2"/>
  <c r="U1603" i="2"/>
  <c r="C1603" i="2"/>
  <c r="U1602" i="2"/>
  <c r="C1602" i="2"/>
  <c r="U1601" i="2"/>
  <c r="C1601" i="2"/>
  <c r="U1600" i="2"/>
  <c r="C1600" i="2"/>
  <c r="U1599" i="2"/>
  <c r="C1599" i="2"/>
  <c r="U1598" i="2"/>
  <c r="C1598" i="2"/>
  <c r="U1597" i="2"/>
  <c r="C1597" i="2"/>
  <c r="U1596" i="2"/>
  <c r="C1596" i="2"/>
  <c r="U1595" i="2"/>
  <c r="C1595" i="2"/>
  <c r="U1594" i="2"/>
  <c r="C1594" i="2"/>
  <c r="U1593" i="2"/>
  <c r="C1593" i="2"/>
  <c r="U1592" i="2"/>
  <c r="C1592" i="2"/>
  <c r="U1591" i="2"/>
  <c r="C1591" i="2"/>
  <c r="U1590" i="2"/>
  <c r="C1590" i="2"/>
  <c r="U1589" i="2"/>
  <c r="C1589" i="2"/>
  <c r="U1588" i="2"/>
  <c r="C1588" i="2"/>
  <c r="U1587" i="2"/>
  <c r="C1587" i="2"/>
  <c r="U1586" i="2"/>
  <c r="C1586" i="2"/>
  <c r="U1585" i="2"/>
  <c r="C1585" i="2"/>
  <c r="U1584" i="2"/>
  <c r="C1584" i="2"/>
  <c r="U1583" i="2"/>
  <c r="C1583" i="2"/>
  <c r="U1582" i="2"/>
  <c r="C1582" i="2"/>
  <c r="U1581" i="2"/>
  <c r="C1581" i="2"/>
  <c r="U1580" i="2"/>
  <c r="C1580" i="2"/>
  <c r="U1579" i="2"/>
  <c r="C1579" i="2"/>
  <c r="U1578" i="2"/>
  <c r="C1578" i="2"/>
  <c r="U1577" i="2"/>
  <c r="C1577" i="2"/>
  <c r="U1576" i="2"/>
  <c r="C1576" i="2"/>
  <c r="U1575" i="2"/>
  <c r="C1575" i="2"/>
  <c r="U1574" i="2"/>
  <c r="C1574" i="2"/>
  <c r="U1573" i="2"/>
  <c r="C1573" i="2"/>
  <c r="U1572" i="2"/>
  <c r="C1572" i="2"/>
  <c r="U1571" i="2"/>
  <c r="C1571" i="2"/>
  <c r="U1570" i="2"/>
  <c r="C1570" i="2"/>
  <c r="U1569" i="2"/>
  <c r="C1569" i="2"/>
  <c r="U1568" i="2"/>
  <c r="C1568" i="2"/>
  <c r="U1567" i="2"/>
  <c r="C1567" i="2"/>
  <c r="U1566" i="2"/>
  <c r="C1566" i="2"/>
  <c r="U1565" i="2"/>
  <c r="C1565" i="2"/>
  <c r="U1564" i="2"/>
  <c r="C1564" i="2"/>
  <c r="U1563" i="2"/>
  <c r="C1563" i="2"/>
  <c r="U1562" i="2"/>
  <c r="C1562" i="2"/>
  <c r="U1561" i="2"/>
  <c r="C1561" i="2"/>
  <c r="U1560" i="2"/>
  <c r="C1560" i="2"/>
  <c r="U1559" i="2"/>
  <c r="C1559" i="2"/>
  <c r="U1558" i="2"/>
  <c r="C1558" i="2"/>
  <c r="U1557" i="2"/>
  <c r="C1557" i="2"/>
  <c r="U1556" i="2"/>
  <c r="C1556" i="2"/>
  <c r="U1555" i="2"/>
  <c r="C1555" i="2"/>
  <c r="U1554" i="2"/>
  <c r="C1554" i="2"/>
  <c r="U1553" i="2"/>
  <c r="C1553" i="2"/>
  <c r="U1552" i="2"/>
  <c r="C1552" i="2"/>
  <c r="U1551" i="2"/>
  <c r="C1551" i="2"/>
  <c r="U1550" i="2"/>
  <c r="C1550" i="2"/>
  <c r="U1549" i="2"/>
  <c r="C1549" i="2"/>
  <c r="U1548" i="2"/>
  <c r="C1548" i="2"/>
  <c r="U1547" i="2"/>
  <c r="C1547" i="2"/>
  <c r="U1546" i="2"/>
  <c r="C1546" i="2"/>
  <c r="U1545" i="2"/>
  <c r="C1545" i="2"/>
  <c r="U1544" i="2"/>
  <c r="C1544" i="2"/>
  <c r="U1543" i="2"/>
  <c r="C1543" i="2"/>
  <c r="U1542" i="2"/>
  <c r="C1542" i="2"/>
  <c r="U1541" i="2"/>
  <c r="C1541" i="2"/>
  <c r="U1540" i="2"/>
  <c r="C1540" i="2"/>
  <c r="U1539" i="2"/>
  <c r="C1539" i="2"/>
  <c r="U1538" i="2"/>
  <c r="C1538" i="2"/>
  <c r="U1537" i="2"/>
  <c r="C1537" i="2"/>
  <c r="U1536" i="2"/>
  <c r="C1536" i="2"/>
  <c r="U1535" i="2"/>
  <c r="C1535" i="2"/>
  <c r="U1534" i="2"/>
  <c r="C1534" i="2"/>
  <c r="U1533" i="2"/>
  <c r="C1533" i="2"/>
  <c r="U1532" i="2"/>
  <c r="C1532" i="2"/>
  <c r="U1531" i="2"/>
  <c r="C1531" i="2"/>
  <c r="U1530" i="2"/>
  <c r="C1530" i="2"/>
  <c r="U1529" i="2"/>
  <c r="C1529" i="2"/>
  <c r="U1528" i="2"/>
  <c r="C1528" i="2"/>
  <c r="U1527" i="2"/>
  <c r="C1527" i="2"/>
  <c r="U1526" i="2"/>
  <c r="C1526" i="2"/>
  <c r="U1525" i="2"/>
  <c r="C1525" i="2"/>
  <c r="U1524" i="2"/>
  <c r="C1524" i="2"/>
  <c r="U1523" i="2"/>
  <c r="C1523" i="2"/>
  <c r="U1522" i="2"/>
  <c r="C1522" i="2"/>
  <c r="U1521" i="2"/>
  <c r="C1521" i="2"/>
  <c r="U1520" i="2"/>
  <c r="C1520" i="2"/>
  <c r="U1519" i="2"/>
  <c r="C1519" i="2"/>
  <c r="U1518" i="2"/>
  <c r="C1518" i="2"/>
  <c r="U1517" i="2"/>
  <c r="C1517" i="2"/>
  <c r="U1516" i="2"/>
  <c r="C1516" i="2"/>
  <c r="U1515" i="2"/>
  <c r="C1515" i="2"/>
  <c r="U1514" i="2"/>
  <c r="C1514" i="2"/>
  <c r="U1513" i="2"/>
  <c r="C1513" i="2"/>
  <c r="U1512" i="2"/>
  <c r="C1512" i="2"/>
  <c r="U1511" i="2"/>
  <c r="C1511" i="2"/>
  <c r="U1510" i="2"/>
  <c r="C1510" i="2"/>
  <c r="U1509" i="2"/>
  <c r="C1509" i="2"/>
  <c r="U1508" i="2"/>
  <c r="C1508" i="2"/>
  <c r="U1507" i="2"/>
  <c r="C1507" i="2"/>
  <c r="U1506" i="2"/>
  <c r="C1506" i="2"/>
  <c r="U1505" i="2"/>
  <c r="C1505" i="2"/>
  <c r="U1504" i="2"/>
  <c r="C1504" i="2"/>
  <c r="U1503" i="2"/>
  <c r="C1503" i="2"/>
  <c r="U1502" i="2"/>
  <c r="C1502" i="2"/>
  <c r="U1501" i="2"/>
  <c r="C1501" i="2"/>
  <c r="U1500" i="2"/>
  <c r="C1500" i="2"/>
  <c r="U1499" i="2"/>
  <c r="C1499" i="2"/>
  <c r="U1498" i="2"/>
  <c r="C1498" i="2"/>
  <c r="U1497" i="2"/>
  <c r="C1497" i="2"/>
  <c r="U1496" i="2"/>
  <c r="C1496" i="2"/>
  <c r="U1495" i="2"/>
  <c r="C1495" i="2"/>
  <c r="U1494" i="2"/>
  <c r="C1494" i="2"/>
  <c r="U1493" i="2"/>
  <c r="C1493" i="2"/>
  <c r="U1492" i="2"/>
  <c r="C1492" i="2"/>
  <c r="U1491" i="2"/>
  <c r="C1491" i="2"/>
  <c r="U1490" i="2"/>
  <c r="C1490" i="2"/>
  <c r="U1489" i="2"/>
  <c r="C1489" i="2"/>
  <c r="U1488" i="2"/>
  <c r="C1488" i="2"/>
  <c r="U1487" i="2"/>
  <c r="C1487" i="2"/>
  <c r="U1486" i="2"/>
  <c r="C1486" i="2"/>
  <c r="U1485" i="2"/>
  <c r="C1485" i="2"/>
  <c r="U1484" i="2"/>
  <c r="C1484" i="2"/>
  <c r="U1483" i="2"/>
  <c r="C1483" i="2"/>
  <c r="U1482" i="2"/>
  <c r="C1482" i="2"/>
  <c r="U1481" i="2"/>
  <c r="C1481" i="2"/>
  <c r="U1480" i="2"/>
  <c r="C1480" i="2"/>
  <c r="U1479" i="2"/>
  <c r="C1479" i="2"/>
  <c r="U1478" i="2"/>
  <c r="C1478" i="2"/>
  <c r="U1477" i="2"/>
  <c r="C1477" i="2"/>
  <c r="U1476" i="2"/>
  <c r="C1476" i="2"/>
  <c r="U1475" i="2"/>
  <c r="C1475" i="2"/>
  <c r="U1474" i="2"/>
  <c r="C1474" i="2"/>
  <c r="U1473" i="2"/>
  <c r="C1473" i="2"/>
  <c r="U1472" i="2"/>
  <c r="C1472" i="2"/>
  <c r="U1471" i="2"/>
  <c r="C1471" i="2"/>
  <c r="U1470" i="2"/>
  <c r="C1470" i="2"/>
  <c r="U1469" i="2"/>
  <c r="C1469" i="2"/>
  <c r="U1468" i="2"/>
  <c r="C1468" i="2"/>
  <c r="U1467" i="2"/>
  <c r="C1467" i="2"/>
  <c r="U1466" i="2"/>
  <c r="C1466" i="2"/>
  <c r="U1465" i="2"/>
  <c r="C1465" i="2"/>
  <c r="U1464" i="2"/>
  <c r="C1464" i="2"/>
  <c r="U1463" i="2"/>
  <c r="C1463" i="2"/>
  <c r="U1462" i="2"/>
  <c r="C1462" i="2"/>
  <c r="U1461" i="2"/>
  <c r="C1461" i="2"/>
  <c r="U1460" i="2"/>
  <c r="C1460" i="2"/>
  <c r="U1459" i="2"/>
  <c r="C1459" i="2"/>
  <c r="U1458" i="2"/>
  <c r="C1458" i="2"/>
  <c r="U1457" i="2"/>
  <c r="C1457" i="2"/>
  <c r="U1456" i="2"/>
  <c r="C1456" i="2"/>
  <c r="U1455" i="2"/>
  <c r="C1455" i="2"/>
  <c r="U1454" i="2"/>
  <c r="C1454" i="2"/>
  <c r="U1453" i="2"/>
  <c r="C1453" i="2"/>
  <c r="U1452" i="2"/>
  <c r="C1452" i="2"/>
  <c r="U1451" i="2"/>
  <c r="C1451" i="2"/>
  <c r="U1450" i="2"/>
  <c r="C1450" i="2"/>
  <c r="U1449" i="2"/>
  <c r="C1449" i="2"/>
  <c r="U1448" i="2"/>
  <c r="C1448" i="2"/>
  <c r="U1447" i="2"/>
  <c r="C1447" i="2"/>
  <c r="U1446" i="2"/>
  <c r="C1446" i="2"/>
  <c r="U1445" i="2"/>
  <c r="C1445" i="2"/>
  <c r="U1444" i="2"/>
  <c r="C1444" i="2"/>
  <c r="U1443" i="2"/>
  <c r="C1443" i="2"/>
  <c r="U1442" i="2"/>
  <c r="C1442" i="2"/>
  <c r="U1441" i="2"/>
  <c r="C1441" i="2"/>
  <c r="U1440" i="2"/>
  <c r="C1440" i="2"/>
  <c r="U1439" i="2"/>
  <c r="C1439" i="2"/>
  <c r="U1438" i="2"/>
  <c r="C1438" i="2"/>
  <c r="U1437" i="2"/>
  <c r="C1437" i="2"/>
  <c r="U1436" i="2"/>
  <c r="C1436" i="2"/>
  <c r="U1435" i="2"/>
  <c r="C1435" i="2"/>
  <c r="U1434" i="2"/>
  <c r="C1434" i="2"/>
  <c r="U1433" i="2"/>
  <c r="C1433" i="2"/>
  <c r="U1432" i="2"/>
  <c r="C1432" i="2"/>
  <c r="U1431" i="2"/>
  <c r="C1431" i="2"/>
  <c r="U1430" i="2"/>
  <c r="C1430" i="2"/>
  <c r="U1429" i="2"/>
  <c r="C1429" i="2"/>
  <c r="U1428" i="2"/>
  <c r="C1428" i="2"/>
  <c r="U1427" i="2"/>
  <c r="C1427" i="2"/>
  <c r="U1426" i="2"/>
  <c r="C1426" i="2"/>
  <c r="U1425" i="2"/>
  <c r="C1425" i="2"/>
  <c r="U1424" i="2"/>
  <c r="C1424" i="2"/>
  <c r="U1423" i="2"/>
  <c r="C1423" i="2"/>
  <c r="U1422" i="2"/>
  <c r="C1422" i="2"/>
  <c r="U1421" i="2"/>
  <c r="C1421" i="2"/>
  <c r="U1420" i="2"/>
  <c r="C1420" i="2"/>
  <c r="U1419" i="2"/>
  <c r="C1419" i="2"/>
  <c r="U1418" i="2"/>
  <c r="C1418" i="2"/>
  <c r="U1417" i="2"/>
  <c r="C1417" i="2"/>
  <c r="U1416" i="2"/>
  <c r="C1416" i="2"/>
  <c r="U1415" i="2"/>
  <c r="C1415" i="2"/>
  <c r="U1414" i="2"/>
  <c r="C1414" i="2"/>
  <c r="U1413" i="2"/>
  <c r="C1413" i="2"/>
  <c r="U1412" i="2"/>
  <c r="C1412" i="2"/>
  <c r="U1411" i="2"/>
  <c r="C1411" i="2"/>
  <c r="U1410" i="2"/>
  <c r="C1410" i="2"/>
  <c r="U1409" i="2"/>
  <c r="C1409" i="2"/>
  <c r="U1408" i="2"/>
  <c r="C1408" i="2"/>
  <c r="U1407" i="2"/>
  <c r="C1407" i="2"/>
  <c r="U1406" i="2"/>
  <c r="C1406" i="2"/>
  <c r="U1405" i="2"/>
  <c r="C1405" i="2"/>
  <c r="U1404" i="2"/>
  <c r="C1404" i="2"/>
  <c r="U1403" i="2"/>
  <c r="C1403" i="2"/>
  <c r="U1402" i="2"/>
  <c r="C1402" i="2"/>
  <c r="U1401" i="2"/>
  <c r="C1401" i="2"/>
  <c r="U1400" i="2"/>
  <c r="C1400" i="2"/>
  <c r="U1399" i="2"/>
  <c r="C1399" i="2"/>
  <c r="U1398" i="2"/>
  <c r="C1398" i="2"/>
  <c r="U1397" i="2"/>
  <c r="C1397" i="2"/>
  <c r="U1396" i="2"/>
  <c r="C1396" i="2"/>
  <c r="U1395" i="2"/>
  <c r="C1395" i="2"/>
  <c r="U1394" i="2"/>
  <c r="C1394" i="2"/>
  <c r="U1393" i="2"/>
  <c r="C1393" i="2"/>
  <c r="U1392" i="2"/>
  <c r="C1392" i="2"/>
  <c r="U1391" i="2"/>
  <c r="C1391" i="2"/>
  <c r="U1390" i="2"/>
  <c r="C1390" i="2"/>
  <c r="U1389" i="2"/>
  <c r="C1389" i="2"/>
  <c r="U1388" i="2"/>
  <c r="C1388" i="2"/>
  <c r="U1387" i="2"/>
  <c r="C1387" i="2"/>
  <c r="U1386" i="2"/>
  <c r="C1386" i="2"/>
  <c r="U1385" i="2"/>
  <c r="C1385" i="2"/>
  <c r="U1384" i="2"/>
  <c r="C1384" i="2"/>
  <c r="U1383" i="2"/>
  <c r="C1383" i="2"/>
  <c r="U1382" i="2"/>
  <c r="C1382" i="2"/>
  <c r="U1381" i="2"/>
  <c r="C1381" i="2"/>
  <c r="U1380" i="2"/>
  <c r="C1380" i="2"/>
  <c r="U1379" i="2"/>
  <c r="C1379" i="2"/>
  <c r="U1378" i="2"/>
  <c r="C1378" i="2"/>
  <c r="U1377" i="2"/>
  <c r="C1377" i="2"/>
  <c r="U1376" i="2"/>
  <c r="C1376" i="2"/>
  <c r="U1375" i="2"/>
  <c r="C1375" i="2"/>
  <c r="U1374" i="2"/>
  <c r="C1374" i="2"/>
  <c r="U1373" i="2"/>
  <c r="C1373" i="2"/>
  <c r="U1372" i="2"/>
  <c r="C1372" i="2"/>
  <c r="U1371" i="2"/>
  <c r="C1371" i="2"/>
  <c r="U1370" i="2"/>
  <c r="C1370" i="2"/>
  <c r="U1369" i="2"/>
  <c r="C1369" i="2"/>
  <c r="U1368" i="2"/>
  <c r="C1368" i="2"/>
  <c r="U1367" i="2"/>
  <c r="C1367" i="2"/>
  <c r="U1366" i="2"/>
  <c r="C1366" i="2"/>
  <c r="U1365" i="2"/>
  <c r="C1365" i="2"/>
  <c r="U1364" i="2"/>
  <c r="C1364" i="2"/>
  <c r="U1363" i="2"/>
  <c r="C1363" i="2"/>
  <c r="U1362" i="2"/>
  <c r="C1362" i="2"/>
  <c r="U1361" i="2"/>
  <c r="C1361" i="2"/>
  <c r="U1360" i="2"/>
  <c r="C1360" i="2"/>
  <c r="U1359" i="2"/>
  <c r="C1359" i="2"/>
  <c r="U1358" i="2"/>
  <c r="C1358" i="2"/>
  <c r="U1357" i="2"/>
  <c r="C1357" i="2"/>
  <c r="U1356" i="2"/>
  <c r="C1356" i="2"/>
  <c r="U1355" i="2"/>
  <c r="C1355" i="2"/>
  <c r="U1354" i="2"/>
  <c r="C1354" i="2"/>
  <c r="U1353" i="2"/>
  <c r="C1353" i="2"/>
  <c r="U1352" i="2"/>
  <c r="C1352" i="2"/>
  <c r="U1351" i="2"/>
  <c r="C1351" i="2"/>
  <c r="U1350" i="2"/>
  <c r="C1350" i="2"/>
  <c r="U1349" i="2"/>
  <c r="C1349" i="2"/>
  <c r="U1348" i="2"/>
  <c r="C1348" i="2"/>
  <c r="U1347" i="2"/>
  <c r="C1347" i="2"/>
  <c r="U1346" i="2"/>
  <c r="C1346" i="2"/>
  <c r="U1345" i="2"/>
  <c r="C1345" i="2"/>
  <c r="U1344" i="2"/>
  <c r="C1344" i="2"/>
  <c r="U1343" i="2"/>
  <c r="C1343" i="2"/>
  <c r="U1342" i="2"/>
  <c r="C1342" i="2"/>
  <c r="U1341" i="2"/>
  <c r="C1341" i="2"/>
  <c r="U1340" i="2"/>
  <c r="C1340" i="2"/>
  <c r="U1339" i="2"/>
  <c r="C1339" i="2"/>
  <c r="U1338" i="2"/>
  <c r="C1338" i="2"/>
  <c r="U1337" i="2"/>
  <c r="C1337" i="2"/>
  <c r="U1336" i="2"/>
  <c r="C1336" i="2"/>
  <c r="U1335" i="2"/>
  <c r="C1335" i="2"/>
  <c r="U1334" i="2"/>
  <c r="C1334" i="2"/>
  <c r="U1333" i="2"/>
  <c r="C1333" i="2"/>
  <c r="U1332" i="2"/>
  <c r="C1332" i="2"/>
  <c r="U1331" i="2"/>
  <c r="C1331" i="2"/>
  <c r="U1330" i="2"/>
  <c r="C1330" i="2"/>
  <c r="U1329" i="2"/>
  <c r="C1329" i="2"/>
  <c r="U1328" i="2"/>
  <c r="C1328" i="2"/>
  <c r="U1327" i="2"/>
  <c r="C1327" i="2"/>
  <c r="U1326" i="2"/>
  <c r="C1326" i="2"/>
  <c r="U1325" i="2"/>
  <c r="C1325" i="2"/>
  <c r="U1324" i="2"/>
  <c r="C1324" i="2"/>
  <c r="U1323" i="2"/>
  <c r="C1323" i="2"/>
  <c r="U1322" i="2"/>
  <c r="C1322" i="2"/>
  <c r="U1321" i="2"/>
  <c r="C1321" i="2"/>
  <c r="U1320" i="2"/>
  <c r="C1320" i="2"/>
  <c r="U1319" i="2"/>
  <c r="C1319" i="2"/>
  <c r="U1318" i="2"/>
  <c r="C1318" i="2"/>
  <c r="U1317" i="2"/>
  <c r="C1317" i="2"/>
  <c r="U1316" i="2"/>
  <c r="C1316" i="2"/>
  <c r="U1315" i="2"/>
  <c r="C1315" i="2"/>
  <c r="U1314" i="2"/>
  <c r="C1314" i="2"/>
  <c r="U1313" i="2"/>
  <c r="C1313" i="2"/>
  <c r="U1312" i="2"/>
  <c r="C1312" i="2"/>
  <c r="U1311" i="2"/>
  <c r="C1311" i="2"/>
  <c r="U1310" i="2"/>
  <c r="C1310" i="2"/>
  <c r="U1309" i="2"/>
  <c r="C1309" i="2"/>
  <c r="U1308" i="2"/>
  <c r="C1308" i="2"/>
  <c r="U1307" i="2"/>
  <c r="C1307" i="2"/>
  <c r="U1306" i="2"/>
  <c r="C1306" i="2"/>
  <c r="U1305" i="2"/>
  <c r="C1305" i="2"/>
  <c r="U1304" i="2"/>
  <c r="C1304" i="2"/>
  <c r="U1303" i="2"/>
  <c r="C1303" i="2"/>
  <c r="U1302" i="2"/>
  <c r="C1302" i="2"/>
  <c r="U1301" i="2"/>
  <c r="C1301" i="2"/>
  <c r="U1300" i="2"/>
  <c r="C1300" i="2"/>
  <c r="U1299" i="2"/>
  <c r="C1299" i="2"/>
  <c r="U1298" i="2"/>
  <c r="C1298" i="2"/>
  <c r="U1297" i="2"/>
  <c r="C1297" i="2"/>
  <c r="U1296" i="2"/>
  <c r="C1296" i="2"/>
  <c r="U1295" i="2"/>
  <c r="C1295" i="2"/>
  <c r="U1294" i="2"/>
  <c r="C1294" i="2"/>
  <c r="U1293" i="2"/>
  <c r="C1293" i="2"/>
  <c r="U1292" i="2"/>
  <c r="C1292" i="2"/>
  <c r="U1291" i="2"/>
  <c r="C1291" i="2"/>
  <c r="U1290" i="2"/>
  <c r="C1290" i="2"/>
  <c r="U1289" i="2"/>
  <c r="C1289" i="2"/>
  <c r="U1288" i="2"/>
  <c r="C1288" i="2"/>
  <c r="U1287" i="2"/>
  <c r="C1287" i="2"/>
  <c r="U1286" i="2"/>
  <c r="C1286" i="2"/>
  <c r="U1285" i="2"/>
  <c r="C1285" i="2"/>
  <c r="U1284" i="2"/>
  <c r="C1284" i="2"/>
  <c r="U1283" i="2"/>
  <c r="C1283" i="2"/>
  <c r="U1282" i="2"/>
  <c r="C1282" i="2"/>
  <c r="U1281" i="2"/>
  <c r="C1281" i="2"/>
  <c r="U1280" i="2"/>
  <c r="C1280" i="2"/>
  <c r="U1279" i="2"/>
  <c r="C1279" i="2"/>
  <c r="U1278" i="2"/>
  <c r="C1278" i="2"/>
  <c r="U1277" i="2"/>
  <c r="C1277" i="2"/>
  <c r="U1276" i="2"/>
  <c r="C1276" i="2"/>
  <c r="U1275" i="2"/>
  <c r="C1275" i="2"/>
  <c r="U1274" i="2"/>
  <c r="C1274" i="2"/>
  <c r="U1273" i="2"/>
  <c r="C1273" i="2"/>
  <c r="U1272" i="2"/>
  <c r="C1272" i="2"/>
  <c r="U1271" i="2"/>
  <c r="C1271" i="2"/>
  <c r="U1270" i="2"/>
  <c r="C1270" i="2"/>
  <c r="U1269" i="2"/>
  <c r="C1269" i="2"/>
  <c r="U1268" i="2"/>
  <c r="C1268" i="2"/>
  <c r="U1267" i="2"/>
  <c r="C1267" i="2"/>
  <c r="U1266" i="2"/>
  <c r="C1266" i="2"/>
  <c r="U1265" i="2"/>
  <c r="C1265" i="2"/>
  <c r="U1264" i="2"/>
  <c r="C1264" i="2"/>
  <c r="U1263" i="2"/>
  <c r="C1263" i="2"/>
  <c r="U1262" i="2"/>
  <c r="C1262" i="2"/>
  <c r="U1261" i="2"/>
  <c r="C1261" i="2"/>
  <c r="U1260" i="2"/>
  <c r="C1260" i="2"/>
  <c r="U1259" i="2"/>
  <c r="C1259" i="2"/>
  <c r="U1258" i="2"/>
  <c r="C1258" i="2"/>
  <c r="U1257" i="2"/>
  <c r="C1257" i="2"/>
  <c r="U1256" i="2"/>
  <c r="C1256" i="2"/>
  <c r="U1255" i="2"/>
  <c r="C1255" i="2"/>
  <c r="U1254" i="2"/>
  <c r="C1254" i="2"/>
  <c r="U1253" i="2"/>
  <c r="C1253" i="2"/>
  <c r="U1252" i="2"/>
  <c r="C1252" i="2"/>
  <c r="U1251" i="2"/>
  <c r="C1251" i="2"/>
  <c r="U1250" i="2"/>
  <c r="C1250" i="2"/>
  <c r="U1249" i="2"/>
  <c r="C1249" i="2"/>
  <c r="U1248" i="2"/>
  <c r="C1248" i="2"/>
  <c r="U1247" i="2"/>
  <c r="C1247" i="2"/>
  <c r="U1246" i="2"/>
  <c r="C1246" i="2"/>
  <c r="U1245" i="2"/>
  <c r="C1245" i="2"/>
  <c r="U1244" i="2"/>
  <c r="C1244" i="2"/>
  <c r="U1243" i="2"/>
  <c r="C1243" i="2"/>
  <c r="U1242" i="2"/>
  <c r="C1242" i="2"/>
  <c r="U1241" i="2"/>
  <c r="C1241" i="2"/>
  <c r="U1240" i="2"/>
  <c r="C1240" i="2"/>
  <c r="U1239" i="2"/>
  <c r="C1239" i="2"/>
  <c r="U1238" i="2"/>
  <c r="C1238" i="2"/>
  <c r="U1237" i="2"/>
  <c r="C1237" i="2"/>
  <c r="U1236" i="2"/>
  <c r="C1236" i="2"/>
  <c r="U1235" i="2"/>
  <c r="C1235" i="2"/>
  <c r="U1234" i="2"/>
  <c r="C1234" i="2"/>
  <c r="U1233" i="2"/>
  <c r="C1233" i="2"/>
  <c r="U1232" i="2"/>
  <c r="C1232" i="2"/>
  <c r="U1231" i="2"/>
  <c r="C1231" i="2"/>
  <c r="U1230" i="2"/>
  <c r="C1230" i="2"/>
  <c r="U1229" i="2"/>
  <c r="C1229" i="2"/>
  <c r="U1228" i="2"/>
  <c r="C1228" i="2"/>
  <c r="U1227" i="2"/>
  <c r="C1227" i="2"/>
  <c r="U1226" i="2"/>
  <c r="C1226" i="2"/>
  <c r="U1225" i="2"/>
  <c r="C1225" i="2"/>
  <c r="U1224" i="2"/>
  <c r="C1224" i="2"/>
  <c r="U1223" i="2"/>
  <c r="C1223" i="2"/>
  <c r="U1222" i="2"/>
  <c r="C1222" i="2"/>
  <c r="U1221" i="2"/>
  <c r="C1221" i="2"/>
  <c r="U1220" i="2"/>
  <c r="C1220" i="2"/>
  <c r="U1219" i="2"/>
  <c r="C1219" i="2"/>
  <c r="U1218" i="2"/>
  <c r="C1218" i="2"/>
  <c r="U1217" i="2"/>
  <c r="C1217" i="2"/>
  <c r="U1216" i="2"/>
  <c r="C1216" i="2"/>
  <c r="U1215" i="2"/>
  <c r="C1215" i="2"/>
  <c r="U1214" i="2"/>
  <c r="C1214" i="2"/>
  <c r="U1213" i="2"/>
  <c r="C1213" i="2"/>
  <c r="U1212" i="2"/>
  <c r="C1212" i="2"/>
  <c r="U1211" i="2"/>
  <c r="C1211" i="2"/>
  <c r="U1210" i="2"/>
  <c r="C1210" i="2"/>
  <c r="U1209" i="2"/>
  <c r="C1209" i="2"/>
  <c r="U1208" i="2"/>
  <c r="C1208" i="2"/>
  <c r="U1207" i="2"/>
  <c r="C1207" i="2"/>
  <c r="U1206" i="2"/>
  <c r="C1206" i="2"/>
  <c r="U1205" i="2"/>
  <c r="C1205" i="2"/>
  <c r="U1204" i="2"/>
  <c r="C1204" i="2"/>
  <c r="U1203" i="2"/>
  <c r="C1203" i="2"/>
  <c r="U1202" i="2"/>
  <c r="C1202" i="2"/>
  <c r="U1201" i="2"/>
  <c r="C1201" i="2"/>
  <c r="U1200" i="2"/>
  <c r="C1200" i="2"/>
  <c r="U1199" i="2"/>
  <c r="C1199" i="2"/>
  <c r="U1198" i="2"/>
  <c r="C1198" i="2"/>
  <c r="U1197" i="2"/>
  <c r="C1197" i="2"/>
  <c r="U1196" i="2"/>
  <c r="C1196" i="2"/>
  <c r="U1195" i="2"/>
  <c r="C1195" i="2"/>
  <c r="U1194" i="2"/>
  <c r="C1194" i="2"/>
  <c r="U1193" i="2"/>
  <c r="C1193" i="2"/>
  <c r="U1192" i="2"/>
  <c r="C1192" i="2"/>
  <c r="U1191" i="2"/>
  <c r="C1191" i="2"/>
  <c r="U1190" i="2"/>
  <c r="C1190" i="2"/>
  <c r="U1189" i="2"/>
  <c r="C1189" i="2"/>
  <c r="U1188" i="2"/>
  <c r="C1188" i="2"/>
  <c r="U1187" i="2"/>
  <c r="C1187" i="2"/>
  <c r="U1186" i="2"/>
  <c r="C1186" i="2"/>
  <c r="U1185" i="2"/>
  <c r="C1185" i="2"/>
  <c r="U1184" i="2"/>
  <c r="C1184" i="2"/>
  <c r="U1183" i="2"/>
  <c r="C1183" i="2"/>
  <c r="U1182" i="2"/>
  <c r="C1182" i="2"/>
  <c r="U1181" i="2"/>
  <c r="C1181" i="2"/>
  <c r="U1180" i="2"/>
  <c r="C1180" i="2"/>
  <c r="U1179" i="2"/>
  <c r="C1179" i="2"/>
  <c r="U1178" i="2"/>
  <c r="C1178" i="2"/>
  <c r="U1177" i="2"/>
  <c r="C1177" i="2"/>
  <c r="U1176" i="2"/>
  <c r="C1176" i="2"/>
  <c r="U1175" i="2"/>
  <c r="C1175" i="2"/>
  <c r="U1174" i="2"/>
  <c r="C1174" i="2"/>
  <c r="U1173" i="2"/>
  <c r="C1173" i="2"/>
  <c r="U1172" i="2"/>
  <c r="C1172" i="2"/>
  <c r="U1171" i="2"/>
  <c r="C1171" i="2"/>
  <c r="U1170" i="2"/>
  <c r="C1170" i="2"/>
  <c r="U1169" i="2"/>
  <c r="C1169" i="2"/>
  <c r="U1168" i="2"/>
  <c r="C1168" i="2"/>
  <c r="U1167" i="2"/>
  <c r="C1167" i="2"/>
  <c r="U1166" i="2"/>
  <c r="C1166" i="2"/>
  <c r="U1165" i="2"/>
  <c r="C1165" i="2"/>
  <c r="U1164" i="2"/>
  <c r="C1164" i="2"/>
  <c r="U1163" i="2"/>
  <c r="C1163" i="2"/>
  <c r="U1162" i="2"/>
  <c r="C1162" i="2"/>
  <c r="U1161" i="2"/>
  <c r="C1161" i="2"/>
  <c r="U1160" i="2"/>
  <c r="C1160" i="2"/>
  <c r="U1159" i="2"/>
  <c r="C1159" i="2"/>
  <c r="U1158" i="2"/>
  <c r="C1158" i="2"/>
  <c r="U1157" i="2"/>
  <c r="C1157" i="2"/>
  <c r="U1156" i="2"/>
  <c r="C1156" i="2"/>
  <c r="U1155" i="2"/>
  <c r="C1155" i="2"/>
  <c r="U1154" i="2"/>
  <c r="C1154" i="2"/>
  <c r="U1153" i="2"/>
  <c r="C1153" i="2"/>
  <c r="U1152" i="2"/>
  <c r="C1152" i="2"/>
  <c r="U1151" i="2"/>
  <c r="C1151" i="2"/>
  <c r="U1150" i="2"/>
  <c r="C1150" i="2"/>
  <c r="U1149" i="2"/>
  <c r="C1149" i="2"/>
  <c r="U1148" i="2"/>
  <c r="C1148" i="2"/>
  <c r="U1147" i="2"/>
  <c r="C1147" i="2"/>
  <c r="U1146" i="2"/>
  <c r="C1146" i="2"/>
  <c r="U1145" i="2"/>
  <c r="C1145" i="2"/>
  <c r="U1144" i="2"/>
  <c r="C1144" i="2"/>
  <c r="U1143" i="2"/>
  <c r="C1143" i="2"/>
  <c r="U1142" i="2"/>
  <c r="C1142" i="2"/>
  <c r="U1141" i="2"/>
  <c r="C1141" i="2"/>
  <c r="U1140" i="2"/>
  <c r="C1140" i="2"/>
  <c r="U1139" i="2"/>
  <c r="C1139" i="2"/>
  <c r="U1138" i="2"/>
  <c r="C1138" i="2"/>
  <c r="U1137" i="2"/>
  <c r="C1137" i="2"/>
  <c r="U1136" i="2"/>
  <c r="C1136" i="2"/>
  <c r="U1135" i="2"/>
  <c r="C1135" i="2"/>
  <c r="U1134" i="2"/>
  <c r="C1134" i="2"/>
  <c r="U1133" i="2"/>
  <c r="C1133" i="2"/>
  <c r="U1132" i="2"/>
  <c r="C1132" i="2"/>
  <c r="U1131" i="2"/>
  <c r="C1131" i="2"/>
  <c r="U1130" i="2"/>
  <c r="C1130" i="2"/>
  <c r="U1129" i="2"/>
  <c r="C1129" i="2"/>
  <c r="U1128" i="2"/>
  <c r="C1128" i="2"/>
  <c r="U1127" i="2"/>
  <c r="C1127" i="2"/>
  <c r="U1126" i="2"/>
  <c r="C1126" i="2"/>
  <c r="U1125" i="2"/>
  <c r="C1125" i="2"/>
  <c r="U1124" i="2"/>
  <c r="C1124" i="2"/>
  <c r="U1123" i="2"/>
  <c r="C1123" i="2"/>
  <c r="U1122" i="2"/>
  <c r="C1122" i="2"/>
  <c r="U1121" i="2"/>
  <c r="C1121" i="2"/>
  <c r="U1120" i="2"/>
  <c r="C1120" i="2"/>
  <c r="U1119" i="2"/>
  <c r="C1119" i="2"/>
  <c r="U1118" i="2"/>
  <c r="C1118" i="2"/>
  <c r="U1117" i="2"/>
  <c r="C1117" i="2"/>
  <c r="U1116" i="2"/>
  <c r="C1116" i="2"/>
  <c r="U1115" i="2"/>
  <c r="C1115" i="2"/>
  <c r="U1114" i="2"/>
  <c r="C1114" i="2"/>
  <c r="U1113" i="2"/>
  <c r="C1113" i="2"/>
  <c r="U1112" i="2"/>
  <c r="C1112" i="2"/>
  <c r="U1111" i="2"/>
  <c r="C1111" i="2"/>
  <c r="U1110" i="2"/>
  <c r="C1110" i="2"/>
  <c r="U1109" i="2"/>
  <c r="C1109" i="2"/>
  <c r="U1108" i="2"/>
  <c r="C1108" i="2"/>
  <c r="U1107" i="2"/>
  <c r="C1107" i="2"/>
  <c r="U1106" i="2"/>
  <c r="C1106" i="2"/>
  <c r="U1105" i="2"/>
  <c r="C1105" i="2"/>
  <c r="U1104" i="2"/>
  <c r="C1104" i="2"/>
  <c r="U1103" i="2"/>
  <c r="C1103" i="2"/>
  <c r="U1102" i="2"/>
  <c r="C1102" i="2"/>
  <c r="U1101" i="2"/>
  <c r="C1101" i="2"/>
  <c r="U1100" i="2"/>
  <c r="C1100" i="2"/>
  <c r="U1099" i="2"/>
  <c r="C1099" i="2"/>
  <c r="U1098" i="2"/>
  <c r="C1098" i="2"/>
  <c r="U1097" i="2"/>
  <c r="C1097" i="2"/>
  <c r="U1096" i="2"/>
  <c r="C1096" i="2"/>
  <c r="U1095" i="2"/>
  <c r="C1095" i="2"/>
  <c r="U1094" i="2"/>
  <c r="C1094" i="2"/>
  <c r="U1093" i="2"/>
  <c r="C1093" i="2"/>
  <c r="U1092" i="2"/>
  <c r="C1092" i="2"/>
  <c r="U1091" i="2"/>
  <c r="C1091" i="2"/>
  <c r="U1090" i="2"/>
  <c r="C1090" i="2"/>
  <c r="U1089" i="2"/>
  <c r="C1089" i="2"/>
  <c r="U1088" i="2"/>
  <c r="C1088" i="2"/>
  <c r="U1087" i="2"/>
  <c r="C1087" i="2"/>
  <c r="U1086" i="2"/>
  <c r="C1086" i="2"/>
  <c r="U1085" i="2"/>
  <c r="C1085" i="2"/>
  <c r="U1084" i="2"/>
  <c r="C1084" i="2"/>
  <c r="U1083" i="2"/>
  <c r="C1083" i="2"/>
  <c r="U1082" i="2"/>
  <c r="C1082" i="2"/>
  <c r="U1081" i="2"/>
  <c r="C1081" i="2"/>
  <c r="U1080" i="2"/>
  <c r="C1080" i="2"/>
  <c r="U1079" i="2"/>
  <c r="C1079" i="2"/>
  <c r="U1078" i="2"/>
  <c r="C1078" i="2"/>
  <c r="U1077" i="2"/>
  <c r="C1077" i="2"/>
  <c r="U1076" i="2"/>
  <c r="C1076" i="2"/>
  <c r="U1075" i="2"/>
  <c r="C1075" i="2"/>
  <c r="U1074" i="2"/>
  <c r="C1074" i="2"/>
  <c r="U1073" i="2"/>
  <c r="C1073" i="2"/>
  <c r="U1072" i="2"/>
  <c r="C1072" i="2"/>
  <c r="U1071" i="2"/>
  <c r="C1071" i="2"/>
  <c r="U1070" i="2"/>
  <c r="C1070" i="2"/>
  <c r="U1069" i="2"/>
  <c r="C1069" i="2"/>
  <c r="U1068" i="2"/>
  <c r="C1068" i="2"/>
  <c r="U1067" i="2"/>
  <c r="C1067" i="2"/>
  <c r="U1066" i="2"/>
  <c r="C1066" i="2"/>
  <c r="U1065" i="2"/>
  <c r="C1065" i="2"/>
  <c r="U1064" i="2"/>
  <c r="C1064" i="2"/>
  <c r="U1063" i="2"/>
  <c r="C1063" i="2"/>
  <c r="U1062" i="2"/>
  <c r="C1062" i="2"/>
  <c r="U1061" i="2"/>
  <c r="C1061" i="2"/>
  <c r="U1060" i="2"/>
  <c r="C1060" i="2"/>
  <c r="U1059" i="2"/>
  <c r="C1059" i="2"/>
  <c r="U1058" i="2"/>
  <c r="C1058" i="2"/>
  <c r="U1057" i="2"/>
  <c r="C1057" i="2"/>
  <c r="U1056" i="2"/>
  <c r="C1056" i="2"/>
  <c r="U1055" i="2"/>
  <c r="C1055" i="2"/>
  <c r="U1054" i="2"/>
  <c r="C1054" i="2"/>
  <c r="U1053" i="2"/>
  <c r="C1053" i="2"/>
  <c r="U1052" i="2"/>
  <c r="C1052" i="2"/>
  <c r="U1051" i="2"/>
  <c r="C1051" i="2"/>
  <c r="U1050" i="2"/>
  <c r="C1050" i="2"/>
  <c r="U1049" i="2"/>
  <c r="C1049" i="2"/>
  <c r="U1048" i="2"/>
  <c r="C1048" i="2"/>
  <c r="U1047" i="2"/>
  <c r="C1047" i="2"/>
  <c r="U1046" i="2"/>
  <c r="C1046" i="2"/>
  <c r="U1045" i="2"/>
  <c r="C1045" i="2"/>
  <c r="U1044" i="2"/>
  <c r="C1044" i="2"/>
  <c r="U1043" i="2"/>
  <c r="C1043" i="2"/>
  <c r="U1042" i="2"/>
  <c r="C1042" i="2"/>
  <c r="U1041" i="2"/>
  <c r="C1041" i="2"/>
  <c r="U1040" i="2"/>
  <c r="C1040" i="2"/>
  <c r="U1039" i="2"/>
  <c r="C1039" i="2"/>
  <c r="U1038" i="2"/>
  <c r="C1038" i="2"/>
  <c r="U1037" i="2"/>
  <c r="C1037" i="2"/>
  <c r="U1036" i="2"/>
  <c r="C1036" i="2"/>
  <c r="U1035" i="2"/>
  <c r="C1035" i="2"/>
  <c r="U1034" i="2"/>
  <c r="C1034" i="2"/>
  <c r="U1033" i="2"/>
  <c r="C1033" i="2"/>
  <c r="U1032" i="2"/>
  <c r="C1032" i="2"/>
  <c r="U1031" i="2"/>
  <c r="C1031" i="2"/>
  <c r="U1030" i="2"/>
  <c r="C1030" i="2"/>
  <c r="U1029" i="2"/>
  <c r="C1029" i="2"/>
  <c r="U1028" i="2"/>
  <c r="C1028" i="2"/>
  <c r="U1027" i="2"/>
  <c r="C1027" i="2"/>
  <c r="U1026" i="2"/>
  <c r="C1026" i="2"/>
  <c r="U1025" i="2"/>
  <c r="C1025" i="2"/>
  <c r="U1024" i="2"/>
  <c r="C1024" i="2"/>
  <c r="U1023" i="2"/>
  <c r="C1023" i="2"/>
  <c r="U1022" i="2"/>
  <c r="C1022" i="2"/>
  <c r="U1021" i="2"/>
  <c r="C1021" i="2"/>
  <c r="U1020" i="2"/>
  <c r="C1020" i="2"/>
  <c r="U1019" i="2"/>
  <c r="C1019" i="2"/>
  <c r="U1018" i="2"/>
  <c r="C1018" i="2"/>
  <c r="U1017" i="2"/>
  <c r="C1017" i="2"/>
  <c r="U1016" i="2"/>
  <c r="C1016" i="2"/>
  <c r="U1015" i="2"/>
  <c r="C1015" i="2"/>
  <c r="U1014" i="2"/>
  <c r="C1014" i="2"/>
  <c r="U1013" i="2"/>
  <c r="C1013" i="2"/>
  <c r="U1012" i="2"/>
  <c r="C1012" i="2"/>
  <c r="U1011" i="2"/>
  <c r="C1011" i="2"/>
  <c r="U1010" i="2"/>
  <c r="C1010" i="2"/>
  <c r="U1009" i="2"/>
  <c r="C1009" i="2"/>
  <c r="U1008" i="2"/>
  <c r="C1008" i="2"/>
  <c r="U1007" i="2"/>
  <c r="C1007" i="2"/>
  <c r="U1006" i="2"/>
  <c r="C1006" i="2"/>
  <c r="U1005" i="2"/>
  <c r="C1005" i="2"/>
  <c r="U1004" i="2"/>
  <c r="C1004" i="2"/>
  <c r="U1003" i="2"/>
  <c r="C1003" i="2"/>
  <c r="U1002" i="2"/>
  <c r="C1002" i="2"/>
  <c r="U1001" i="2"/>
  <c r="C1001" i="2"/>
  <c r="U1000" i="2"/>
  <c r="C1000" i="2"/>
  <c r="U999" i="2"/>
  <c r="C999" i="2"/>
  <c r="U998" i="2"/>
  <c r="C998" i="2"/>
  <c r="U997" i="2"/>
  <c r="C997" i="2"/>
  <c r="U996" i="2"/>
  <c r="C996" i="2"/>
  <c r="U995" i="2"/>
  <c r="C995" i="2"/>
  <c r="U994" i="2"/>
  <c r="C994" i="2"/>
  <c r="U993" i="2"/>
  <c r="C993" i="2"/>
  <c r="U992" i="2"/>
  <c r="C992" i="2"/>
  <c r="U991" i="2"/>
  <c r="C991" i="2"/>
  <c r="U990" i="2"/>
  <c r="C990" i="2"/>
  <c r="U989" i="2"/>
  <c r="C989" i="2"/>
  <c r="U988" i="2"/>
  <c r="C988" i="2"/>
  <c r="U987" i="2"/>
  <c r="C987" i="2"/>
  <c r="U986" i="2"/>
  <c r="C986" i="2"/>
  <c r="U985" i="2"/>
  <c r="C985" i="2"/>
  <c r="U984" i="2"/>
  <c r="C984" i="2"/>
  <c r="U983" i="2"/>
  <c r="C983" i="2"/>
  <c r="U982" i="2"/>
  <c r="C982" i="2"/>
  <c r="U981" i="2"/>
  <c r="C981" i="2"/>
  <c r="U980" i="2"/>
  <c r="C980" i="2"/>
  <c r="U979" i="2"/>
  <c r="C979" i="2"/>
  <c r="U978" i="2"/>
  <c r="C978" i="2"/>
  <c r="U977" i="2"/>
  <c r="C977" i="2"/>
  <c r="U976" i="2"/>
  <c r="C976" i="2"/>
  <c r="U975" i="2"/>
  <c r="C975" i="2"/>
  <c r="U974" i="2"/>
  <c r="C974" i="2"/>
  <c r="U973" i="2"/>
  <c r="C973" i="2"/>
  <c r="U972" i="2"/>
  <c r="C972" i="2"/>
  <c r="U971" i="2"/>
  <c r="C971" i="2"/>
  <c r="U970" i="2"/>
  <c r="C970" i="2"/>
  <c r="U969" i="2"/>
  <c r="C969" i="2"/>
  <c r="U968" i="2"/>
  <c r="C968" i="2"/>
  <c r="U967" i="2"/>
  <c r="C967" i="2"/>
  <c r="U966" i="2"/>
  <c r="C966" i="2"/>
  <c r="U965" i="2"/>
  <c r="C965" i="2"/>
  <c r="U964" i="2"/>
  <c r="C964" i="2"/>
  <c r="U963" i="2"/>
  <c r="C963" i="2"/>
  <c r="U962" i="2"/>
  <c r="C962" i="2"/>
  <c r="U961" i="2"/>
  <c r="C961" i="2"/>
  <c r="U960" i="2"/>
  <c r="C960" i="2"/>
  <c r="U959" i="2"/>
  <c r="C959" i="2"/>
  <c r="U958" i="2"/>
  <c r="C958" i="2"/>
  <c r="U957" i="2"/>
  <c r="C957" i="2"/>
  <c r="U956" i="2"/>
  <c r="C956" i="2"/>
  <c r="U955" i="2"/>
  <c r="C955" i="2"/>
  <c r="U954" i="2"/>
  <c r="C954" i="2"/>
  <c r="U953" i="2"/>
  <c r="C953" i="2"/>
  <c r="U952" i="2"/>
  <c r="C952" i="2"/>
  <c r="U951" i="2"/>
  <c r="C951" i="2"/>
  <c r="U950" i="2"/>
  <c r="C950" i="2"/>
  <c r="U949" i="2"/>
  <c r="C949" i="2"/>
  <c r="U948" i="2"/>
  <c r="C948" i="2"/>
  <c r="U947" i="2"/>
  <c r="C947" i="2"/>
  <c r="U946" i="2"/>
  <c r="C946" i="2"/>
  <c r="U945" i="2"/>
  <c r="C945" i="2"/>
  <c r="U944" i="2"/>
  <c r="C944" i="2"/>
  <c r="U943" i="2"/>
  <c r="C943" i="2"/>
  <c r="U942" i="2"/>
  <c r="C942" i="2"/>
  <c r="U941" i="2"/>
  <c r="C941" i="2"/>
  <c r="U940" i="2"/>
  <c r="C940" i="2"/>
  <c r="U939" i="2"/>
  <c r="C939" i="2"/>
  <c r="U938" i="2"/>
  <c r="C938" i="2"/>
  <c r="U937" i="2"/>
  <c r="C937" i="2"/>
  <c r="U936" i="2"/>
  <c r="C936" i="2"/>
  <c r="U935" i="2"/>
  <c r="C935" i="2"/>
  <c r="U934" i="2"/>
  <c r="C934" i="2"/>
  <c r="U933" i="2"/>
  <c r="C933" i="2"/>
  <c r="U932" i="2"/>
  <c r="C932" i="2"/>
  <c r="U931" i="2"/>
  <c r="C931" i="2"/>
  <c r="U930" i="2"/>
  <c r="C930" i="2"/>
  <c r="U929" i="2"/>
  <c r="C929" i="2"/>
  <c r="U928" i="2"/>
  <c r="C928" i="2"/>
  <c r="U927" i="2"/>
  <c r="C927" i="2"/>
  <c r="U926" i="2"/>
  <c r="C926" i="2"/>
  <c r="U925" i="2"/>
  <c r="C925" i="2"/>
  <c r="U924" i="2"/>
  <c r="C924" i="2"/>
  <c r="U923" i="2"/>
  <c r="C923" i="2"/>
  <c r="U922" i="2"/>
  <c r="C922" i="2"/>
  <c r="U921" i="2"/>
  <c r="C921" i="2"/>
  <c r="U920" i="2"/>
  <c r="C920" i="2"/>
  <c r="U919" i="2"/>
  <c r="C919" i="2"/>
  <c r="U918" i="2"/>
  <c r="C918" i="2"/>
  <c r="U917" i="2"/>
  <c r="C917" i="2"/>
  <c r="U916" i="2"/>
  <c r="C916" i="2"/>
  <c r="U915" i="2"/>
  <c r="C915" i="2"/>
  <c r="U914" i="2"/>
  <c r="C914" i="2"/>
  <c r="U913" i="2"/>
  <c r="C913" i="2"/>
  <c r="U912" i="2"/>
  <c r="C912" i="2"/>
  <c r="U911" i="2"/>
  <c r="C911" i="2"/>
  <c r="U910" i="2"/>
  <c r="C910" i="2"/>
  <c r="U909" i="2"/>
  <c r="C909" i="2"/>
  <c r="U908" i="2"/>
  <c r="C908" i="2"/>
  <c r="U907" i="2"/>
  <c r="C907" i="2"/>
  <c r="U906" i="2"/>
  <c r="C906" i="2"/>
  <c r="U905" i="2"/>
  <c r="C905" i="2"/>
  <c r="U904" i="2"/>
  <c r="C904" i="2"/>
  <c r="U903" i="2"/>
  <c r="C903" i="2"/>
  <c r="U902" i="2"/>
  <c r="C902" i="2"/>
  <c r="U901" i="2"/>
  <c r="C901" i="2"/>
  <c r="U900" i="2"/>
  <c r="C900" i="2"/>
  <c r="U899" i="2"/>
  <c r="C899" i="2"/>
  <c r="U898" i="2"/>
  <c r="C898" i="2"/>
  <c r="U897" i="2"/>
  <c r="C897" i="2"/>
  <c r="U896" i="2"/>
  <c r="C896" i="2"/>
  <c r="U895" i="2"/>
  <c r="C895" i="2"/>
  <c r="U894" i="2"/>
  <c r="C894" i="2"/>
  <c r="U893" i="2"/>
  <c r="C893" i="2"/>
  <c r="U892" i="2"/>
  <c r="C892" i="2"/>
  <c r="U891" i="2"/>
  <c r="C891" i="2"/>
  <c r="U890" i="2"/>
  <c r="C890" i="2"/>
  <c r="U889" i="2"/>
  <c r="C889" i="2"/>
  <c r="U888" i="2"/>
  <c r="C888" i="2"/>
  <c r="U887" i="2"/>
  <c r="C887" i="2"/>
  <c r="U886" i="2"/>
  <c r="C886" i="2"/>
  <c r="U885" i="2"/>
  <c r="C885" i="2"/>
  <c r="U884" i="2"/>
  <c r="C884" i="2"/>
  <c r="U883" i="2"/>
  <c r="C883" i="2"/>
  <c r="U882" i="2"/>
  <c r="C882" i="2"/>
  <c r="U881" i="2"/>
  <c r="C881" i="2"/>
  <c r="U880" i="2"/>
  <c r="C880" i="2"/>
  <c r="U879" i="2"/>
  <c r="C879" i="2"/>
  <c r="U878" i="2"/>
  <c r="C878" i="2"/>
  <c r="U877" i="2"/>
  <c r="C877" i="2"/>
  <c r="U876" i="2"/>
  <c r="C876" i="2"/>
  <c r="U875" i="2"/>
  <c r="C875" i="2"/>
  <c r="U874" i="2"/>
  <c r="C874" i="2"/>
  <c r="U873" i="2"/>
  <c r="C873" i="2"/>
  <c r="U872" i="2"/>
  <c r="C872" i="2"/>
  <c r="U871" i="2"/>
  <c r="C871" i="2"/>
  <c r="U870" i="2"/>
  <c r="C870" i="2"/>
  <c r="U869" i="2"/>
  <c r="C869" i="2"/>
  <c r="U868" i="2"/>
  <c r="C868" i="2"/>
  <c r="U867" i="2"/>
  <c r="C867" i="2"/>
  <c r="U866" i="2"/>
  <c r="C866" i="2"/>
  <c r="U865" i="2"/>
  <c r="C865" i="2"/>
  <c r="U864" i="2"/>
  <c r="C864" i="2"/>
  <c r="U863" i="2"/>
  <c r="C863" i="2"/>
  <c r="U862" i="2"/>
  <c r="C862" i="2"/>
  <c r="U861" i="2"/>
  <c r="C861" i="2"/>
  <c r="U860" i="2"/>
  <c r="C860" i="2"/>
  <c r="U859" i="2"/>
  <c r="C859" i="2"/>
  <c r="U858" i="2"/>
  <c r="C858" i="2"/>
  <c r="U857" i="2"/>
  <c r="C857" i="2"/>
  <c r="U856" i="2"/>
  <c r="C856" i="2"/>
  <c r="U855" i="2"/>
  <c r="C855" i="2"/>
  <c r="U854" i="2"/>
  <c r="C854" i="2"/>
  <c r="U853" i="2"/>
  <c r="C853" i="2"/>
  <c r="U852" i="2"/>
  <c r="C852" i="2"/>
  <c r="U851" i="2"/>
  <c r="C851" i="2"/>
  <c r="U850" i="2"/>
  <c r="C850" i="2"/>
  <c r="U849" i="2"/>
  <c r="C849" i="2"/>
  <c r="U848" i="2"/>
  <c r="C848" i="2"/>
  <c r="U847" i="2"/>
  <c r="C847" i="2"/>
  <c r="U846" i="2"/>
  <c r="C846" i="2"/>
  <c r="U845" i="2"/>
  <c r="C845" i="2"/>
  <c r="U844" i="2"/>
  <c r="C844" i="2"/>
  <c r="U843" i="2"/>
  <c r="C843" i="2"/>
  <c r="U842" i="2"/>
  <c r="C842" i="2"/>
  <c r="U841" i="2"/>
  <c r="C841" i="2"/>
  <c r="U840" i="2"/>
  <c r="C840" i="2"/>
  <c r="U839" i="2"/>
  <c r="C839" i="2"/>
  <c r="U838" i="2"/>
  <c r="C838" i="2"/>
  <c r="U837" i="2"/>
  <c r="C837" i="2"/>
  <c r="U836" i="2"/>
  <c r="C836" i="2"/>
  <c r="U835" i="2"/>
  <c r="C835" i="2"/>
  <c r="U834" i="2"/>
  <c r="C834" i="2"/>
  <c r="U833" i="2"/>
  <c r="C833" i="2"/>
  <c r="U832" i="2"/>
  <c r="C832" i="2"/>
  <c r="U831" i="2"/>
  <c r="C831" i="2"/>
  <c r="U830" i="2"/>
  <c r="C830" i="2"/>
  <c r="U829" i="2"/>
  <c r="C829" i="2"/>
  <c r="U828" i="2"/>
  <c r="C828" i="2"/>
  <c r="U827" i="2"/>
  <c r="C827" i="2"/>
  <c r="U826" i="2"/>
  <c r="C826" i="2"/>
  <c r="U825" i="2"/>
  <c r="C825" i="2"/>
  <c r="U824" i="2"/>
  <c r="C824" i="2"/>
  <c r="U823" i="2"/>
  <c r="C823" i="2"/>
  <c r="U822" i="2"/>
  <c r="C822" i="2"/>
  <c r="U821" i="2"/>
  <c r="C821" i="2"/>
  <c r="U820" i="2"/>
  <c r="C820" i="2"/>
  <c r="U819" i="2"/>
  <c r="C819" i="2"/>
  <c r="U818" i="2"/>
  <c r="C818" i="2"/>
  <c r="U817" i="2"/>
  <c r="C817" i="2"/>
  <c r="U816" i="2"/>
  <c r="C816" i="2"/>
  <c r="U815" i="2"/>
  <c r="C815" i="2"/>
  <c r="U814" i="2"/>
  <c r="C814" i="2"/>
  <c r="U813" i="2"/>
  <c r="C813" i="2"/>
  <c r="U812" i="2"/>
  <c r="C812" i="2"/>
  <c r="U811" i="2"/>
  <c r="C811" i="2"/>
  <c r="U810" i="2"/>
  <c r="C810" i="2"/>
  <c r="U809" i="2"/>
  <c r="C809" i="2"/>
  <c r="U808" i="2"/>
  <c r="C808" i="2"/>
  <c r="U807" i="2"/>
  <c r="C807" i="2"/>
  <c r="U806" i="2"/>
  <c r="C806" i="2"/>
  <c r="U805" i="2"/>
  <c r="C805" i="2"/>
  <c r="U804" i="2"/>
  <c r="C804" i="2"/>
  <c r="U803" i="2"/>
  <c r="C803" i="2"/>
  <c r="U802" i="2"/>
  <c r="C802" i="2"/>
  <c r="U801" i="2"/>
  <c r="C801" i="2"/>
  <c r="U800" i="2"/>
  <c r="C800" i="2"/>
  <c r="U799" i="2"/>
  <c r="C799" i="2"/>
  <c r="U798" i="2"/>
  <c r="C798" i="2"/>
  <c r="U797" i="2"/>
  <c r="C797" i="2"/>
  <c r="U796" i="2"/>
  <c r="C796" i="2"/>
  <c r="U795" i="2"/>
  <c r="C795" i="2"/>
  <c r="U794" i="2"/>
  <c r="C794" i="2"/>
  <c r="U793" i="2"/>
  <c r="C793" i="2"/>
  <c r="U792" i="2"/>
  <c r="C792" i="2"/>
  <c r="U791" i="2"/>
  <c r="C791" i="2"/>
  <c r="U790" i="2"/>
  <c r="C790" i="2"/>
  <c r="U789" i="2"/>
  <c r="C789" i="2"/>
  <c r="U788" i="2"/>
  <c r="C788" i="2"/>
  <c r="U787" i="2"/>
  <c r="C787" i="2"/>
  <c r="U786" i="2"/>
  <c r="C786" i="2"/>
  <c r="U785" i="2"/>
  <c r="C785" i="2"/>
  <c r="U784" i="2"/>
  <c r="C784" i="2"/>
  <c r="U783" i="2"/>
  <c r="C783" i="2"/>
  <c r="U782" i="2"/>
  <c r="C782" i="2"/>
  <c r="U781" i="2"/>
  <c r="C781" i="2"/>
  <c r="U780" i="2"/>
  <c r="C780" i="2"/>
  <c r="U779" i="2"/>
  <c r="C779" i="2"/>
  <c r="U778" i="2"/>
  <c r="C778" i="2"/>
  <c r="U777" i="2"/>
  <c r="C777" i="2"/>
  <c r="U776" i="2"/>
  <c r="C776" i="2"/>
  <c r="U775" i="2"/>
  <c r="C775" i="2"/>
  <c r="U774" i="2"/>
  <c r="C774" i="2"/>
  <c r="U773" i="2"/>
  <c r="C773" i="2"/>
  <c r="U772" i="2"/>
  <c r="C772" i="2"/>
  <c r="U771" i="2"/>
  <c r="C771" i="2"/>
  <c r="U770" i="2"/>
  <c r="C770" i="2"/>
  <c r="U769" i="2"/>
  <c r="C769" i="2"/>
  <c r="U768" i="2"/>
  <c r="C768" i="2"/>
  <c r="U767" i="2"/>
  <c r="C767" i="2"/>
  <c r="U766" i="2"/>
  <c r="C766" i="2"/>
  <c r="U765" i="2"/>
  <c r="C765" i="2"/>
  <c r="U764" i="2"/>
  <c r="C764" i="2"/>
  <c r="U763" i="2"/>
  <c r="C763" i="2"/>
  <c r="U762" i="2"/>
  <c r="C762" i="2"/>
  <c r="U761" i="2"/>
  <c r="C761" i="2"/>
  <c r="U760" i="2"/>
  <c r="C760" i="2"/>
  <c r="U759" i="2"/>
  <c r="C759" i="2"/>
  <c r="U758" i="2"/>
  <c r="C758" i="2"/>
  <c r="U757" i="2"/>
  <c r="C757" i="2"/>
  <c r="U756" i="2"/>
  <c r="C756" i="2"/>
  <c r="U755" i="2"/>
  <c r="C755" i="2"/>
  <c r="U754" i="2"/>
  <c r="C754" i="2"/>
  <c r="U753" i="2"/>
  <c r="C753" i="2"/>
  <c r="U752" i="2"/>
  <c r="C752" i="2"/>
  <c r="U751" i="2"/>
  <c r="C751" i="2"/>
  <c r="U750" i="2"/>
  <c r="C750" i="2"/>
  <c r="U749" i="2"/>
  <c r="C749" i="2"/>
  <c r="U748" i="2"/>
  <c r="C748" i="2"/>
  <c r="U747" i="2"/>
  <c r="C747" i="2"/>
  <c r="U746" i="2"/>
  <c r="C746" i="2"/>
  <c r="U745" i="2"/>
  <c r="C745" i="2"/>
  <c r="U744" i="2"/>
  <c r="C744" i="2"/>
  <c r="U743" i="2"/>
  <c r="C743" i="2"/>
  <c r="U742" i="2"/>
  <c r="C742" i="2"/>
  <c r="U741" i="2"/>
  <c r="C741" i="2"/>
  <c r="U740" i="2"/>
  <c r="C740" i="2"/>
  <c r="U739" i="2"/>
  <c r="C739" i="2"/>
  <c r="U738" i="2"/>
  <c r="C738" i="2"/>
  <c r="U737" i="2"/>
  <c r="C737" i="2"/>
  <c r="U736" i="2"/>
  <c r="C736" i="2"/>
  <c r="U735" i="2"/>
  <c r="C735" i="2"/>
  <c r="U734" i="2"/>
  <c r="C734" i="2"/>
  <c r="U733" i="2"/>
  <c r="C733" i="2"/>
  <c r="U732" i="2"/>
  <c r="C732" i="2"/>
  <c r="U731" i="2"/>
  <c r="C731" i="2"/>
  <c r="U730" i="2"/>
  <c r="C730" i="2"/>
  <c r="U729" i="2"/>
  <c r="C729" i="2"/>
  <c r="U728" i="2"/>
  <c r="C728" i="2"/>
  <c r="U727" i="2"/>
  <c r="C727" i="2"/>
  <c r="U726" i="2"/>
  <c r="C726" i="2"/>
  <c r="U725" i="2"/>
  <c r="C725" i="2"/>
  <c r="U724" i="2"/>
  <c r="C724" i="2"/>
  <c r="U723" i="2"/>
  <c r="C723" i="2"/>
  <c r="U722" i="2"/>
  <c r="C722" i="2"/>
  <c r="U721" i="2"/>
  <c r="C721" i="2"/>
  <c r="U720" i="2"/>
  <c r="C720" i="2"/>
  <c r="U719" i="2"/>
  <c r="C719" i="2"/>
  <c r="U718" i="2"/>
  <c r="C718" i="2"/>
  <c r="U717" i="2"/>
  <c r="C717" i="2"/>
  <c r="U716" i="2"/>
  <c r="C716" i="2"/>
  <c r="U715" i="2"/>
  <c r="C715" i="2"/>
  <c r="U714" i="2"/>
  <c r="C714" i="2"/>
  <c r="U713" i="2"/>
  <c r="C713" i="2"/>
  <c r="U712" i="2"/>
  <c r="C712" i="2"/>
  <c r="U711" i="2"/>
  <c r="C711" i="2"/>
  <c r="U710" i="2"/>
  <c r="C710" i="2"/>
  <c r="U709" i="2"/>
  <c r="C709" i="2"/>
  <c r="U708" i="2"/>
  <c r="C708" i="2"/>
  <c r="U707" i="2"/>
  <c r="C707" i="2"/>
  <c r="U706" i="2"/>
  <c r="C706" i="2"/>
  <c r="U705" i="2"/>
  <c r="C705" i="2"/>
  <c r="U704" i="2"/>
  <c r="C704" i="2"/>
  <c r="U703" i="2"/>
  <c r="C703" i="2"/>
  <c r="U702" i="2"/>
  <c r="C702" i="2"/>
  <c r="U701" i="2"/>
  <c r="C701" i="2"/>
  <c r="U700" i="2"/>
  <c r="C700" i="2"/>
  <c r="U699" i="2"/>
  <c r="C699" i="2"/>
  <c r="U698" i="2"/>
  <c r="C698" i="2"/>
  <c r="U697" i="2"/>
  <c r="C697" i="2"/>
  <c r="U696" i="2"/>
  <c r="C696" i="2"/>
  <c r="U695" i="2"/>
  <c r="C695" i="2"/>
  <c r="U694" i="2"/>
  <c r="C694" i="2"/>
  <c r="U693" i="2"/>
  <c r="C693" i="2"/>
  <c r="U692" i="2"/>
  <c r="C692" i="2"/>
  <c r="U691" i="2"/>
  <c r="C691" i="2"/>
  <c r="U690" i="2"/>
  <c r="C690" i="2"/>
  <c r="U689" i="2"/>
  <c r="C689" i="2"/>
  <c r="U688" i="2"/>
  <c r="C688" i="2"/>
  <c r="U687" i="2"/>
  <c r="C687" i="2"/>
  <c r="U686" i="2"/>
  <c r="C686" i="2"/>
  <c r="U685" i="2"/>
  <c r="C685" i="2"/>
  <c r="U684" i="2"/>
  <c r="C684" i="2"/>
  <c r="U683" i="2"/>
  <c r="C683" i="2"/>
  <c r="U682" i="2"/>
  <c r="C682" i="2"/>
  <c r="U681" i="2"/>
  <c r="C681" i="2"/>
  <c r="U680" i="2"/>
  <c r="C680" i="2"/>
  <c r="U679" i="2"/>
  <c r="C679" i="2"/>
  <c r="U678" i="2"/>
  <c r="C678" i="2"/>
  <c r="U677" i="2"/>
  <c r="C677" i="2"/>
  <c r="U676" i="2"/>
  <c r="C676" i="2"/>
  <c r="U675" i="2"/>
  <c r="C675" i="2"/>
  <c r="U674" i="2"/>
  <c r="C674" i="2"/>
  <c r="U673" i="2"/>
  <c r="C673" i="2"/>
  <c r="U672" i="2"/>
  <c r="C672" i="2"/>
  <c r="U671" i="2"/>
  <c r="C671" i="2"/>
  <c r="U670" i="2"/>
  <c r="C670" i="2"/>
  <c r="U669" i="2"/>
  <c r="C669" i="2"/>
  <c r="U668" i="2"/>
  <c r="C668" i="2"/>
  <c r="U667" i="2"/>
  <c r="C667" i="2"/>
  <c r="U666" i="2"/>
  <c r="C666" i="2"/>
  <c r="U665" i="2"/>
  <c r="C665" i="2"/>
  <c r="U664" i="2"/>
  <c r="C664" i="2"/>
  <c r="U663" i="2"/>
  <c r="C663" i="2"/>
  <c r="U662" i="2"/>
  <c r="C662" i="2"/>
  <c r="U661" i="2"/>
  <c r="C661" i="2"/>
  <c r="U660" i="2"/>
  <c r="C660" i="2"/>
  <c r="U659" i="2"/>
  <c r="C659" i="2"/>
  <c r="U658" i="2"/>
  <c r="C658" i="2"/>
  <c r="U657" i="2"/>
  <c r="C657" i="2"/>
  <c r="U656" i="2"/>
  <c r="C656" i="2"/>
  <c r="U655" i="2"/>
  <c r="C655" i="2"/>
  <c r="U654" i="2"/>
  <c r="C654" i="2"/>
  <c r="U653" i="2"/>
  <c r="C653" i="2"/>
  <c r="U652" i="2"/>
  <c r="C652" i="2"/>
  <c r="U651" i="2"/>
  <c r="C651" i="2"/>
  <c r="U650" i="2"/>
  <c r="C650" i="2"/>
  <c r="U649" i="2"/>
  <c r="C649" i="2"/>
  <c r="U648" i="2"/>
  <c r="C648" i="2"/>
  <c r="U647" i="2"/>
  <c r="C647" i="2"/>
  <c r="U646" i="2"/>
  <c r="C646" i="2"/>
  <c r="U645" i="2"/>
  <c r="C645" i="2"/>
  <c r="U644" i="2"/>
  <c r="C644" i="2"/>
  <c r="U643" i="2"/>
  <c r="C643" i="2"/>
  <c r="U642" i="2"/>
  <c r="C642" i="2"/>
  <c r="U641" i="2"/>
  <c r="C641" i="2"/>
  <c r="U640" i="2"/>
  <c r="C640" i="2"/>
  <c r="U639" i="2"/>
  <c r="C639" i="2"/>
  <c r="U638" i="2"/>
  <c r="C638" i="2"/>
  <c r="U637" i="2"/>
  <c r="C637" i="2"/>
  <c r="U636" i="2"/>
  <c r="C636" i="2"/>
  <c r="U635" i="2"/>
  <c r="C635" i="2"/>
  <c r="U634" i="2"/>
  <c r="C634" i="2"/>
  <c r="U633" i="2"/>
  <c r="C633" i="2"/>
  <c r="U632" i="2"/>
  <c r="C632" i="2"/>
  <c r="U631" i="2"/>
  <c r="C631" i="2"/>
  <c r="U630" i="2"/>
  <c r="C630" i="2"/>
  <c r="U629" i="2"/>
  <c r="C629" i="2"/>
  <c r="U628" i="2"/>
  <c r="C628" i="2"/>
  <c r="U627" i="2"/>
  <c r="C627" i="2"/>
  <c r="U626" i="2"/>
  <c r="C626" i="2"/>
  <c r="U625" i="2"/>
  <c r="C625" i="2"/>
  <c r="U624" i="2"/>
  <c r="C624" i="2"/>
  <c r="U623" i="2"/>
  <c r="C623" i="2"/>
  <c r="U622" i="2"/>
  <c r="C622" i="2"/>
  <c r="U621" i="2"/>
  <c r="C621" i="2"/>
  <c r="U620" i="2"/>
  <c r="C620" i="2"/>
  <c r="U619" i="2"/>
  <c r="C619" i="2"/>
  <c r="U618" i="2"/>
  <c r="C618" i="2"/>
  <c r="U617" i="2"/>
  <c r="C617" i="2"/>
  <c r="U616" i="2"/>
  <c r="C616" i="2"/>
  <c r="U615" i="2"/>
  <c r="C615" i="2"/>
  <c r="U614" i="2"/>
  <c r="C614" i="2"/>
  <c r="U613" i="2"/>
  <c r="C613" i="2"/>
  <c r="U612" i="2"/>
  <c r="C612" i="2"/>
  <c r="U611" i="2"/>
  <c r="C611" i="2"/>
  <c r="U610" i="2"/>
  <c r="C610" i="2"/>
  <c r="U609" i="2"/>
  <c r="C609" i="2"/>
  <c r="U608" i="2"/>
  <c r="C608" i="2"/>
  <c r="U607" i="2"/>
  <c r="C607" i="2"/>
  <c r="U606" i="2"/>
  <c r="C606" i="2"/>
  <c r="U605" i="2"/>
  <c r="C605" i="2"/>
  <c r="U604" i="2"/>
  <c r="C604" i="2"/>
  <c r="U603" i="2"/>
  <c r="C603" i="2"/>
  <c r="U602" i="2"/>
  <c r="C602" i="2"/>
  <c r="U601" i="2"/>
  <c r="C601" i="2"/>
  <c r="U600" i="2"/>
  <c r="C600" i="2"/>
  <c r="U599" i="2"/>
  <c r="C599" i="2"/>
  <c r="U598" i="2"/>
  <c r="C598" i="2"/>
  <c r="U597" i="2"/>
  <c r="C597" i="2"/>
  <c r="U596" i="2"/>
  <c r="C596" i="2"/>
  <c r="U595" i="2"/>
  <c r="C595" i="2"/>
  <c r="U594" i="2"/>
  <c r="C594" i="2"/>
  <c r="U593" i="2"/>
  <c r="C593" i="2"/>
  <c r="U592" i="2"/>
  <c r="C592" i="2"/>
  <c r="U591" i="2"/>
  <c r="C591" i="2"/>
  <c r="U590" i="2"/>
  <c r="C590" i="2"/>
  <c r="U589" i="2"/>
  <c r="C589" i="2"/>
  <c r="U588" i="2"/>
  <c r="C588" i="2"/>
  <c r="U587" i="2"/>
  <c r="C587" i="2"/>
  <c r="U586" i="2"/>
  <c r="C586" i="2"/>
  <c r="U585" i="2"/>
  <c r="C585" i="2"/>
  <c r="U584" i="2"/>
  <c r="C584" i="2"/>
  <c r="U583" i="2"/>
  <c r="C583" i="2"/>
  <c r="U582" i="2"/>
  <c r="C582" i="2"/>
  <c r="U581" i="2"/>
  <c r="C581" i="2"/>
  <c r="U580" i="2"/>
  <c r="C580" i="2"/>
  <c r="U579" i="2"/>
  <c r="C579" i="2"/>
  <c r="U578" i="2"/>
  <c r="C578" i="2"/>
  <c r="U577" i="2"/>
  <c r="C577" i="2"/>
  <c r="U576" i="2"/>
  <c r="C576" i="2"/>
  <c r="U575" i="2"/>
  <c r="C575" i="2"/>
  <c r="U574" i="2"/>
  <c r="C574" i="2"/>
  <c r="U573" i="2"/>
  <c r="C573" i="2"/>
  <c r="U572" i="2"/>
  <c r="C572" i="2"/>
  <c r="U571" i="2"/>
  <c r="C571" i="2"/>
  <c r="U570" i="2"/>
  <c r="C570" i="2"/>
  <c r="U569" i="2"/>
  <c r="C569" i="2"/>
  <c r="U568" i="2"/>
  <c r="C568" i="2"/>
  <c r="U567" i="2"/>
  <c r="C567" i="2"/>
  <c r="U566" i="2"/>
  <c r="C566" i="2"/>
  <c r="U565" i="2"/>
  <c r="C565" i="2"/>
  <c r="U564" i="2"/>
  <c r="C564" i="2"/>
  <c r="U563" i="2"/>
  <c r="C563" i="2"/>
  <c r="U562" i="2"/>
  <c r="C562" i="2"/>
  <c r="U561" i="2"/>
  <c r="C561" i="2"/>
  <c r="U560" i="2"/>
  <c r="C560" i="2"/>
  <c r="U559" i="2"/>
  <c r="C559" i="2"/>
  <c r="U558" i="2"/>
  <c r="C558" i="2"/>
  <c r="U557" i="2"/>
  <c r="C557" i="2"/>
  <c r="U556" i="2"/>
  <c r="C556" i="2"/>
  <c r="U555" i="2"/>
  <c r="C555" i="2"/>
  <c r="U554" i="2"/>
  <c r="C554" i="2"/>
  <c r="U553" i="2"/>
  <c r="C553" i="2"/>
  <c r="U552" i="2"/>
  <c r="C552" i="2"/>
  <c r="U551" i="2"/>
  <c r="C551" i="2"/>
  <c r="U550" i="2"/>
  <c r="C550" i="2"/>
  <c r="U549" i="2"/>
  <c r="C549" i="2"/>
  <c r="U548" i="2"/>
  <c r="C548" i="2"/>
  <c r="U547" i="2"/>
  <c r="C547" i="2"/>
  <c r="U546" i="2"/>
  <c r="C546" i="2"/>
  <c r="U545" i="2"/>
  <c r="C545" i="2"/>
  <c r="U544" i="2"/>
  <c r="C544" i="2"/>
  <c r="U543" i="2"/>
  <c r="C543" i="2"/>
  <c r="U542" i="2"/>
  <c r="C542" i="2"/>
  <c r="U541" i="2"/>
  <c r="C541" i="2"/>
  <c r="U540" i="2"/>
  <c r="C540" i="2"/>
  <c r="U539" i="2"/>
  <c r="C539" i="2"/>
  <c r="U538" i="2"/>
  <c r="C538" i="2"/>
  <c r="U537" i="2"/>
  <c r="C537" i="2"/>
  <c r="U536" i="2"/>
  <c r="C536" i="2"/>
  <c r="U535" i="2"/>
  <c r="C535" i="2"/>
  <c r="C534" i="2"/>
  <c r="U534" i="2" s="1"/>
  <c r="U533" i="2"/>
  <c r="C533" i="2"/>
  <c r="U532" i="2"/>
  <c r="C532" i="2"/>
  <c r="U531" i="2"/>
  <c r="C531" i="2"/>
  <c r="U530" i="2"/>
  <c r="C530" i="2"/>
  <c r="U529" i="2"/>
  <c r="C529" i="2"/>
  <c r="C528" i="2"/>
  <c r="U528" i="2" s="1"/>
  <c r="U527" i="2"/>
  <c r="C527" i="2"/>
  <c r="C526" i="2"/>
  <c r="U526" i="2" s="1"/>
  <c r="U525" i="2"/>
  <c r="C525" i="2"/>
  <c r="C524" i="2"/>
  <c r="U524" i="2" s="1"/>
  <c r="U523" i="2"/>
  <c r="C523" i="2"/>
  <c r="C522" i="2"/>
  <c r="U522" i="2" s="1"/>
  <c r="U521" i="2"/>
  <c r="C521" i="2"/>
  <c r="C520" i="2"/>
  <c r="U520" i="2" s="1"/>
  <c r="U519" i="2"/>
  <c r="C519" i="2"/>
  <c r="C518" i="2"/>
  <c r="U518" i="2" s="1"/>
  <c r="U517" i="2"/>
  <c r="C517" i="2"/>
  <c r="C516" i="2"/>
  <c r="U516" i="2" s="1"/>
  <c r="U515" i="2"/>
  <c r="C515" i="2"/>
  <c r="C514" i="2"/>
  <c r="U514" i="2" s="1"/>
  <c r="U513" i="2"/>
  <c r="C513" i="2"/>
  <c r="C512" i="2"/>
  <c r="U512" i="2" s="1"/>
  <c r="U511" i="2"/>
  <c r="C511" i="2"/>
  <c r="C510" i="2"/>
  <c r="U510" i="2" s="1"/>
  <c r="U509" i="2"/>
  <c r="C509" i="2"/>
  <c r="C508" i="2"/>
  <c r="U508" i="2" s="1"/>
  <c r="U507" i="2"/>
  <c r="C507" i="2"/>
  <c r="C506" i="2"/>
  <c r="U506" i="2" s="1"/>
  <c r="U505" i="2"/>
  <c r="C505" i="2"/>
  <c r="C504" i="2"/>
  <c r="U504" i="2" s="1"/>
  <c r="U503" i="2"/>
  <c r="C503" i="2"/>
  <c r="C502" i="2"/>
  <c r="U502" i="2" s="1"/>
  <c r="U501" i="2"/>
  <c r="C501" i="2"/>
  <c r="C500" i="2"/>
  <c r="U500" i="2" s="1"/>
  <c r="U499" i="2"/>
  <c r="C499" i="2"/>
  <c r="C498" i="2"/>
  <c r="U498" i="2" s="1"/>
  <c r="U497" i="2"/>
  <c r="C497" i="2"/>
  <c r="C496" i="2"/>
  <c r="U496" i="2" s="1"/>
  <c r="U495" i="2"/>
  <c r="C495" i="2"/>
  <c r="C494" i="2"/>
  <c r="U494" i="2" s="1"/>
  <c r="U493" i="2"/>
  <c r="C493" i="2"/>
  <c r="C492" i="2"/>
  <c r="U492" i="2" s="1"/>
  <c r="U491" i="2"/>
  <c r="C491" i="2"/>
  <c r="C490" i="2"/>
  <c r="U490" i="2" s="1"/>
  <c r="U489" i="2"/>
  <c r="C489" i="2"/>
  <c r="C488" i="2"/>
  <c r="U488" i="2" s="1"/>
  <c r="U487" i="2"/>
  <c r="C487" i="2"/>
  <c r="C486" i="2"/>
  <c r="U486" i="2" s="1"/>
  <c r="U485" i="2"/>
  <c r="C485" i="2"/>
  <c r="C484" i="2"/>
  <c r="U484" i="2" s="1"/>
  <c r="U483" i="2"/>
  <c r="C483" i="2"/>
  <c r="C482" i="2"/>
  <c r="U482" i="2" s="1"/>
  <c r="U481" i="2"/>
  <c r="C481" i="2"/>
  <c r="C480" i="2"/>
  <c r="U480" i="2" s="1"/>
  <c r="U479" i="2"/>
  <c r="C479" i="2"/>
  <c r="C478" i="2"/>
  <c r="U478" i="2" s="1"/>
  <c r="U477" i="2"/>
  <c r="C477" i="2"/>
  <c r="C476" i="2"/>
  <c r="U476" i="2" s="1"/>
  <c r="U475" i="2"/>
  <c r="C475" i="2"/>
  <c r="C474" i="2"/>
  <c r="U474" i="2" s="1"/>
  <c r="U473" i="2"/>
  <c r="C473" i="2"/>
  <c r="C472" i="2"/>
  <c r="U472" i="2" s="1"/>
  <c r="U471" i="2"/>
  <c r="C471" i="2"/>
  <c r="C470" i="2"/>
  <c r="U470" i="2" s="1"/>
  <c r="U469" i="2"/>
  <c r="C469" i="2"/>
  <c r="C468" i="2"/>
  <c r="U468" i="2" s="1"/>
  <c r="U467" i="2"/>
  <c r="C467" i="2"/>
  <c r="C466" i="2"/>
  <c r="U466" i="2" s="1"/>
  <c r="U465" i="2"/>
  <c r="C465" i="2"/>
  <c r="C464" i="2"/>
  <c r="U464" i="2" s="1"/>
  <c r="U463" i="2"/>
  <c r="C463" i="2"/>
  <c r="C462" i="2"/>
  <c r="U462" i="2" s="1"/>
  <c r="U461" i="2"/>
  <c r="C461" i="2"/>
  <c r="C460" i="2"/>
  <c r="U460" i="2" s="1"/>
  <c r="U459" i="2"/>
  <c r="C459" i="2"/>
  <c r="C458" i="2"/>
  <c r="U458" i="2" s="1"/>
  <c r="U457" i="2"/>
  <c r="C457" i="2"/>
  <c r="C456" i="2"/>
  <c r="U456" i="2" s="1"/>
  <c r="U455" i="2"/>
  <c r="C455" i="2"/>
  <c r="C454" i="2"/>
  <c r="U454" i="2" s="1"/>
  <c r="U453" i="2"/>
  <c r="C453" i="2"/>
  <c r="C452" i="2"/>
  <c r="U452" i="2" s="1"/>
  <c r="U451" i="2"/>
  <c r="C451" i="2"/>
  <c r="C450" i="2"/>
  <c r="U450" i="2" s="1"/>
  <c r="U449" i="2"/>
  <c r="C449" i="2"/>
  <c r="C448" i="2"/>
  <c r="U448" i="2" s="1"/>
  <c r="U447" i="2"/>
  <c r="C447" i="2"/>
  <c r="C446" i="2"/>
  <c r="U446" i="2" s="1"/>
  <c r="U445" i="2"/>
  <c r="C445" i="2"/>
  <c r="C444" i="2"/>
  <c r="U444" i="2" s="1"/>
  <c r="U443" i="2"/>
  <c r="C443" i="2"/>
  <c r="C442" i="2"/>
  <c r="U442" i="2" s="1"/>
  <c r="U441" i="2"/>
  <c r="C441" i="2"/>
  <c r="C440" i="2"/>
  <c r="U440" i="2" s="1"/>
  <c r="U439" i="2"/>
  <c r="C439" i="2"/>
  <c r="C438" i="2"/>
  <c r="U438" i="2" s="1"/>
  <c r="U437" i="2"/>
  <c r="C437" i="2"/>
  <c r="C436" i="2"/>
  <c r="U436" i="2" s="1"/>
  <c r="U435" i="2"/>
  <c r="C435" i="2"/>
  <c r="C434" i="2"/>
  <c r="U434" i="2" s="1"/>
  <c r="C433" i="2"/>
  <c r="U433" i="2" s="1"/>
  <c r="C432" i="2"/>
  <c r="U432" i="2" s="1"/>
  <c r="C431" i="2"/>
  <c r="U431" i="2" s="1"/>
  <c r="C430" i="2"/>
  <c r="U430" i="2" s="1"/>
  <c r="C429" i="2"/>
  <c r="U429" i="2" s="1"/>
  <c r="C428" i="2"/>
  <c r="U428" i="2" s="1"/>
  <c r="U427" i="2"/>
  <c r="C427" i="2"/>
  <c r="C426" i="2"/>
  <c r="U426" i="2" s="1"/>
  <c r="C425" i="2"/>
  <c r="U425" i="2" s="1"/>
  <c r="C424" i="2"/>
  <c r="U424" i="2" s="1"/>
  <c r="C423" i="2"/>
  <c r="U423" i="2" s="1"/>
  <c r="C422" i="2"/>
  <c r="U422" i="2" s="1"/>
  <c r="C421" i="2"/>
  <c r="U421" i="2" s="1"/>
  <c r="C420" i="2"/>
  <c r="U420" i="2" s="1"/>
  <c r="U419" i="2"/>
  <c r="C419" i="2"/>
  <c r="C418" i="2"/>
  <c r="U418" i="2" s="1"/>
  <c r="C417" i="2"/>
  <c r="U417" i="2" s="1"/>
  <c r="C416" i="2"/>
  <c r="U416" i="2" s="1"/>
  <c r="U415" i="2"/>
  <c r="C415" i="2"/>
  <c r="C414" i="2"/>
  <c r="U414" i="2" s="1"/>
  <c r="C413" i="2"/>
  <c r="U413" i="2" s="1"/>
  <c r="C412" i="2"/>
  <c r="U412" i="2" s="1"/>
  <c r="U411" i="2"/>
  <c r="C411" i="2"/>
  <c r="C410" i="2"/>
  <c r="U410" i="2" s="1"/>
  <c r="U409" i="2"/>
  <c r="C409" i="2"/>
  <c r="C408" i="2"/>
  <c r="U408" i="2" s="1"/>
  <c r="C407" i="2"/>
  <c r="U407" i="2" s="1"/>
  <c r="C406" i="2"/>
  <c r="U406" i="2" s="1"/>
  <c r="C405" i="2"/>
  <c r="U405" i="2" s="1"/>
  <c r="C404" i="2"/>
  <c r="U404" i="2" s="1"/>
  <c r="U403" i="2"/>
  <c r="C403" i="2"/>
  <c r="C402" i="2"/>
  <c r="U402" i="2" s="1"/>
  <c r="C401" i="2"/>
  <c r="U401" i="2" s="1"/>
  <c r="C400" i="2"/>
  <c r="U400" i="2" s="1"/>
  <c r="C399" i="2"/>
  <c r="U399" i="2" s="1"/>
  <c r="C398" i="2"/>
  <c r="U398" i="2" s="1"/>
  <c r="C397" i="2"/>
  <c r="U397" i="2" s="1"/>
  <c r="C396" i="2"/>
  <c r="U396" i="2" s="1"/>
  <c r="U395" i="2"/>
  <c r="C395" i="2"/>
  <c r="C394" i="2"/>
  <c r="U394" i="2" s="1"/>
  <c r="C393" i="2"/>
  <c r="U393" i="2" s="1"/>
  <c r="C392" i="2"/>
  <c r="U392" i="2" s="1"/>
  <c r="C391" i="2"/>
  <c r="U391" i="2" s="1"/>
  <c r="C390" i="2"/>
  <c r="U390" i="2" s="1"/>
  <c r="C389" i="2"/>
  <c r="U389" i="2" s="1"/>
  <c r="C388" i="2"/>
  <c r="U388" i="2" s="1"/>
  <c r="U387" i="2"/>
  <c r="C387" i="2"/>
  <c r="C386" i="2"/>
  <c r="U386" i="2" s="1"/>
  <c r="C385" i="2"/>
  <c r="U385" i="2" s="1"/>
  <c r="C384" i="2"/>
  <c r="U384" i="2" s="1"/>
  <c r="U383" i="2"/>
  <c r="C383" i="2"/>
  <c r="C382" i="2"/>
  <c r="U382" i="2" s="1"/>
  <c r="C381" i="2"/>
  <c r="U381" i="2" s="1"/>
  <c r="C380" i="2"/>
  <c r="U380" i="2" s="1"/>
  <c r="U379" i="2"/>
  <c r="C379" i="2"/>
  <c r="C378" i="2"/>
  <c r="U378" i="2" s="1"/>
  <c r="U377" i="2"/>
  <c r="C377" i="2"/>
  <c r="C376" i="2"/>
  <c r="U376" i="2" s="1"/>
  <c r="C375" i="2"/>
  <c r="U375" i="2" s="1"/>
  <c r="C374" i="2"/>
  <c r="U374" i="2" s="1"/>
  <c r="C373" i="2"/>
  <c r="U373" i="2" s="1"/>
  <c r="C372" i="2"/>
  <c r="U372" i="2" s="1"/>
  <c r="U371" i="2"/>
  <c r="C371" i="2"/>
  <c r="C370" i="2"/>
  <c r="U370" i="2" s="1"/>
  <c r="C369" i="2"/>
  <c r="U369" i="2" s="1"/>
  <c r="C368" i="2"/>
  <c r="U368" i="2" s="1"/>
  <c r="C367" i="2"/>
  <c r="U367" i="2" s="1"/>
  <c r="C366" i="2"/>
  <c r="U366" i="2" s="1"/>
  <c r="C365" i="2"/>
  <c r="U365" i="2" s="1"/>
  <c r="C364" i="2"/>
  <c r="U364" i="2" s="1"/>
  <c r="U363" i="2"/>
  <c r="C363" i="2"/>
  <c r="C362" i="2"/>
  <c r="U362" i="2" s="1"/>
  <c r="C361" i="2"/>
  <c r="U361" i="2" s="1"/>
  <c r="C360" i="2"/>
  <c r="U360" i="2" s="1"/>
  <c r="C359" i="2"/>
  <c r="U359" i="2" s="1"/>
  <c r="C358" i="2"/>
  <c r="U358" i="2" s="1"/>
  <c r="U357" i="2"/>
  <c r="C357" i="2"/>
  <c r="C356" i="2"/>
  <c r="U356" i="2" s="1"/>
  <c r="C355" i="2"/>
  <c r="U355" i="2" s="1"/>
  <c r="C354" i="2"/>
  <c r="U354" i="2" s="1"/>
  <c r="C353" i="2"/>
  <c r="U353" i="2" s="1"/>
  <c r="C352" i="2"/>
  <c r="U352" i="2" s="1"/>
  <c r="C351" i="2"/>
  <c r="U351" i="2" s="1"/>
  <c r="C350" i="2"/>
  <c r="U350" i="2" s="1"/>
  <c r="U349" i="2"/>
  <c r="C349" i="2"/>
  <c r="C348" i="2"/>
  <c r="U348" i="2" s="1"/>
  <c r="C347" i="2"/>
  <c r="U347" i="2" s="1"/>
  <c r="C346" i="2"/>
  <c r="U346" i="2" s="1"/>
  <c r="C345" i="2"/>
  <c r="U345" i="2" s="1"/>
  <c r="C344" i="2"/>
  <c r="U344" i="2" s="1"/>
  <c r="C343" i="2"/>
  <c r="U343" i="2" s="1"/>
  <c r="C342" i="2"/>
  <c r="U342" i="2" s="1"/>
  <c r="U341" i="2"/>
  <c r="C341" i="2"/>
  <c r="C340" i="2"/>
  <c r="U340" i="2" s="1"/>
  <c r="C339" i="2"/>
  <c r="U339" i="2" s="1"/>
  <c r="C338" i="2"/>
  <c r="U338" i="2" s="1"/>
  <c r="C337" i="2"/>
  <c r="U337" i="2" s="1"/>
  <c r="C336" i="2"/>
  <c r="U336" i="2" s="1"/>
  <c r="C335" i="2"/>
  <c r="U335" i="2" s="1"/>
  <c r="C334" i="2"/>
  <c r="U334" i="2" s="1"/>
  <c r="U333" i="2"/>
  <c r="C333" i="2"/>
  <c r="C332" i="2"/>
  <c r="U332" i="2" s="1"/>
  <c r="C331" i="2"/>
  <c r="U331" i="2" s="1"/>
  <c r="C330" i="2"/>
  <c r="U330" i="2" s="1"/>
  <c r="C329" i="2"/>
  <c r="U329" i="2" s="1"/>
  <c r="C328" i="2"/>
  <c r="U328" i="2" s="1"/>
  <c r="C327" i="2"/>
  <c r="U327" i="2" s="1"/>
  <c r="C326" i="2"/>
  <c r="U326" i="2" s="1"/>
  <c r="U325" i="2"/>
  <c r="C325" i="2"/>
  <c r="C324" i="2"/>
  <c r="U324" i="2" s="1"/>
  <c r="C323" i="2"/>
  <c r="U323" i="2" s="1"/>
  <c r="C322" i="2"/>
  <c r="U322" i="2" s="1"/>
  <c r="C321" i="2"/>
  <c r="U321" i="2" s="1"/>
  <c r="C320" i="2"/>
  <c r="U320" i="2" s="1"/>
  <c r="C319" i="2"/>
  <c r="U319" i="2" s="1"/>
  <c r="C318" i="2"/>
  <c r="U318" i="2" s="1"/>
  <c r="U317" i="2"/>
  <c r="C317" i="2"/>
  <c r="C316" i="2"/>
  <c r="U316" i="2" s="1"/>
  <c r="C315" i="2"/>
  <c r="U315" i="2" s="1"/>
  <c r="C314" i="2"/>
  <c r="U314" i="2" s="1"/>
  <c r="C313" i="2"/>
  <c r="U313" i="2" s="1"/>
  <c r="C312" i="2"/>
  <c r="U312" i="2" s="1"/>
  <c r="C311" i="2"/>
  <c r="U311" i="2" s="1"/>
  <c r="C310" i="2"/>
  <c r="U310" i="2" s="1"/>
  <c r="U309" i="2"/>
  <c r="C309" i="2"/>
  <c r="C308" i="2"/>
  <c r="U308" i="2" s="1"/>
  <c r="C307" i="2"/>
  <c r="U307" i="2" s="1"/>
  <c r="C306" i="2"/>
  <c r="U306" i="2" s="1"/>
  <c r="C305" i="2"/>
  <c r="U305" i="2" s="1"/>
  <c r="C304" i="2"/>
  <c r="U304" i="2" s="1"/>
  <c r="C303" i="2"/>
  <c r="U303" i="2" s="1"/>
  <c r="C302" i="2"/>
  <c r="U302" i="2" s="1"/>
  <c r="U301" i="2"/>
  <c r="C301" i="2"/>
  <c r="C300" i="2"/>
  <c r="U300" i="2" s="1"/>
  <c r="C299" i="2"/>
  <c r="U299" i="2" s="1"/>
  <c r="C298" i="2"/>
  <c r="U298" i="2" s="1"/>
  <c r="C297" i="2"/>
  <c r="U297" i="2" s="1"/>
  <c r="C296" i="2"/>
  <c r="U296" i="2" s="1"/>
  <c r="C295" i="2"/>
  <c r="U295" i="2" s="1"/>
  <c r="C294" i="2"/>
  <c r="U294" i="2" s="1"/>
  <c r="U293" i="2"/>
  <c r="C293" i="2"/>
  <c r="C292" i="2"/>
  <c r="U292" i="2" s="1"/>
  <c r="C291" i="2"/>
  <c r="U291" i="2" s="1"/>
  <c r="C290" i="2"/>
  <c r="U290" i="2" s="1"/>
  <c r="C289" i="2"/>
  <c r="U289" i="2" s="1"/>
  <c r="C288" i="2"/>
  <c r="U288" i="2" s="1"/>
  <c r="C287" i="2"/>
  <c r="U287" i="2" s="1"/>
  <c r="C286" i="2"/>
  <c r="U286" i="2" s="1"/>
  <c r="U285" i="2"/>
  <c r="C285" i="2"/>
  <c r="C284" i="2"/>
  <c r="U284" i="2" s="1"/>
  <c r="C283" i="2"/>
  <c r="U283" i="2" s="1"/>
  <c r="C282" i="2"/>
  <c r="U282" i="2" s="1"/>
  <c r="C281" i="2"/>
  <c r="U281" i="2" s="1"/>
  <c r="C280" i="2"/>
  <c r="U280" i="2" s="1"/>
  <c r="C279" i="2"/>
  <c r="U279" i="2" s="1"/>
  <c r="C278" i="2"/>
  <c r="U278" i="2" s="1"/>
  <c r="U277" i="2"/>
  <c r="C277" i="2"/>
  <c r="C276" i="2"/>
  <c r="U276" i="2" s="1"/>
  <c r="C275" i="2"/>
  <c r="U275" i="2" s="1"/>
  <c r="C274" i="2"/>
  <c r="U274" i="2" s="1"/>
  <c r="C273" i="2"/>
  <c r="U273" i="2" s="1"/>
  <c r="C272" i="2"/>
  <c r="U272" i="2" s="1"/>
  <c r="C271" i="2"/>
  <c r="U271" i="2" s="1"/>
  <c r="C270" i="2"/>
  <c r="U270" i="2" s="1"/>
  <c r="U269" i="2"/>
  <c r="C269" i="2"/>
  <c r="C268" i="2"/>
  <c r="U268" i="2" s="1"/>
  <c r="C267" i="2"/>
  <c r="U267" i="2" s="1"/>
  <c r="C266" i="2"/>
  <c r="U266" i="2" s="1"/>
  <c r="C265" i="2"/>
  <c r="U265" i="2" s="1"/>
  <c r="C264" i="2"/>
  <c r="U264" i="2" s="1"/>
  <c r="C263" i="2"/>
  <c r="U263" i="2" s="1"/>
  <c r="C262" i="2"/>
  <c r="U262" i="2" s="1"/>
  <c r="U261" i="2"/>
  <c r="C261" i="2"/>
  <c r="C260" i="2"/>
  <c r="U260" i="2" s="1"/>
  <c r="C259" i="2"/>
  <c r="U259" i="2" s="1"/>
  <c r="C258" i="2"/>
  <c r="U258" i="2" s="1"/>
  <c r="C257" i="2"/>
  <c r="U257" i="2" s="1"/>
  <c r="C256" i="2"/>
  <c r="U256" i="2" s="1"/>
  <c r="C255" i="2"/>
  <c r="U255" i="2" s="1"/>
  <c r="C254" i="2"/>
  <c r="U254" i="2" s="1"/>
  <c r="U253" i="2"/>
  <c r="C253" i="2"/>
  <c r="C252" i="2"/>
  <c r="U252" i="2" s="1"/>
  <c r="C251" i="2"/>
  <c r="U251" i="2" s="1"/>
  <c r="C250" i="2"/>
  <c r="U250" i="2" s="1"/>
  <c r="C249" i="2"/>
  <c r="U249" i="2" s="1"/>
  <c r="C248" i="2"/>
  <c r="U248" i="2" s="1"/>
  <c r="C247" i="2"/>
  <c r="U247" i="2" s="1"/>
  <c r="C246" i="2"/>
  <c r="U246" i="2" s="1"/>
  <c r="U245" i="2"/>
  <c r="C245" i="2"/>
  <c r="C244" i="2"/>
  <c r="U244" i="2" s="1"/>
  <c r="C243" i="2"/>
  <c r="U243" i="2" s="1"/>
  <c r="C242" i="2"/>
  <c r="U242" i="2" s="1"/>
  <c r="C241" i="2"/>
  <c r="U241" i="2" s="1"/>
  <c r="C240" i="2"/>
  <c r="U240" i="2" s="1"/>
  <c r="C239" i="2"/>
  <c r="U239" i="2" s="1"/>
  <c r="C238" i="2"/>
  <c r="U238" i="2" s="1"/>
  <c r="U237" i="2"/>
  <c r="C237" i="2"/>
  <c r="C236" i="2"/>
  <c r="U236" i="2" s="1"/>
  <c r="C235" i="2"/>
  <c r="U235" i="2" s="1"/>
  <c r="C234" i="2"/>
  <c r="U234" i="2" s="1"/>
  <c r="C233" i="2"/>
  <c r="U233" i="2" s="1"/>
  <c r="C232" i="2"/>
  <c r="U232" i="2" s="1"/>
  <c r="C231" i="2"/>
  <c r="U231" i="2" s="1"/>
  <c r="C230" i="2"/>
  <c r="U230" i="2" s="1"/>
  <c r="U229" i="2"/>
  <c r="C229" i="2"/>
  <c r="C228" i="2"/>
  <c r="U228" i="2" s="1"/>
  <c r="C227" i="2"/>
  <c r="U227" i="2" s="1"/>
  <c r="C226" i="2"/>
  <c r="U226" i="2" s="1"/>
  <c r="C225" i="2"/>
  <c r="U225" i="2" s="1"/>
  <c r="C224" i="2"/>
  <c r="U224" i="2" s="1"/>
  <c r="C223" i="2"/>
  <c r="U223" i="2" s="1"/>
  <c r="C222" i="2"/>
  <c r="U222" i="2" s="1"/>
  <c r="U221" i="2"/>
  <c r="C221" i="2"/>
  <c r="C220" i="2"/>
  <c r="U220" i="2" s="1"/>
  <c r="C219" i="2"/>
  <c r="U219" i="2" s="1"/>
  <c r="C218" i="2"/>
  <c r="U218" i="2" s="1"/>
  <c r="C217" i="2"/>
  <c r="U217" i="2" s="1"/>
  <c r="C216" i="2"/>
  <c r="U216" i="2" s="1"/>
  <c r="C215" i="2"/>
  <c r="U215" i="2" s="1"/>
  <c r="C214" i="2"/>
  <c r="U214" i="2" s="1"/>
  <c r="U213" i="2"/>
  <c r="C213" i="2"/>
  <c r="C212" i="2"/>
  <c r="U212" i="2" s="1"/>
  <c r="C211" i="2"/>
  <c r="U211" i="2" s="1"/>
  <c r="C210" i="2"/>
  <c r="U210" i="2" s="1"/>
  <c r="C209" i="2"/>
  <c r="U209" i="2" s="1"/>
  <c r="C208" i="2"/>
  <c r="U208" i="2" s="1"/>
  <c r="C207" i="2"/>
  <c r="U207" i="2" s="1"/>
  <c r="C206" i="2"/>
  <c r="U206" i="2" s="1"/>
  <c r="U205" i="2"/>
  <c r="C205" i="2"/>
  <c r="C204" i="2"/>
  <c r="U204" i="2" s="1"/>
  <c r="C203" i="2"/>
  <c r="U203" i="2" s="1"/>
  <c r="C202" i="2"/>
  <c r="U202" i="2" s="1"/>
  <c r="C201" i="2"/>
  <c r="U201" i="2" s="1"/>
  <c r="C200" i="2"/>
  <c r="U200" i="2" s="1"/>
  <c r="C199" i="2"/>
  <c r="U199" i="2" s="1"/>
  <c r="C198" i="2"/>
  <c r="U198" i="2" s="1"/>
  <c r="U197" i="2"/>
  <c r="C197" i="2"/>
  <c r="C196" i="2"/>
  <c r="U196" i="2" s="1"/>
  <c r="C195" i="2"/>
  <c r="U195" i="2" s="1"/>
  <c r="C194" i="2"/>
  <c r="U194" i="2" s="1"/>
  <c r="C193" i="2"/>
  <c r="U193" i="2" s="1"/>
  <c r="C192" i="2"/>
  <c r="U192" i="2" s="1"/>
  <c r="C191" i="2"/>
  <c r="U191" i="2" s="1"/>
  <c r="C190" i="2"/>
  <c r="U190" i="2" s="1"/>
  <c r="U189" i="2"/>
  <c r="C189" i="2"/>
  <c r="C188" i="2"/>
  <c r="U188" i="2" s="1"/>
  <c r="C187" i="2"/>
  <c r="U187" i="2" s="1"/>
  <c r="C186" i="2"/>
  <c r="U186" i="2" s="1"/>
  <c r="C185" i="2"/>
  <c r="U185" i="2" s="1"/>
  <c r="C184" i="2"/>
  <c r="U184" i="2" s="1"/>
  <c r="C183" i="2"/>
  <c r="U183" i="2" s="1"/>
  <c r="C182" i="2"/>
  <c r="U182" i="2" s="1"/>
  <c r="U181" i="2"/>
  <c r="C181" i="2"/>
  <c r="C180" i="2"/>
  <c r="U180" i="2" s="1"/>
  <c r="C179" i="2"/>
  <c r="U179" i="2" s="1"/>
  <c r="C178" i="2"/>
  <c r="U178" i="2" s="1"/>
  <c r="C177" i="2"/>
  <c r="U177" i="2" s="1"/>
  <c r="C176" i="2"/>
  <c r="U176" i="2" s="1"/>
  <c r="C175" i="2"/>
  <c r="U175" i="2" s="1"/>
  <c r="C174" i="2"/>
  <c r="U174" i="2" s="1"/>
  <c r="U173" i="2"/>
  <c r="C173" i="2"/>
  <c r="C172" i="2"/>
  <c r="U172" i="2" s="1"/>
  <c r="C171" i="2"/>
  <c r="U171" i="2" s="1"/>
  <c r="C170" i="2"/>
  <c r="U170" i="2" s="1"/>
  <c r="C169" i="2"/>
  <c r="U169" i="2" s="1"/>
  <c r="C168" i="2"/>
  <c r="U168" i="2" s="1"/>
  <c r="C167" i="2"/>
  <c r="U167" i="2" s="1"/>
  <c r="C166" i="2"/>
  <c r="U166" i="2" s="1"/>
  <c r="U165" i="2"/>
  <c r="C165" i="2"/>
  <c r="C164" i="2"/>
  <c r="U164" i="2" s="1"/>
  <c r="C163" i="2"/>
  <c r="U163" i="2" s="1"/>
  <c r="C162" i="2"/>
  <c r="U162" i="2" s="1"/>
  <c r="C161" i="2"/>
  <c r="U161" i="2" s="1"/>
  <c r="C160" i="2"/>
  <c r="U160" i="2" s="1"/>
  <c r="C159" i="2"/>
  <c r="U159" i="2" s="1"/>
  <c r="C158" i="2"/>
  <c r="U158" i="2" s="1"/>
  <c r="U157" i="2"/>
  <c r="C157" i="2"/>
  <c r="C156" i="2"/>
  <c r="U156" i="2" s="1"/>
  <c r="C155" i="2"/>
  <c r="U155" i="2" s="1"/>
  <c r="C154" i="2"/>
  <c r="U154" i="2" s="1"/>
  <c r="C153" i="2"/>
  <c r="U153" i="2" s="1"/>
  <c r="C152" i="2"/>
  <c r="U152" i="2" s="1"/>
  <c r="C151" i="2"/>
  <c r="U151" i="2" s="1"/>
  <c r="C150" i="2"/>
  <c r="U150" i="2" s="1"/>
  <c r="U149" i="2"/>
  <c r="C149" i="2"/>
  <c r="C148" i="2"/>
  <c r="U148" i="2" s="1"/>
  <c r="C147" i="2"/>
  <c r="U147" i="2" s="1"/>
  <c r="C146" i="2"/>
  <c r="U146" i="2" s="1"/>
  <c r="C145" i="2"/>
  <c r="U145" i="2" s="1"/>
  <c r="C144" i="2"/>
  <c r="U144" i="2" s="1"/>
  <c r="C143" i="2"/>
  <c r="U143" i="2" s="1"/>
  <c r="C142" i="2"/>
  <c r="U142" i="2" s="1"/>
  <c r="U141" i="2"/>
  <c r="C141" i="2"/>
  <c r="C140" i="2"/>
  <c r="U140" i="2" s="1"/>
  <c r="C139" i="2"/>
  <c r="U139" i="2" s="1"/>
  <c r="C138" i="2"/>
  <c r="U138" i="2" s="1"/>
  <c r="C137" i="2"/>
  <c r="U137" i="2" s="1"/>
  <c r="C136" i="2"/>
  <c r="U136" i="2" s="1"/>
  <c r="C135" i="2"/>
  <c r="U135" i="2" s="1"/>
  <c r="C134" i="2"/>
  <c r="U134" i="2" s="1"/>
  <c r="U133" i="2"/>
  <c r="C133" i="2"/>
  <c r="C132" i="2"/>
  <c r="U132" i="2" s="1"/>
  <c r="C131" i="2"/>
  <c r="U131" i="2" s="1"/>
  <c r="C130" i="2"/>
  <c r="U130" i="2" s="1"/>
  <c r="C129" i="2"/>
  <c r="U129" i="2" s="1"/>
  <c r="C128" i="2"/>
  <c r="U128" i="2" s="1"/>
  <c r="C127" i="2"/>
  <c r="U127" i="2" s="1"/>
  <c r="C126" i="2"/>
  <c r="U126" i="2" s="1"/>
  <c r="U125" i="2"/>
  <c r="C125" i="2"/>
  <c r="C124" i="2"/>
  <c r="U124" i="2" s="1"/>
  <c r="C123" i="2"/>
  <c r="U123" i="2" s="1"/>
  <c r="C122" i="2"/>
  <c r="U122" i="2" s="1"/>
  <c r="C121" i="2"/>
  <c r="U121" i="2" s="1"/>
  <c r="C120" i="2"/>
  <c r="U120" i="2" s="1"/>
  <c r="C119" i="2"/>
  <c r="U119" i="2" s="1"/>
  <c r="C118" i="2"/>
  <c r="U118" i="2" s="1"/>
  <c r="U117" i="2"/>
  <c r="C117" i="2"/>
  <c r="C116" i="2"/>
  <c r="U116" i="2" s="1"/>
  <c r="C115" i="2"/>
  <c r="U115" i="2" s="1"/>
  <c r="C114" i="2"/>
  <c r="U114" i="2" s="1"/>
  <c r="C113" i="2"/>
  <c r="U113" i="2" s="1"/>
  <c r="C112" i="2"/>
  <c r="U112" i="2" s="1"/>
  <c r="C111" i="2"/>
  <c r="U111" i="2" s="1"/>
  <c r="C110" i="2"/>
  <c r="U110" i="2" s="1"/>
  <c r="U109" i="2"/>
  <c r="C109" i="2"/>
  <c r="C108" i="2"/>
  <c r="U108" i="2" s="1"/>
  <c r="C107" i="2"/>
  <c r="U107" i="2" s="1"/>
  <c r="C106" i="2"/>
  <c r="U106" i="2" s="1"/>
  <c r="C105" i="2"/>
  <c r="U105" i="2" s="1"/>
  <c r="C104" i="2"/>
  <c r="U104" i="2" s="1"/>
  <c r="C103" i="2"/>
  <c r="U103" i="2" s="1"/>
  <c r="C102" i="2"/>
  <c r="U102" i="2" s="1"/>
  <c r="U101" i="2"/>
  <c r="C101" i="2"/>
  <c r="C100" i="2"/>
  <c r="U100" i="2" s="1"/>
  <c r="C99" i="2"/>
  <c r="U99" i="2" s="1"/>
  <c r="C98" i="2"/>
  <c r="U98" i="2" s="1"/>
  <c r="C97" i="2"/>
  <c r="U97" i="2" s="1"/>
  <c r="C96" i="2"/>
  <c r="U96" i="2" s="1"/>
  <c r="C95" i="2"/>
  <c r="U95" i="2" s="1"/>
  <c r="C94" i="2"/>
  <c r="U94" i="2" s="1"/>
  <c r="U93" i="2"/>
  <c r="C93" i="2"/>
  <c r="C92" i="2"/>
  <c r="U92" i="2" s="1"/>
  <c r="C91" i="2"/>
  <c r="U91" i="2" s="1"/>
  <c r="C90" i="2"/>
  <c r="U90" i="2" s="1"/>
  <c r="C89" i="2"/>
  <c r="U89" i="2" s="1"/>
  <c r="C88" i="2"/>
  <c r="U88" i="2" s="1"/>
  <c r="C87" i="2"/>
  <c r="U87" i="2" s="1"/>
  <c r="C86" i="2"/>
  <c r="U86" i="2" s="1"/>
  <c r="U85" i="2"/>
  <c r="C85" i="2"/>
  <c r="C84" i="2"/>
  <c r="U84" i="2" s="1"/>
  <c r="C83" i="2"/>
  <c r="U83" i="2" s="1"/>
  <c r="C82" i="2"/>
  <c r="U82" i="2" s="1"/>
  <c r="C81" i="2"/>
  <c r="U81" i="2" s="1"/>
  <c r="C80" i="2"/>
  <c r="U80" i="2" s="1"/>
  <c r="C79" i="2"/>
  <c r="U79" i="2" s="1"/>
  <c r="C78" i="2"/>
  <c r="U78" i="2" s="1"/>
  <c r="U77" i="2"/>
  <c r="C77" i="2"/>
  <c r="C76" i="2"/>
  <c r="U76" i="2" s="1"/>
  <c r="C75" i="2"/>
  <c r="U75" i="2" s="1"/>
  <c r="C74" i="2"/>
  <c r="U74" i="2" s="1"/>
  <c r="C73" i="2"/>
  <c r="U73" i="2" s="1"/>
  <c r="C72" i="2"/>
  <c r="U72" i="2" s="1"/>
  <c r="C71" i="2"/>
  <c r="U71" i="2" s="1"/>
  <c r="C70" i="2"/>
  <c r="U70" i="2" s="1"/>
  <c r="U69" i="2"/>
  <c r="C69" i="2"/>
  <c r="C68" i="2"/>
  <c r="U68" i="2" s="1"/>
  <c r="C67" i="2"/>
  <c r="U67" i="2" s="1"/>
  <c r="C66" i="2"/>
  <c r="U66" i="2" s="1"/>
  <c r="C65" i="2"/>
  <c r="U65" i="2" s="1"/>
  <c r="C64" i="2"/>
  <c r="U64" i="2" s="1"/>
  <c r="C63" i="2"/>
  <c r="U63" i="2" s="1"/>
  <c r="C62" i="2"/>
  <c r="U62" i="2" s="1"/>
  <c r="U61" i="2"/>
  <c r="C61" i="2"/>
  <c r="C60" i="2"/>
  <c r="U60" i="2" s="1"/>
  <c r="C59" i="2"/>
  <c r="U59" i="2" s="1"/>
  <c r="C58" i="2"/>
  <c r="U58" i="2" s="1"/>
  <c r="C57" i="2"/>
  <c r="U57" i="2" s="1"/>
  <c r="C56" i="2"/>
  <c r="U56" i="2" s="1"/>
  <c r="C55" i="2"/>
  <c r="U55" i="2" s="1"/>
  <c r="C54" i="2"/>
  <c r="U54" i="2" s="1"/>
  <c r="U53" i="2"/>
  <c r="C53" i="2"/>
  <c r="C52" i="2"/>
  <c r="U52" i="2" s="1"/>
  <c r="C51" i="2"/>
  <c r="U51" i="2" s="1"/>
  <c r="C50" i="2"/>
  <c r="U50" i="2" s="1"/>
  <c r="C49" i="2"/>
  <c r="U49" i="2" s="1"/>
  <c r="C48" i="2"/>
  <c r="U48" i="2" s="1"/>
  <c r="C47" i="2"/>
  <c r="U47" i="2" s="1"/>
  <c r="C46" i="2"/>
  <c r="U46" i="2" s="1"/>
  <c r="U45" i="2"/>
  <c r="C45" i="2"/>
  <c r="C44" i="2"/>
  <c r="U44" i="2" s="1"/>
  <c r="C43" i="2"/>
  <c r="U43" i="2" s="1"/>
  <c r="C42" i="2"/>
  <c r="U42" i="2" s="1"/>
  <c r="C41" i="2"/>
  <c r="U41" i="2" s="1"/>
  <c r="C40" i="2"/>
  <c r="U40" i="2" s="1"/>
  <c r="C39" i="2"/>
  <c r="U39" i="2" s="1"/>
  <c r="C38" i="2"/>
  <c r="U38" i="2" s="1"/>
  <c r="C37" i="2"/>
  <c r="U37" i="2" s="1"/>
  <c r="C36" i="2"/>
  <c r="U36" i="2" s="1"/>
  <c r="C35" i="2"/>
  <c r="U35" i="2" s="1"/>
  <c r="C34" i="2"/>
  <c r="U34" i="2" s="1"/>
  <c r="C33" i="2"/>
  <c r="U33" i="2" s="1"/>
  <c r="C32" i="2"/>
  <c r="U32" i="2" s="1"/>
  <c r="C31" i="2"/>
  <c r="U31" i="2" s="1"/>
  <c r="C30" i="2"/>
  <c r="U30" i="2" s="1"/>
  <c r="C29" i="2"/>
  <c r="U29" i="2" s="1"/>
  <c r="C28" i="2"/>
  <c r="U28" i="2" s="1"/>
  <c r="C27" i="2"/>
  <c r="U27" i="2" s="1"/>
  <c r="C26" i="2"/>
  <c r="U26" i="2" s="1"/>
  <c r="C25" i="2"/>
  <c r="U25" i="2" s="1"/>
  <c r="C24" i="2"/>
  <c r="U24" i="2" s="1"/>
  <c r="C23" i="2"/>
  <c r="U23" i="2" s="1"/>
  <c r="C22" i="2"/>
  <c r="U22" i="2" s="1"/>
  <c r="C21" i="2"/>
  <c r="U21" i="2" s="1"/>
  <c r="C20" i="2"/>
  <c r="U20" i="2" s="1"/>
  <c r="C19" i="2"/>
  <c r="U19" i="2" s="1"/>
  <c r="C18" i="2"/>
  <c r="U18" i="2" s="1"/>
  <c r="C17" i="2"/>
  <c r="U17" i="2" s="1"/>
  <c r="C16" i="2"/>
  <c r="U16" i="2" s="1"/>
  <c r="C15" i="2"/>
  <c r="U15" i="2" s="1"/>
  <c r="C14" i="2"/>
  <c r="U14" i="2" s="1"/>
  <c r="C13" i="2"/>
  <c r="U13" i="2" s="1"/>
  <c r="C12" i="2"/>
  <c r="U12" i="2" s="1"/>
  <c r="C11" i="2"/>
  <c r="U11" i="2" s="1"/>
  <c r="C10" i="2"/>
  <c r="U10" i="2" s="1"/>
  <c r="C9" i="2"/>
  <c r="U9" i="2" s="1"/>
  <c r="C8" i="2"/>
  <c r="U8" i="2" s="1"/>
  <c r="C7" i="2"/>
  <c r="U7" i="2" s="1"/>
  <c r="C6" i="2"/>
  <c r="U6" i="2" s="1"/>
  <c r="C5" i="2"/>
  <c r="U5" i="2" s="1"/>
  <c r="C4" i="2"/>
  <c r="U4" i="2" s="1"/>
  <c r="C3" i="2"/>
  <c r="U3" i="2" s="1"/>
  <c r="C2" i="2"/>
  <c r="U2" i="2" s="1"/>
  <c r="C8400" i="1"/>
  <c r="U8400" i="1" s="1"/>
  <c r="C8399" i="1"/>
  <c r="U8399" i="1" s="1"/>
  <c r="W8399" i="1" s="1"/>
  <c r="C8398" i="1"/>
  <c r="U8398" i="1" s="1"/>
  <c r="C8397" i="1"/>
  <c r="U8397" i="1" s="1"/>
  <c r="W8397" i="1" s="1"/>
  <c r="C8396" i="1"/>
  <c r="U8396" i="1" s="1"/>
  <c r="C8395" i="1"/>
  <c r="U8395" i="1" s="1"/>
  <c r="C8394" i="1"/>
  <c r="U8394" i="1" s="1"/>
  <c r="C8393" i="1"/>
  <c r="U8393" i="1" s="1"/>
  <c r="W8393" i="1" s="1"/>
  <c r="C8392" i="1"/>
  <c r="U8392" i="1" s="1"/>
  <c r="C8391" i="1"/>
  <c r="U8391" i="1" s="1"/>
  <c r="W8391" i="1" s="1"/>
  <c r="C8390" i="1"/>
  <c r="U8390" i="1" s="1"/>
  <c r="C8389" i="1"/>
  <c r="U8389" i="1" s="1"/>
  <c r="W8389" i="1" s="1"/>
  <c r="C8388" i="1"/>
  <c r="U8388" i="1" s="1"/>
  <c r="C8387" i="1"/>
  <c r="U8387" i="1" s="1"/>
  <c r="C8386" i="1"/>
  <c r="U8386" i="1" s="1"/>
  <c r="C8385" i="1"/>
  <c r="U8385" i="1" s="1"/>
  <c r="W8385" i="1" s="1"/>
  <c r="C8384" i="1"/>
  <c r="U8384" i="1" s="1"/>
  <c r="C8383" i="1"/>
  <c r="U8383" i="1" s="1"/>
  <c r="W8383" i="1" s="1"/>
  <c r="C8382" i="1"/>
  <c r="U8382" i="1" s="1"/>
  <c r="C8381" i="1"/>
  <c r="U8381" i="1" s="1"/>
  <c r="W8381" i="1" s="1"/>
  <c r="C8380" i="1"/>
  <c r="U8380" i="1" s="1"/>
  <c r="C8379" i="1"/>
  <c r="U8379" i="1" s="1"/>
  <c r="C8378" i="1"/>
  <c r="U8378" i="1" s="1"/>
  <c r="C8377" i="1"/>
  <c r="U8377" i="1" s="1"/>
  <c r="W8377" i="1" s="1"/>
  <c r="C8376" i="1"/>
  <c r="U8376" i="1" s="1"/>
  <c r="C8375" i="1"/>
  <c r="U8375" i="1" s="1"/>
  <c r="W8375" i="1" s="1"/>
  <c r="C8374" i="1"/>
  <c r="U8374" i="1" s="1"/>
  <c r="C8373" i="1"/>
  <c r="U8373" i="1" s="1"/>
  <c r="W8373" i="1" s="1"/>
  <c r="C8372" i="1"/>
  <c r="U8372" i="1" s="1"/>
  <c r="C8371" i="1"/>
  <c r="U8371" i="1" s="1"/>
  <c r="C8370" i="1"/>
  <c r="U8370" i="1" s="1"/>
  <c r="C8369" i="1"/>
  <c r="U8369" i="1" s="1"/>
  <c r="W8369" i="1" s="1"/>
  <c r="C8368" i="1"/>
  <c r="U8368" i="1" s="1"/>
  <c r="C8367" i="1"/>
  <c r="U8367" i="1" s="1"/>
  <c r="W8367" i="1" s="1"/>
  <c r="C8366" i="1"/>
  <c r="U8366" i="1" s="1"/>
  <c r="C8365" i="1"/>
  <c r="U8365" i="1" s="1"/>
  <c r="W8365" i="1" s="1"/>
  <c r="C8364" i="1"/>
  <c r="U8364" i="1" s="1"/>
  <c r="C8363" i="1"/>
  <c r="U8363" i="1" s="1"/>
  <c r="C8362" i="1"/>
  <c r="U8362" i="1" s="1"/>
  <c r="C8361" i="1"/>
  <c r="U8361" i="1" s="1"/>
  <c r="W8361" i="1" s="1"/>
  <c r="C8360" i="1"/>
  <c r="U8360" i="1" s="1"/>
  <c r="C8359" i="1"/>
  <c r="U8359" i="1" s="1"/>
  <c r="W8359" i="1" s="1"/>
  <c r="C8358" i="1"/>
  <c r="U8358" i="1" s="1"/>
  <c r="C8357" i="1"/>
  <c r="U8357" i="1" s="1"/>
  <c r="W8357" i="1" s="1"/>
  <c r="C8356" i="1"/>
  <c r="U8356" i="1" s="1"/>
  <c r="C8355" i="1"/>
  <c r="U8355" i="1" s="1"/>
  <c r="C8354" i="1"/>
  <c r="U8354" i="1" s="1"/>
  <c r="C8353" i="1"/>
  <c r="U8353" i="1" s="1"/>
  <c r="W8353" i="1" s="1"/>
  <c r="C8352" i="1"/>
  <c r="U8352" i="1" s="1"/>
  <c r="C8351" i="1"/>
  <c r="U8351" i="1" s="1"/>
  <c r="W8351" i="1" s="1"/>
  <c r="C8350" i="1"/>
  <c r="U8350" i="1" s="1"/>
  <c r="C8349" i="1"/>
  <c r="U8349" i="1" s="1"/>
  <c r="W8349" i="1" s="1"/>
  <c r="C8348" i="1"/>
  <c r="U8348" i="1" s="1"/>
  <c r="C8347" i="1"/>
  <c r="U8347" i="1" s="1"/>
  <c r="C8346" i="1"/>
  <c r="U8346" i="1" s="1"/>
  <c r="C8345" i="1"/>
  <c r="U8345" i="1" s="1"/>
  <c r="W8345" i="1" s="1"/>
  <c r="C8344" i="1"/>
  <c r="U8344" i="1" s="1"/>
  <c r="C8343" i="1"/>
  <c r="U8343" i="1" s="1"/>
  <c r="W8343" i="1" s="1"/>
  <c r="C8342" i="1"/>
  <c r="U8342" i="1" s="1"/>
  <c r="C8341" i="1"/>
  <c r="U8341" i="1" s="1"/>
  <c r="W8341" i="1" s="1"/>
  <c r="C8340" i="1"/>
  <c r="U8340" i="1" s="1"/>
  <c r="C8339" i="1"/>
  <c r="U8339" i="1" s="1"/>
  <c r="C8338" i="1"/>
  <c r="U8338" i="1" s="1"/>
  <c r="C8337" i="1"/>
  <c r="U8337" i="1" s="1"/>
  <c r="W8337" i="1" s="1"/>
  <c r="C8336" i="1"/>
  <c r="U8336" i="1" s="1"/>
  <c r="C8335" i="1"/>
  <c r="U8335" i="1" s="1"/>
  <c r="W8335" i="1" s="1"/>
  <c r="C8334" i="1"/>
  <c r="U8334" i="1" s="1"/>
  <c r="C8333" i="1"/>
  <c r="U8333" i="1" s="1"/>
  <c r="W8333" i="1" s="1"/>
  <c r="C8332" i="1"/>
  <c r="U8332" i="1" s="1"/>
  <c r="C8331" i="1"/>
  <c r="U8331" i="1" s="1"/>
  <c r="C8330" i="1"/>
  <c r="U8330" i="1" s="1"/>
  <c r="C8329" i="1"/>
  <c r="U8329" i="1" s="1"/>
  <c r="W8329" i="1" s="1"/>
  <c r="C8328" i="1"/>
  <c r="U8328" i="1" s="1"/>
  <c r="C8327" i="1"/>
  <c r="U8327" i="1" s="1"/>
  <c r="W8327" i="1" s="1"/>
  <c r="C8326" i="1"/>
  <c r="U8326" i="1" s="1"/>
  <c r="C8325" i="1"/>
  <c r="U8325" i="1" s="1"/>
  <c r="W8325" i="1" s="1"/>
  <c r="C8324" i="1"/>
  <c r="U8324" i="1" s="1"/>
  <c r="C8323" i="1"/>
  <c r="U8323" i="1" s="1"/>
  <c r="C8322" i="1"/>
  <c r="U8322" i="1" s="1"/>
  <c r="C8321" i="1"/>
  <c r="U8321" i="1" s="1"/>
  <c r="W8321" i="1" s="1"/>
  <c r="C8320" i="1"/>
  <c r="U8320" i="1" s="1"/>
  <c r="C8319" i="1"/>
  <c r="U8319" i="1" s="1"/>
  <c r="W8319" i="1" s="1"/>
  <c r="C8318" i="1"/>
  <c r="U8318" i="1" s="1"/>
  <c r="C8317" i="1"/>
  <c r="U8317" i="1" s="1"/>
  <c r="W8317" i="1" s="1"/>
  <c r="C8316" i="1"/>
  <c r="U8316" i="1" s="1"/>
  <c r="C8315" i="1"/>
  <c r="U8315" i="1" s="1"/>
  <c r="C8314" i="1"/>
  <c r="U8314" i="1" s="1"/>
  <c r="C8313" i="1"/>
  <c r="U8313" i="1" s="1"/>
  <c r="W8313" i="1" s="1"/>
  <c r="C8312" i="1"/>
  <c r="U8312" i="1" s="1"/>
  <c r="C8311" i="1"/>
  <c r="U8311" i="1" s="1"/>
  <c r="W8311" i="1" s="1"/>
  <c r="C8310" i="1"/>
  <c r="U8310" i="1" s="1"/>
  <c r="C8309" i="1"/>
  <c r="U8309" i="1" s="1"/>
  <c r="W8309" i="1" s="1"/>
  <c r="C8308" i="1"/>
  <c r="U8308" i="1" s="1"/>
  <c r="C8307" i="1"/>
  <c r="U8307" i="1" s="1"/>
  <c r="C8306" i="1"/>
  <c r="U8306" i="1" s="1"/>
  <c r="C8305" i="1"/>
  <c r="U8305" i="1" s="1"/>
  <c r="W8305" i="1" s="1"/>
  <c r="C8304" i="1"/>
  <c r="U8304" i="1" s="1"/>
  <c r="C8303" i="1"/>
  <c r="U8303" i="1" s="1"/>
  <c r="W8303" i="1" s="1"/>
  <c r="C8302" i="1"/>
  <c r="U8302" i="1" s="1"/>
  <c r="C8301" i="1"/>
  <c r="U8301" i="1" s="1"/>
  <c r="W8301" i="1" s="1"/>
  <c r="C8300" i="1"/>
  <c r="U8300" i="1" s="1"/>
  <c r="C8299" i="1"/>
  <c r="U8299" i="1" s="1"/>
  <c r="C8298" i="1"/>
  <c r="U8298" i="1" s="1"/>
  <c r="C8297" i="1"/>
  <c r="U8297" i="1" s="1"/>
  <c r="W8297" i="1" s="1"/>
  <c r="C8296" i="1"/>
  <c r="U8296" i="1" s="1"/>
  <c r="C8295" i="1"/>
  <c r="U8295" i="1" s="1"/>
  <c r="W8295" i="1" s="1"/>
  <c r="C8294" i="1"/>
  <c r="U8294" i="1" s="1"/>
  <c r="C8293" i="1"/>
  <c r="U8293" i="1" s="1"/>
  <c r="W8293" i="1" s="1"/>
  <c r="C8292" i="1"/>
  <c r="U8292" i="1" s="1"/>
  <c r="C8291" i="1"/>
  <c r="U8291" i="1" s="1"/>
  <c r="C8290" i="1"/>
  <c r="U8290" i="1" s="1"/>
  <c r="C8289" i="1"/>
  <c r="U8289" i="1" s="1"/>
  <c r="W8289" i="1" s="1"/>
  <c r="C8288" i="1"/>
  <c r="U8288" i="1" s="1"/>
  <c r="C8287" i="1"/>
  <c r="U8287" i="1" s="1"/>
  <c r="W8287" i="1" s="1"/>
  <c r="C8286" i="1"/>
  <c r="U8286" i="1" s="1"/>
  <c r="C8285" i="1"/>
  <c r="U8285" i="1" s="1"/>
  <c r="W8285" i="1" s="1"/>
  <c r="C8284" i="1"/>
  <c r="U8284" i="1" s="1"/>
  <c r="C8283" i="1"/>
  <c r="U8283" i="1" s="1"/>
  <c r="C8282" i="1"/>
  <c r="U8282" i="1" s="1"/>
  <c r="C8281" i="1"/>
  <c r="U8281" i="1" s="1"/>
  <c r="W8281" i="1" s="1"/>
  <c r="C8280" i="1"/>
  <c r="U8280" i="1" s="1"/>
  <c r="C8279" i="1"/>
  <c r="U8279" i="1" s="1"/>
  <c r="W8279" i="1" s="1"/>
  <c r="C8278" i="1"/>
  <c r="U8278" i="1" s="1"/>
  <c r="C8277" i="1"/>
  <c r="U8277" i="1" s="1"/>
  <c r="W8277" i="1" s="1"/>
  <c r="C8276" i="1"/>
  <c r="U8276" i="1" s="1"/>
  <c r="C8275" i="1"/>
  <c r="U8275" i="1" s="1"/>
  <c r="C8274" i="1"/>
  <c r="U8274" i="1" s="1"/>
  <c r="C8273" i="1"/>
  <c r="U8273" i="1" s="1"/>
  <c r="W8273" i="1" s="1"/>
  <c r="C8272" i="1"/>
  <c r="U8272" i="1" s="1"/>
  <c r="C8271" i="1"/>
  <c r="U8271" i="1" s="1"/>
  <c r="W8271" i="1" s="1"/>
  <c r="C8270" i="1"/>
  <c r="U8270" i="1" s="1"/>
  <c r="C8269" i="1"/>
  <c r="U8269" i="1" s="1"/>
  <c r="W8269" i="1" s="1"/>
  <c r="C8268" i="1"/>
  <c r="U8268" i="1" s="1"/>
  <c r="C8267" i="1"/>
  <c r="U8267" i="1" s="1"/>
  <c r="C8266" i="1"/>
  <c r="U8266" i="1" s="1"/>
  <c r="C8265" i="1"/>
  <c r="U8265" i="1" s="1"/>
  <c r="W8265" i="1" s="1"/>
  <c r="C8264" i="1"/>
  <c r="U8264" i="1" s="1"/>
  <c r="C8263" i="1"/>
  <c r="U8263" i="1" s="1"/>
  <c r="W8263" i="1" s="1"/>
  <c r="C8262" i="1"/>
  <c r="U8262" i="1" s="1"/>
  <c r="C8261" i="1"/>
  <c r="U8261" i="1" s="1"/>
  <c r="W8261" i="1" s="1"/>
  <c r="C8260" i="1"/>
  <c r="U8260" i="1" s="1"/>
  <c r="C8259" i="1"/>
  <c r="U8259" i="1" s="1"/>
  <c r="C8258" i="1"/>
  <c r="U8258" i="1" s="1"/>
  <c r="C8257" i="1"/>
  <c r="U8257" i="1" s="1"/>
  <c r="W8257" i="1" s="1"/>
  <c r="C8256" i="1"/>
  <c r="U8256" i="1" s="1"/>
  <c r="C8255" i="1"/>
  <c r="U8255" i="1" s="1"/>
  <c r="W8255" i="1" s="1"/>
  <c r="C8254" i="1"/>
  <c r="U8254" i="1" s="1"/>
  <c r="C8253" i="1"/>
  <c r="U8253" i="1" s="1"/>
  <c r="W8253" i="1" s="1"/>
  <c r="C8252" i="1"/>
  <c r="U8252" i="1" s="1"/>
  <c r="C8251" i="1"/>
  <c r="U8251" i="1" s="1"/>
  <c r="C8250" i="1"/>
  <c r="U8250" i="1" s="1"/>
  <c r="C8249" i="1"/>
  <c r="U8249" i="1" s="1"/>
  <c r="W8249" i="1" s="1"/>
  <c r="C8248" i="1"/>
  <c r="U8248" i="1" s="1"/>
  <c r="C8247" i="1"/>
  <c r="U8247" i="1" s="1"/>
  <c r="W8247" i="1" s="1"/>
  <c r="C8246" i="1"/>
  <c r="U8246" i="1" s="1"/>
  <c r="C8245" i="1"/>
  <c r="U8245" i="1" s="1"/>
  <c r="W8245" i="1" s="1"/>
  <c r="C8244" i="1"/>
  <c r="U8244" i="1" s="1"/>
  <c r="C8243" i="1"/>
  <c r="U8243" i="1" s="1"/>
  <c r="C8242" i="1"/>
  <c r="U8242" i="1" s="1"/>
  <c r="C8241" i="1"/>
  <c r="U8241" i="1" s="1"/>
  <c r="W8241" i="1" s="1"/>
  <c r="C8240" i="1"/>
  <c r="U8240" i="1" s="1"/>
  <c r="C8239" i="1"/>
  <c r="U8239" i="1" s="1"/>
  <c r="W8239" i="1" s="1"/>
  <c r="C8238" i="1"/>
  <c r="U8238" i="1" s="1"/>
  <c r="C8237" i="1"/>
  <c r="U8237" i="1" s="1"/>
  <c r="W8237" i="1" s="1"/>
  <c r="C8236" i="1"/>
  <c r="U8236" i="1" s="1"/>
  <c r="C8235" i="1"/>
  <c r="U8235" i="1" s="1"/>
  <c r="C8234" i="1"/>
  <c r="U8234" i="1" s="1"/>
  <c r="C8233" i="1"/>
  <c r="U8233" i="1" s="1"/>
  <c r="W8233" i="1" s="1"/>
  <c r="C8232" i="1"/>
  <c r="U8232" i="1" s="1"/>
  <c r="C8231" i="1"/>
  <c r="U8231" i="1" s="1"/>
  <c r="W8231" i="1" s="1"/>
  <c r="C8230" i="1"/>
  <c r="U8230" i="1" s="1"/>
  <c r="C8229" i="1"/>
  <c r="U8229" i="1" s="1"/>
  <c r="W8229" i="1" s="1"/>
  <c r="C8228" i="1"/>
  <c r="U8228" i="1" s="1"/>
  <c r="C8227" i="1"/>
  <c r="U8227" i="1" s="1"/>
  <c r="C8226" i="1"/>
  <c r="U8226" i="1" s="1"/>
  <c r="C8225" i="1"/>
  <c r="U8225" i="1" s="1"/>
  <c r="W8225" i="1" s="1"/>
  <c r="C8224" i="1"/>
  <c r="U8224" i="1" s="1"/>
  <c r="C8223" i="1"/>
  <c r="U8223" i="1" s="1"/>
  <c r="W8223" i="1" s="1"/>
  <c r="C8222" i="1"/>
  <c r="U8222" i="1" s="1"/>
  <c r="C8221" i="1"/>
  <c r="U8221" i="1" s="1"/>
  <c r="W8221" i="1" s="1"/>
  <c r="C8220" i="1"/>
  <c r="U8220" i="1" s="1"/>
  <c r="C8219" i="1"/>
  <c r="U8219" i="1" s="1"/>
  <c r="C8218" i="1"/>
  <c r="U8218" i="1" s="1"/>
  <c r="C8217" i="1"/>
  <c r="U8217" i="1" s="1"/>
  <c r="W8217" i="1" s="1"/>
  <c r="C8216" i="1"/>
  <c r="U8216" i="1" s="1"/>
  <c r="C8215" i="1"/>
  <c r="U8215" i="1" s="1"/>
  <c r="W8215" i="1" s="1"/>
  <c r="C8214" i="1"/>
  <c r="U8214" i="1" s="1"/>
  <c r="C8213" i="1"/>
  <c r="U8213" i="1" s="1"/>
  <c r="W8213" i="1" s="1"/>
  <c r="C8212" i="1"/>
  <c r="U8212" i="1" s="1"/>
  <c r="C8211" i="1"/>
  <c r="U8211" i="1" s="1"/>
  <c r="C8210" i="1"/>
  <c r="U8210" i="1" s="1"/>
  <c r="C8209" i="1"/>
  <c r="U8209" i="1" s="1"/>
  <c r="W8209" i="1" s="1"/>
  <c r="C8208" i="1"/>
  <c r="U8208" i="1" s="1"/>
  <c r="C8207" i="1"/>
  <c r="U8207" i="1" s="1"/>
  <c r="W8207" i="1" s="1"/>
  <c r="C8206" i="1"/>
  <c r="U8206" i="1" s="1"/>
  <c r="C8205" i="1"/>
  <c r="U8205" i="1" s="1"/>
  <c r="W8205" i="1" s="1"/>
  <c r="C8204" i="1"/>
  <c r="U8204" i="1" s="1"/>
  <c r="C8203" i="1"/>
  <c r="U8203" i="1" s="1"/>
  <c r="C8202" i="1"/>
  <c r="U8202" i="1" s="1"/>
  <c r="C8201" i="1"/>
  <c r="U8201" i="1" s="1"/>
  <c r="W8201" i="1" s="1"/>
  <c r="C8200" i="1"/>
  <c r="U8200" i="1" s="1"/>
  <c r="C8199" i="1"/>
  <c r="U8199" i="1" s="1"/>
  <c r="W8199" i="1" s="1"/>
  <c r="C8198" i="1"/>
  <c r="U8198" i="1" s="1"/>
  <c r="C8197" i="1"/>
  <c r="U8197" i="1" s="1"/>
  <c r="W8197" i="1" s="1"/>
  <c r="C8196" i="1"/>
  <c r="U8196" i="1" s="1"/>
  <c r="C8195" i="1"/>
  <c r="U8195" i="1" s="1"/>
  <c r="C8194" i="1"/>
  <c r="U8194" i="1" s="1"/>
  <c r="C8193" i="1"/>
  <c r="U8193" i="1" s="1"/>
  <c r="W8193" i="1" s="1"/>
  <c r="C8192" i="1"/>
  <c r="U8192" i="1" s="1"/>
  <c r="C8191" i="1"/>
  <c r="U8191" i="1" s="1"/>
  <c r="W8191" i="1" s="1"/>
  <c r="C8190" i="1"/>
  <c r="U8190" i="1" s="1"/>
  <c r="C8189" i="1"/>
  <c r="U8189" i="1" s="1"/>
  <c r="W8189" i="1" s="1"/>
  <c r="C8188" i="1"/>
  <c r="U8188" i="1" s="1"/>
  <c r="C8187" i="1"/>
  <c r="U8187" i="1" s="1"/>
  <c r="C8186" i="1"/>
  <c r="U8186" i="1" s="1"/>
  <c r="C8185" i="1"/>
  <c r="U8185" i="1" s="1"/>
  <c r="W8185" i="1" s="1"/>
  <c r="C8184" i="1"/>
  <c r="U8184" i="1" s="1"/>
  <c r="U8183" i="1"/>
  <c r="W8183" i="1" s="1"/>
  <c r="C8183" i="1"/>
  <c r="C8182" i="1"/>
  <c r="U8182" i="1" s="1"/>
  <c r="C8181" i="1"/>
  <c r="U8181" i="1" s="1"/>
  <c r="W8181" i="1" s="1"/>
  <c r="C8180" i="1"/>
  <c r="U8180" i="1" s="1"/>
  <c r="C8179" i="1"/>
  <c r="U8179" i="1" s="1"/>
  <c r="C8178" i="1"/>
  <c r="U8178" i="1" s="1"/>
  <c r="U8177" i="1"/>
  <c r="W8177" i="1" s="1"/>
  <c r="C8177" i="1"/>
  <c r="C8176" i="1"/>
  <c r="U8176" i="1" s="1"/>
  <c r="C8175" i="1"/>
  <c r="U8175" i="1" s="1"/>
  <c r="W8175" i="1" s="1"/>
  <c r="C8174" i="1"/>
  <c r="U8174" i="1" s="1"/>
  <c r="C8173" i="1"/>
  <c r="U8173" i="1" s="1"/>
  <c r="C8172" i="1"/>
  <c r="U8172" i="1" s="1"/>
  <c r="U8171" i="1"/>
  <c r="W8171" i="1" s="1"/>
  <c r="C8171" i="1"/>
  <c r="C8170" i="1"/>
  <c r="U8170" i="1" s="1"/>
  <c r="C8169" i="1"/>
  <c r="U8169" i="1" s="1"/>
  <c r="C8168" i="1"/>
  <c r="U8168" i="1" s="1"/>
  <c r="U8167" i="1"/>
  <c r="W8167" i="1" s="1"/>
  <c r="C8167" i="1"/>
  <c r="C8166" i="1"/>
  <c r="U8166" i="1" s="1"/>
  <c r="C8165" i="1"/>
  <c r="U8165" i="1" s="1"/>
  <c r="W8165" i="1" s="1"/>
  <c r="C8164" i="1"/>
  <c r="U8164" i="1" s="1"/>
  <c r="C8163" i="1"/>
  <c r="U8163" i="1" s="1"/>
  <c r="C8162" i="1"/>
  <c r="U8162" i="1" s="1"/>
  <c r="U8161" i="1"/>
  <c r="W8161" i="1" s="1"/>
  <c r="C8161" i="1"/>
  <c r="C8160" i="1"/>
  <c r="U8160" i="1" s="1"/>
  <c r="C8159" i="1"/>
  <c r="U8159" i="1" s="1"/>
  <c r="W8159" i="1" s="1"/>
  <c r="C8158" i="1"/>
  <c r="U8158" i="1" s="1"/>
  <c r="C8157" i="1"/>
  <c r="U8157" i="1" s="1"/>
  <c r="W8157" i="1" s="1"/>
  <c r="C8156" i="1"/>
  <c r="U8156" i="1" s="1"/>
  <c r="C8155" i="1"/>
  <c r="U8155" i="1" s="1"/>
  <c r="C8154" i="1"/>
  <c r="U8154" i="1" s="1"/>
  <c r="C8153" i="1"/>
  <c r="U8153" i="1" s="1"/>
  <c r="W8153" i="1" s="1"/>
  <c r="C8152" i="1"/>
  <c r="U8152" i="1" s="1"/>
  <c r="U8151" i="1"/>
  <c r="W8151" i="1" s="1"/>
  <c r="C8151" i="1"/>
  <c r="C8150" i="1"/>
  <c r="U8150" i="1" s="1"/>
  <c r="C8149" i="1"/>
  <c r="U8149" i="1" s="1"/>
  <c r="C8148" i="1"/>
  <c r="U8148" i="1" s="1"/>
  <c r="C8147" i="1"/>
  <c r="U8147" i="1" s="1"/>
  <c r="W8147" i="1" s="1"/>
  <c r="C8146" i="1"/>
  <c r="U8146" i="1" s="1"/>
  <c r="U8145" i="1"/>
  <c r="C8145" i="1"/>
  <c r="C8144" i="1"/>
  <c r="U8144" i="1" s="1"/>
  <c r="C8143" i="1"/>
  <c r="U8143" i="1" s="1"/>
  <c r="W8143" i="1" s="1"/>
  <c r="C8142" i="1"/>
  <c r="U8142" i="1" s="1"/>
  <c r="C8141" i="1"/>
  <c r="U8141" i="1" s="1"/>
  <c r="C8140" i="1"/>
  <c r="U8140" i="1" s="1"/>
  <c r="U8139" i="1"/>
  <c r="W8139" i="1" s="1"/>
  <c r="C8139" i="1"/>
  <c r="C8138" i="1"/>
  <c r="U8138" i="1" s="1"/>
  <c r="C8137" i="1"/>
  <c r="U8137" i="1" s="1"/>
  <c r="W8137" i="1" s="1"/>
  <c r="C8136" i="1"/>
  <c r="U8136" i="1" s="1"/>
  <c r="C8135" i="1"/>
  <c r="U8135" i="1" s="1"/>
  <c r="W8135" i="1" s="1"/>
  <c r="C8134" i="1"/>
  <c r="U8134" i="1" s="1"/>
  <c r="C8133" i="1"/>
  <c r="U8133" i="1" s="1"/>
  <c r="W8133" i="1" s="1"/>
  <c r="C8132" i="1"/>
  <c r="U8132" i="1" s="1"/>
  <c r="C8131" i="1"/>
  <c r="U8131" i="1" s="1"/>
  <c r="C8130" i="1"/>
  <c r="U8130" i="1" s="1"/>
  <c r="C8129" i="1"/>
  <c r="U8129" i="1" s="1"/>
  <c r="W8129" i="1" s="1"/>
  <c r="C8128" i="1"/>
  <c r="U8128" i="1" s="1"/>
  <c r="C8127" i="1"/>
  <c r="U8127" i="1" s="1"/>
  <c r="W8127" i="1" s="1"/>
  <c r="C8126" i="1"/>
  <c r="U8126" i="1" s="1"/>
  <c r="C8125" i="1"/>
  <c r="U8125" i="1" s="1"/>
  <c r="W8125" i="1" s="1"/>
  <c r="C8124" i="1"/>
  <c r="U8124" i="1" s="1"/>
  <c r="U8123" i="1"/>
  <c r="C8123" i="1"/>
  <c r="C8122" i="1"/>
  <c r="U8122" i="1" s="1"/>
  <c r="C8121" i="1"/>
  <c r="U8121" i="1" s="1"/>
  <c r="W8121" i="1" s="1"/>
  <c r="C8120" i="1"/>
  <c r="U8120" i="1" s="1"/>
  <c r="U8119" i="1"/>
  <c r="W8119" i="1" s="1"/>
  <c r="C8119" i="1"/>
  <c r="C8118" i="1"/>
  <c r="U8118" i="1" s="1"/>
  <c r="C8117" i="1"/>
  <c r="U8117" i="1" s="1"/>
  <c r="C8116" i="1"/>
  <c r="U8116" i="1" s="1"/>
  <c r="C8115" i="1"/>
  <c r="U8115" i="1" s="1"/>
  <c r="W8115" i="1" s="1"/>
  <c r="C8114" i="1"/>
  <c r="U8114" i="1" s="1"/>
  <c r="U8113" i="1"/>
  <c r="C8113" i="1"/>
  <c r="C8112" i="1"/>
  <c r="U8112" i="1" s="1"/>
  <c r="C8111" i="1"/>
  <c r="U8111" i="1" s="1"/>
  <c r="W8111" i="1" s="1"/>
  <c r="C8110" i="1"/>
  <c r="U8110" i="1" s="1"/>
  <c r="C8109" i="1"/>
  <c r="U8109" i="1" s="1"/>
  <c r="C8108" i="1"/>
  <c r="U8108" i="1" s="1"/>
  <c r="U8107" i="1"/>
  <c r="W8107" i="1" s="1"/>
  <c r="C8107" i="1"/>
  <c r="C8106" i="1"/>
  <c r="U8106" i="1" s="1"/>
  <c r="C8105" i="1"/>
  <c r="U8105" i="1" s="1"/>
  <c r="W8105" i="1" s="1"/>
  <c r="C8104" i="1"/>
  <c r="U8104" i="1" s="1"/>
  <c r="C8103" i="1"/>
  <c r="U8103" i="1" s="1"/>
  <c r="W8103" i="1" s="1"/>
  <c r="C8102" i="1"/>
  <c r="U8102" i="1" s="1"/>
  <c r="C8101" i="1"/>
  <c r="U8101" i="1" s="1"/>
  <c r="W8101" i="1" s="1"/>
  <c r="C8100" i="1"/>
  <c r="U8100" i="1" s="1"/>
  <c r="C8099" i="1"/>
  <c r="U8099" i="1" s="1"/>
  <c r="C8098" i="1"/>
  <c r="U8098" i="1" s="1"/>
  <c r="C8097" i="1"/>
  <c r="U8097" i="1" s="1"/>
  <c r="W8097" i="1" s="1"/>
  <c r="C8096" i="1"/>
  <c r="U8096" i="1" s="1"/>
  <c r="C8095" i="1"/>
  <c r="U8095" i="1" s="1"/>
  <c r="W8095" i="1" s="1"/>
  <c r="C8094" i="1"/>
  <c r="U8094" i="1" s="1"/>
  <c r="C8093" i="1"/>
  <c r="U8093" i="1" s="1"/>
  <c r="W8093" i="1" s="1"/>
  <c r="C8092" i="1"/>
  <c r="U8092" i="1" s="1"/>
  <c r="C8091" i="1"/>
  <c r="U8091" i="1" s="1"/>
  <c r="C8090" i="1"/>
  <c r="U8090" i="1" s="1"/>
  <c r="C8089" i="1"/>
  <c r="U8089" i="1" s="1"/>
  <c r="W8089" i="1" s="1"/>
  <c r="C8088" i="1"/>
  <c r="U8088" i="1" s="1"/>
  <c r="U8087" i="1"/>
  <c r="W8087" i="1" s="1"/>
  <c r="C8087" i="1"/>
  <c r="C8086" i="1"/>
  <c r="U8086" i="1" s="1"/>
  <c r="C8085" i="1"/>
  <c r="U8085" i="1" s="1"/>
  <c r="W8085" i="1" s="1"/>
  <c r="C8084" i="1"/>
  <c r="U8084" i="1" s="1"/>
  <c r="C8083" i="1"/>
  <c r="U8083" i="1" s="1"/>
  <c r="C8082" i="1"/>
  <c r="U8082" i="1" s="1"/>
  <c r="U8081" i="1"/>
  <c r="W8081" i="1" s="1"/>
  <c r="C8081" i="1"/>
  <c r="C8080" i="1"/>
  <c r="U8080" i="1" s="1"/>
  <c r="U8079" i="1"/>
  <c r="W8079" i="1" s="1"/>
  <c r="C8079" i="1"/>
  <c r="C8078" i="1"/>
  <c r="U8078" i="1" s="1"/>
  <c r="C8077" i="1"/>
  <c r="U8077" i="1" s="1"/>
  <c r="C8076" i="1"/>
  <c r="U8076" i="1" s="1"/>
  <c r="U8075" i="1"/>
  <c r="W8075" i="1" s="1"/>
  <c r="C8075" i="1"/>
  <c r="C8074" i="1"/>
  <c r="U8074" i="1" s="1"/>
  <c r="U8073" i="1"/>
  <c r="W8073" i="1" s="1"/>
  <c r="C8073" i="1"/>
  <c r="C8072" i="1"/>
  <c r="U8072" i="1" s="1"/>
  <c r="C8071" i="1"/>
  <c r="U8071" i="1" s="1"/>
  <c r="W8071" i="1" s="1"/>
  <c r="C8070" i="1"/>
  <c r="U8070" i="1" s="1"/>
  <c r="C8069" i="1"/>
  <c r="U8069" i="1" s="1"/>
  <c r="W8069" i="1" s="1"/>
  <c r="C8068" i="1"/>
  <c r="U8068" i="1" s="1"/>
  <c r="U8067" i="1"/>
  <c r="C8067" i="1"/>
  <c r="C8066" i="1"/>
  <c r="U8066" i="1" s="1"/>
  <c r="C8065" i="1"/>
  <c r="U8065" i="1" s="1"/>
  <c r="C8064" i="1"/>
  <c r="U8064" i="1" s="1"/>
  <c r="C8063" i="1"/>
  <c r="U8063" i="1" s="1"/>
  <c r="W8063" i="1" s="1"/>
  <c r="C8062" i="1"/>
  <c r="U8062" i="1" s="1"/>
  <c r="C8061" i="1"/>
  <c r="U8061" i="1" s="1"/>
  <c r="C8060" i="1"/>
  <c r="U8060" i="1" s="1"/>
  <c r="C8059" i="1"/>
  <c r="U8059" i="1" s="1"/>
  <c r="W8059" i="1" s="1"/>
  <c r="C8058" i="1"/>
  <c r="U8058" i="1" s="1"/>
  <c r="C8057" i="1"/>
  <c r="U8057" i="1" s="1"/>
  <c r="C8056" i="1"/>
  <c r="U8056" i="1" s="1"/>
  <c r="U8055" i="1"/>
  <c r="W8055" i="1" s="1"/>
  <c r="C8055" i="1"/>
  <c r="C8054" i="1"/>
  <c r="U8054" i="1" s="1"/>
  <c r="C8053" i="1"/>
  <c r="U8053" i="1" s="1"/>
  <c r="C8052" i="1"/>
  <c r="U8052" i="1" s="1"/>
  <c r="C8051" i="1"/>
  <c r="U8051" i="1" s="1"/>
  <c r="W8051" i="1" s="1"/>
  <c r="C8050" i="1"/>
  <c r="U8050" i="1" s="1"/>
  <c r="U8049" i="1"/>
  <c r="C8049" i="1"/>
  <c r="C8048" i="1"/>
  <c r="U8048" i="1" s="1"/>
  <c r="C8047" i="1"/>
  <c r="U8047" i="1" s="1"/>
  <c r="W8047" i="1" s="1"/>
  <c r="C8046" i="1"/>
  <c r="U8046" i="1" s="1"/>
  <c r="C8045" i="1"/>
  <c r="U8045" i="1" s="1"/>
  <c r="W8045" i="1" s="1"/>
  <c r="C8044" i="1"/>
  <c r="U8044" i="1" s="1"/>
  <c r="U8043" i="1"/>
  <c r="C8043" i="1"/>
  <c r="C8042" i="1"/>
  <c r="U8042" i="1" s="1"/>
  <c r="C8041" i="1"/>
  <c r="U8041" i="1" s="1"/>
  <c r="W8041" i="1" s="1"/>
  <c r="C8040" i="1"/>
  <c r="U8040" i="1" s="1"/>
  <c r="U8039" i="1"/>
  <c r="W8039" i="1" s="1"/>
  <c r="C8039" i="1"/>
  <c r="C8038" i="1"/>
  <c r="U8038" i="1" s="1"/>
  <c r="C8037" i="1"/>
  <c r="U8037" i="1" s="1"/>
  <c r="C8036" i="1"/>
  <c r="U8036" i="1" s="1"/>
  <c r="C8035" i="1"/>
  <c r="U8035" i="1" s="1"/>
  <c r="W8035" i="1" s="1"/>
  <c r="C8034" i="1"/>
  <c r="U8034" i="1" s="1"/>
  <c r="U8033" i="1"/>
  <c r="C8033" i="1"/>
  <c r="C8032" i="1"/>
  <c r="U8032" i="1" s="1"/>
  <c r="C8031" i="1"/>
  <c r="U8031" i="1" s="1"/>
  <c r="W8031" i="1" s="1"/>
  <c r="C8030" i="1"/>
  <c r="U8030" i="1" s="1"/>
  <c r="C8029" i="1"/>
  <c r="U8029" i="1" s="1"/>
  <c r="C8028" i="1"/>
  <c r="U8028" i="1" s="1"/>
  <c r="C8027" i="1"/>
  <c r="U8027" i="1" s="1"/>
  <c r="W8027" i="1" s="1"/>
  <c r="C8026" i="1"/>
  <c r="U8026" i="1" s="1"/>
  <c r="C8025" i="1"/>
  <c r="U8025" i="1" s="1"/>
  <c r="C8024" i="1"/>
  <c r="U8024" i="1" s="1"/>
  <c r="U8023" i="1"/>
  <c r="W8023" i="1" s="1"/>
  <c r="C8023" i="1"/>
  <c r="C8022" i="1"/>
  <c r="U8022" i="1" s="1"/>
  <c r="C8021" i="1"/>
  <c r="U8021" i="1" s="1"/>
  <c r="W8021" i="1" s="1"/>
  <c r="C8020" i="1"/>
  <c r="U8020" i="1" s="1"/>
  <c r="C8019" i="1"/>
  <c r="U8019" i="1" s="1"/>
  <c r="C8018" i="1"/>
  <c r="U8018" i="1" s="1"/>
  <c r="U8017" i="1"/>
  <c r="W8017" i="1" s="1"/>
  <c r="C8017" i="1"/>
  <c r="C8016" i="1"/>
  <c r="U8016" i="1" s="1"/>
  <c r="C8015" i="1"/>
  <c r="U8015" i="1" s="1"/>
  <c r="W8015" i="1" s="1"/>
  <c r="C8014" i="1"/>
  <c r="U8014" i="1" s="1"/>
  <c r="C8013" i="1"/>
  <c r="U8013" i="1" s="1"/>
  <c r="W8013" i="1" s="1"/>
  <c r="C8012" i="1"/>
  <c r="U8012" i="1" s="1"/>
  <c r="U8011" i="1"/>
  <c r="C8011" i="1"/>
  <c r="C8010" i="1"/>
  <c r="U8010" i="1" s="1"/>
  <c r="C8009" i="1"/>
  <c r="U8009" i="1" s="1"/>
  <c r="C8008" i="1"/>
  <c r="U8008" i="1" s="1"/>
  <c r="C8007" i="1"/>
  <c r="U8007" i="1" s="1"/>
  <c r="W8007" i="1" s="1"/>
  <c r="C8006" i="1"/>
  <c r="U8006" i="1" s="1"/>
  <c r="C8005" i="1"/>
  <c r="U8005" i="1" s="1"/>
  <c r="C8004" i="1"/>
  <c r="U8004" i="1" s="1"/>
  <c r="C8003" i="1"/>
  <c r="U8003" i="1" s="1"/>
  <c r="W8003" i="1" s="1"/>
  <c r="C8002" i="1"/>
  <c r="U8002" i="1" s="1"/>
  <c r="C8001" i="1"/>
  <c r="U8001" i="1" s="1"/>
  <c r="C8000" i="1"/>
  <c r="U8000" i="1" s="1"/>
  <c r="C7999" i="1"/>
  <c r="U7999" i="1" s="1"/>
  <c r="W7999" i="1" s="1"/>
  <c r="C7998" i="1"/>
  <c r="U7998" i="1" s="1"/>
  <c r="C7997" i="1"/>
  <c r="U7997" i="1" s="1"/>
  <c r="C7996" i="1"/>
  <c r="U7996" i="1" s="1"/>
  <c r="U7995" i="1"/>
  <c r="W7995" i="1" s="1"/>
  <c r="C7995" i="1"/>
  <c r="C7994" i="1"/>
  <c r="U7994" i="1" s="1"/>
  <c r="C7993" i="1"/>
  <c r="U7993" i="1" s="1"/>
  <c r="C7992" i="1"/>
  <c r="U7992" i="1" s="1"/>
  <c r="U7991" i="1"/>
  <c r="W7991" i="1" s="1"/>
  <c r="C7991" i="1"/>
  <c r="C7990" i="1"/>
  <c r="U7990" i="1" s="1"/>
  <c r="C7989" i="1"/>
  <c r="U7989" i="1" s="1"/>
  <c r="W7989" i="1" s="1"/>
  <c r="C7988" i="1"/>
  <c r="U7988" i="1" s="1"/>
  <c r="C7987" i="1"/>
  <c r="U7987" i="1" s="1"/>
  <c r="C7986" i="1"/>
  <c r="U7986" i="1" s="1"/>
  <c r="U7985" i="1"/>
  <c r="W7985" i="1" s="1"/>
  <c r="C7985" i="1"/>
  <c r="C7984" i="1"/>
  <c r="U7984" i="1" s="1"/>
  <c r="C7983" i="1"/>
  <c r="U7983" i="1" s="1"/>
  <c r="W7983" i="1" s="1"/>
  <c r="C7982" i="1"/>
  <c r="U7982" i="1" s="1"/>
  <c r="C7981" i="1"/>
  <c r="U7981" i="1" s="1"/>
  <c r="W7981" i="1" s="1"/>
  <c r="C7980" i="1"/>
  <c r="U7980" i="1" s="1"/>
  <c r="C7979" i="1"/>
  <c r="U7979" i="1" s="1"/>
  <c r="C7978" i="1"/>
  <c r="U7978" i="1" s="1"/>
  <c r="U7977" i="1"/>
  <c r="W7977" i="1" s="1"/>
  <c r="C7977" i="1"/>
  <c r="C7976" i="1"/>
  <c r="U7976" i="1" s="1"/>
  <c r="C7975" i="1"/>
  <c r="U7975" i="1" s="1"/>
  <c r="W7975" i="1" s="1"/>
  <c r="C7974" i="1"/>
  <c r="U7974" i="1" s="1"/>
  <c r="C7973" i="1"/>
  <c r="U7973" i="1" s="1"/>
  <c r="C7972" i="1"/>
  <c r="U7972" i="1" s="1"/>
  <c r="C7971" i="1"/>
  <c r="U7971" i="1" s="1"/>
  <c r="W7971" i="1" s="1"/>
  <c r="C7970" i="1"/>
  <c r="U7970" i="1" s="1"/>
  <c r="U7969" i="1"/>
  <c r="C7969" i="1"/>
  <c r="C7968" i="1"/>
  <c r="U7968" i="1" s="1"/>
  <c r="C7967" i="1"/>
  <c r="U7967" i="1" s="1"/>
  <c r="W7967" i="1" s="1"/>
  <c r="C7966" i="1"/>
  <c r="U7966" i="1" s="1"/>
  <c r="C7965" i="1"/>
  <c r="U7965" i="1" s="1"/>
  <c r="C7964" i="1"/>
  <c r="U7964" i="1" s="1"/>
  <c r="C7963" i="1"/>
  <c r="U7963" i="1" s="1"/>
  <c r="W7963" i="1" s="1"/>
  <c r="C7962" i="1"/>
  <c r="U7962" i="1" s="1"/>
  <c r="U7961" i="1"/>
  <c r="C7961" i="1"/>
  <c r="C7960" i="1"/>
  <c r="U7960" i="1" s="1"/>
  <c r="C7959" i="1"/>
  <c r="U7959" i="1" s="1"/>
  <c r="W7959" i="1" s="1"/>
  <c r="C7958" i="1"/>
  <c r="U7958" i="1" s="1"/>
  <c r="C7957" i="1"/>
  <c r="U7957" i="1" s="1"/>
  <c r="W7957" i="1" s="1"/>
  <c r="C7956" i="1"/>
  <c r="U7956" i="1" s="1"/>
  <c r="C7955" i="1"/>
  <c r="U7955" i="1" s="1"/>
  <c r="C7954" i="1"/>
  <c r="U7954" i="1" s="1"/>
  <c r="U7953" i="1"/>
  <c r="W7953" i="1" s="1"/>
  <c r="C7953" i="1"/>
  <c r="C7952" i="1"/>
  <c r="U7952" i="1" s="1"/>
  <c r="C7951" i="1"/>
  <c r="U7951" i="1" s="1"/>
  <c r="W7951" i="1" s="1"/>
  <c r="C7950" i="1"/>
  <c r="U7950" i="1" s="1"/>
  <c r="C7949" i="1"/>
  <c r="U7949" i="1" s="1"/>
  <c r="W7949" i="1" s="1"/>
  <c r="C7948" i="1"/>
  <c r="U7948" i="1" s="1"/>
  <c r="C7947" i="1"/>
  <c r="U7947" i="1" s="1"/>
  <c r="C7946" i="1"/>
  <c r="U7946" i="1" s="1"/>
  <c r="U7945" i="1"/>
  <c r="W7945" i="1" s="1"/>
  <c r="C7945" i="1"/>
  <c r="C7944" i="1"/>
  <c r="U7944" i="1" s="1"/>
  <c r="C7943" i="1"/>
  <c r="U7943" i="1" s="1"/>
  <c r="W7943" i="1" s="1"/>
  <c r="C7942" i="1"/>
  <c r="U7942" i="1" s="1"/>
  <c r="C7941" i="1"/>
  <c r="U7941" i="1" s="1"/>
  <c r="C7940" i="1"/>
  <c r="U7940" i="1" s="1"/>
  <c r="C7939" i="1"/>
  <c r="U7939" i="1" s="1"/>
  <c r="W7939" i="1" s="1"/>
  <c r="C7938" i="1"/>
  <c r="U7938" i="1" s="1"/>
  <c r="U7937" i="1"/>
  <c r="C7937" i="1"/>
  <c r="C7936" i="1"/>
  <c r="U7936" i="1" s="1"/>
  <c r="C7935" i="1"/>
  <c r="U7935" i="1" s="1"/>
  <c r="W7935" i="1" s="1"/>
  <c r="C7934" i="1"/>
  <c r="U7934" i="1" s="1"/>
  <c r="C7933" i="1"/>
  <c r="U7933" i="1" s="1"/>
  <c r="C7932" i="1"/>
  <c r="U7932" i="1" s="1"/>
  <c r="C7931" i="1"/>
  <c r="U7931" i="1" s="1"/>
  <c r="W7931" i="1" s="1"/>
  <c r="C7930" i="1"/>
  <c r="U7930" i="1" s="1"/>
  <c r="U7929" i="1"/>
  <c r="C7929" i="1"/>
  <c r="C7928" i="1"/>
  <c r="U7928" i="1" s="1"/>
  <c r="C7927" i="1"/>
  <c r="U7927" i="1" s="1"/>
  <c r="W7927" i="1" s="1"/>
  <c r="C7926" i="1"/>
  <c r="U7926" i="1" s="1"/>
  <c r="C7925" i="1"/>
  <c r="U7925" i="1" s="1"/>
  <c r="W7925" i="1" s="1"/>
  <c r="C7924" i="1"/>
  <c r="U7924" i="1" s="1"/>
  <c r="C7923" i="1"/>
  <c r="U7923" i="1" s="1"/>
  <c r="C7922" i="1"/>
  <c r="U7922" i="1" s="1"/>
  <c r="U7921" i="1"/>
  <c r="W7921" i="1" s="1"/>
  <c r="C7921" i="1"/>
  <c r="C7920" i="1"/>
  <c r="U7920" i="1" s="1"/>
  <c r="C7919" i="1"/>
  <c r="U7919" i="1" s="1"/>
  <c r="W7919" i="1" s="1"/>
  <c r="C7918" i="1"/>
  <c r="U7918" i="1" s="1"/>
  <c r="C7917" i="1"/>
  <c r="U7917" i="1" s="1"/>
  <c r="W7917" i="1" s="1"/>
  <c r="C7916" i="1"/>
  <c r="U7916" i="1" s="1"/>
  <c r="C7915" i="1"/>
  <c r="U7915" i="1" s="1"/>
  <c r="C7914" i="1"/>
  <c r="U7914" i="1" s="1"/>
  <c r="U7913" i="1"/>
  <c r="W7913" i="1" s="1"/>
  <c r="C7913" i="1"/>
  <c r="C7912" i="1"/>
  <c r="U7912" i="1" s="1"/>
  <c r="C7911" i="1"/>
  <c r="U7911" i="1" s="1"/>
  <c r="W7911" i="1" s="1"/>
  <c r="C7910" i="1"/>
  <c r="U7910" i="1" s="1"/>
  <c r="C7909" i="1"/>
  <c r="U7909" i="1" s="1"/>
  <c r="C7908" i="1"/>
  <c r="U7908" i="1" s="1"/>
  <c r="C7907" i="1"/>
  <c r="U7907" i="1" s="1"/>
  <c r="W7907" i="1" s="1"/>
  <c r="C7906" i="1"/>
  <c r="U7906" i="1" s="1"/>
  <c r="U7905" i="1"/>
  <c r="C7905" i="1"/>
  <c r="C7904" i="1"/>
  <c r="U7904" i="1" s="1"/>
  <c r="C7903" i="1"/>
  <c r="U7903" i="1" s="1"/>
  <c r="W7903" i="1" s="1"/>
  <c r="C7902" i="1"/>
  <c r="U7902" i="1" s="1"/>
  <c r="C7901" i="1"/>
  <c r="U7901" i="1" s="1"/>
  <c r="C7900" i="1"/>
  <c r="U7900" i="1" s="1"/>
  <c r="C7899" i="1"/>
  <c r="U7899" i="1" s="1"/>
  <c r="W7899" i="1" s="1"/>
  <c r="C7898" i="1"/>
  <c r="U7898" i="1" s="1"/>
  <c r="U7897" i="1"/>
  <c r="C7897" i="1"/>
  <c r="C7896" i="1"/>
  <c r="U7896" i="1" s="1"/>
  <c r="C7895" i="1"/>
  <c r="U7895" i="1" s="1"/>
  <c r="W7895" i="1" s="1"/>
  <c r="C7894" i="1"/>
  <c r="U7894" i="1" s="1"/>
  <c r="C7893" i="1"/>
  <c r="U7893" i="1" s="1"/>
  <c r="W7893" i="1" s="1"/>
  <c r="C7892" i="1"/>
  <c r="U7892" i="1" s="1"/>
  <c r="C7891" i="1"/>
  <c r="U7891" i="1" s="1"/>
  <c r="C7890" i="1"/>
  <c r="U7890" i="1" s="1"/>
  <c r="U7889" i="1"/>
  <c r="W7889" i="1" s="1"/>
  <c r="C7889" i="1"/>
  <c r="C7888" i="1"/>
  <c r="U7888" i="1" s="1"/>
  <c r="C7887" i="1"/>
  <c r="U7887" i="1" s="1"/>
  <c r="W7887" i="1" s="1"/>
  <c r="C7886" i="1"/>
  <c r="U7886" i="1" s="1"/>
  <c r="C7885" i="1"/>
  <c r="U7885" i="1" s="1"/>
  <c r="W7885" i="1" s="1"/>
  <c r="C7884" i="1"/>
  <c r="U7884" i="1" s="1"/>
  <c r="C7883" i="1"/>
  <c r="U7883" i="1" s="1"/>
  <c r="C7882" i="1"/>
  <c r="U7882" i="1" s="1"/>
  <c r="U7881" i="1"/>
  <c r="W7881" i="1" s="1"/>
  <c r="C7881" i="1"/>
  <c r="C7880" i="1"/>
  <c r="U7880" i="1" s="1"/>
  <c r="C7879" i="1"/>
  <c r="U7879" i="1" s="1"/>
  <c r="W7879" i="1" s="1"/>
  <c r="C7878" i="1"/>
  <c r="U7878" i="1" s="1"/>
  <c r="C7877" i="1"/>
  <c r="U7877" i="1" s="1"/>
  <c r="C7876" i="1"/>
  <c r="U7876" i="1" s="1"/>
  <c r="C7875" i="1"/>
  <c r="U7875" i="1" s="1"/>
  <c r="W7875" i="1" s="1"/>
  <c r="C7874" i="1"/>
  <c r="U7874" i="1" s="1"/>
  <c r="U7873" i="1"/>
  <c r="C7873" i="1"/>
  <c r="C7872" i="1"/>
  <c r="U7872" i="1" s="1"/>
  <c r="C7871" i="1"/>
  <c r="U7871" i="1" s="1"/>
  <c r="W7871" i="1" s="1"/>
  <c r="C7870" i="1"/>
  <c r="U7870" i="1" s="1"/>
  <c r="C7869" i="1"/>
  <c r="U7869" i="1" s="1"/>
  <c r="C7868" i="1"/>
  <c r="U7868" i="1" s="1"/>
  <c r="C7867" i="1"/>
  <c r="U7867" i="1" s="1"/>
  <c r="W7867" i="1" s="1"/>
  <c r="C7866" i="1"/>
  <c r="U7866" i="1" s="1"/>
  <c r="U7865" i="1"/>
  <c r="C7865" i="1"/>
  <c r="C7864" i="1"/>
  <c r="U7864" i="1" s="1"/>
  <c r="C7863" i="1"/>
  <c r="U7863" i="1" s="1"/>
  <c r="W7863" i="1" s="1"/>
  <c r="C7862" i="1"/>
  <c r="U7862" i="1" s="1"/>
  <c r="C7861" i="1"/>
  <c r="U7861" i="1" s="1"/>
  <c r="W7861" i="1" s="1"/>
  <c r="C7860" i="1"/>
  <c r="U7860" i="1" s="1"/>
  <c r="C7859" i="1"/>
  <c r="U7859" i="1" s="1"/>
  <c r="C7858" i="1"/>
  <c r="U7858" i="1" s="1"/>
  <c r="U7857" i="1"/>
  <c r="W7857" i="1" s="1"/>
  <c r="C7857" i="1"/>
  <c r="C7856" i="1"/>
  <c r="U7856" i="1" s="1"/>
  <c r="C7855" i="1"/>
  <c r="U7855" i="1" s="1"/>
  <c r="W7855" i="1" s="1"/>
  <c r="C7854" i="1"/>
  <c r="U7854" i="1" s="1"/>
  <c r="C7853" i="1"/>
  <c r="U7853" i="1" s="1"/>
  <c r="W7853" i="1" s="1"/>
  <c r="U7852" i="1"/>
  <c r="C7852" i="1"/>
  <c r="C7851" i="1"/>
  <c r="U7851" i="1" s="1"/>
  <c r="W7851" i="1" s="1"/>
  <c r="U7850" i="1"/>
  <c r="C7850" i="1"/>
  <c r="C7849" i="1"/>
  <c r="U7849" i="1" s="1"/>
  <c r="C7848" i="1"/>
  <c r="U7848" i="1" s="1"/>
  <c r="C7847" i="1"/>
  <c r="U7847" i="1" s="1"/>
  <c r="W7847" i="1" s="1"/>
  <c r="C7846" i="1"/>
  <c r="U7846" i="1" s="1"/>
  <c r="C7845" i="1"/>
  <c r="U7845" i="1" s="1"/>
  <c r="C7844" i="1"/>
  <c r="U7844" i="1" s="1"/>
  <c r="C7843" i="1"/>
  <c r="U7843" i="1" s="1"/>
  <c r="W7843" i="1" s="1"/>
  <c r="U7842" i="1"/>
  <c r="C7842" i="1"/>
  <c r="C7841" i="1"/>
  <c r="U7841" i="1" s="1"/>
  <c r="W7841" i="1" s="1"/>
  <c r="C7840" i="1"/>
  <c r="U7840" i="1" s="1"/>
  <c r="C7839" i="1"/>
  <c r="U7839" i="1" s="1"/>
  <c r="W7839" i="1" s="1"/>
  <c r="C7838" i="1"/>
  <c r="U7838" i="1" s="1"/>
  <c r="C7837" i="1"/>
  <c r="U7837" i="1" s="1"/>
  <c r="W7837" i="1" s="1"/>
  <c r="C7836" i="1"/>
  <c r="U7836" i="1" s="1"/>
  <c r="C7835" i="1"/>
  <c r="U7835" i="1" s="1"/>
  <c r="U7834" i="1"/>
  <c r="C7834" i="1"/>
  <c r="C7833" i="1"/>
  <c r="U7833" i="1" s="1"/>
  <c r="W7833" i="1" s="1"/>
  <c r="C7832" i="1"/>
  <c r="U7832" i="1" s="1"/>
  <c r="C7831" i="1"/>
  <c r="U7831" i="1" s="1"/>
  <c r="W7831" i="1" s="1"/>
  <c r="C7830" i="1"/>
  <c r="U7830" i="1" s="1"/>
  <c r="C7829" i="1"/>
  <c r="U7829" i="1" s="1"/>
  <c r="W7829" i="1" s="1"/>
  <c r="C7828" i="1"/>
  <c r="U7828" i="1" s="1"/>
  <c r="C7827" i="1"/>
  <c r="U7827" i="1" s="1"/>
  <c r="U7826" i="1"/>
  <c r="C7826" i="1"/>
  <c r="C7825" i="1"/>
  <c r="U7825" i="1" s="1"/>
  <c r="C7824" i="1"/>
  <c r="U7824" i="1" s="1"/>
  <c r="C7823" i="1"/>
  <c r="U7823" i="1" s="1"/>
  <c r="W7823" i="1" s="1"/>
  <c r="C7822" i="1"/>
  <c r="U7822" i="1" s="1"/>
  <c r="C7821" i="1"/>
  <c r="U7821" i="1" s="1"/>
  <c r="C7820" i="1"/>
  <c r="U7820" i="1" s="1"/>
  <c r="C7819" i="1"/>
  <c r="U7819" i="1" s="1"/>
  <c r="W7819" i="1" s="1"/>
  <c r="U7818" i="1"/>
  <c r="C7818" i="1"/>
  <c r="C7817" i="1"/>
  <c r="U7817" i="1" s="1"/>
  <c r="C7816" i="1"/>
  <c r="U7816" i="1" s="1"/>
  <c r="C7815" i="1"/>
  <c r="U7815" i="1" s="1"/>
  <c r="W7815" i="1" s="1"/>
  <c r="C7814" i="1"/>
  <c r="U7814" i="1" s="1"/>
  <c r="C7813" i="1"/>
  <c r="U7813" i="1" s="1"/>
  <c r="C7812" i="1"/>
  <c r="U7812" i="1" s="1"/>
  <c r="C7811" i="1"/>
  <c r="U7811" i="1" s="1"/>
  <c r="W7811" i="1" s="1"/>
  <c r="U7810" i="1"/>
  <c r="C7810" i="1"/>
  <c r="C7809" i="1"/>
  <c r="U7809" i="1" s="1"/>
  <c r="W7809" i="1" s="1"/>
  <c r="C7808" i="1"/>
  <c r="U7808" i="1" s="1"/>
  <c r="C7807" i="1"/>
  <c r="U7807" i="1" s="1"/>
  <c r="W7807" i="1" s="1"/>
  <c r="C7806" i="1"/>
  <c r="U7806" i="1" s="1"/>
  <c r="C7805" i="1"/>
  <c r="U7805" i="1" s="1"/>
  <c r="W7805" i="1" s="1"/>
  <c r="C7804" i="1"/>
  <c r="U7804" i="1" s="1"/>
  <c r="C7803" i="1"/>
  <c r="U7803" i="1" s="1"/>
  <c r="U7802" i="1"/>
  <c r="C7802" i="1"/>
  <c r="C7801" i="1"/>
  <c r="U7801" i="1" s="1"/>
  <c r="W7801" i="1" s="1"/>
  <c r="C7800" i="1"/>
  <c r="U7800" i="1" s="1"/>
  <c r="C7799" i="1"/>
  <c r="U7799" i="1" s="1"/>
  <c r="W7799" i="1" s="1"/>
  <c r="C7798" i="1"/>
  <c r="U7798" i="1" s="1"/>
  <c r="C7797" i="1"/>
  <c r="U7797" i="1" s="1"/>
  <c r="W7797" i="1" s="1"/>
  <c r="C7796" i="1"/>
  <c r="U7796" i="1" s="1"/>
  <c r="C7795" i="1"/>
  <c r="U7795" i="1" s="1"/>
  <c r="U7794" i="1"/>
  <c r="C7794" i="1"/>
  <c r="C7793" i="1"/>
  <c r="U7793" i="1" s="1"/>
  <c r="C7792" i="1"/>
  <c r="U7792" i="1" s="1"/>
  <c r="C7791" i="1"/>
  <c r="U7791" i="1" s="1"/>
  <c r="W7791" i="1" s="1"/>
  <c r="C7790" i="1"/>
  <c r="U7790" i="1" s="1"/>
  <c r="C7789" i="1"/>
  <c r="U7789" i="1" s="1"/>
  <c r="C7788" i="1"/>
  <c r="U7788" i="1" s="1"/>
  <c r="C7787" i="1"/>
  <c r="U7787" i="1" s="1"/>
  <c r="W7787" i="1" s="1"/>
  <c r="U7786" i="1"/>
  <c r="C7786" i="1"/>
  <c r="C7785" i="1"/>
  <c r="U7785" i="1" s="1"/>
  <c r="C7784" i="1"/>
  <c r="U7784" i="1" s="1"/>
  <c r="C7783" i="1"/>
  <c r="U7783" i="1" s="1"/>
  <c r="W7783" i="1" s="1"/>
  <c r="C7782" i="1"/>
  <c r="U7782" i="1" s="1"/>
  <c r="C7781" i="1"/>
  <c r="U7781" i="1" s="1"/>
  <c r="C7780" i="1"/>
  <c r="U7780" i="1" s="1"/>
  <c r="C7779" i="1"/>
  <c r="U7779" i="1" s="1"/>
  <c r="W7779" i="1" s="1"/>
  <c r="U7778" i="1"/>
  <c r="C7778" i="1"/>
  <c r="C7777" i="1"/>
  <c r="U7777" i="1" s="1"/>
  <c r="W7777" i="1" s="1"/>
  <c r="C7776" i="1"/>
  <c r="U7776" i="1" s="1"/>
  <c r="C7775" i="1"/>
  <c r="U7775" i="1" s="1"/>
  <c r="W7775" i="1" s="1"/>
  <c r="C7774" i="1"/>
  <c r="U7774" i="1" s="1"/>
  <c r="C7773" i="1"/>
  <c r="U7773" i="1" s="1"/>
  <c r="W7773" i="1" s="1"/>
  <c r="C7772" i="1"/>
  <c r="U7772" i="1" s="1"/>
  <c r="C7771" i="1"/>
  <c r="U7771" i="1" s="1"/>
  <c r="C7770" i="1"/>
  <c r="U7770" i="1" s="1"/>
  <c r="C7769" i="1"/>
  <c r="U7769" i="1" s="1"/>
  <c r="W7769" i="1" s="1"/>
  <c r="C7768" i="1"/>
  <c r="U7768" i="1" s="1"/>
  <c r="C7767" i="1"/>
  <c r="U7767" i="1" s="1"/>
  <c r="W7767" i="1" s="1"/>
  <c r="C7766" i="1"/>
  <c r="U7766" i="1" s="1"/>
  <c r="U7765" i="1"/>
  <c r="W7765" i="1" s="1"/>
  <c r="C7765" i="1"/>
  <c r="C7764" i="1"/>
  <c r="U7764" i="1" s="1"/>
  <c r="C7763" i="1"/>
  <c r="U7763" i="1" s="1"/>
  <c r="C7762" i="1"/>
  <c r="U7762" i="1" s="1"/>
  <c r="C7761" i="1"/>
  <c r="U7761" i="1" s="1"/>
  <c r="W7761" i="1" s="1"/>
  <c r="C7760" i="1"/>
  <c r="U7760" i="1" s="1"/>
  <c r="C7759" i="1"/>
  <c r="U7759" i="1" s="1"/>
  <c r="W7759" i="1" s="1"/>
  <c r="C7758" i="1"/>
  <c r="U7758" i="1" s="1"/>
  <c r="C7757" i="1"/>
  <c r="U7757" i="1" s="1"/>
  <c r="W7757" i="1" s="1"/>
  <c r="C7756" i="1"/>
  <c r="U7756" i="1" s="1"/>
  <c r="C7755" i="1"/>
  <c r="U7755" i="1" s="1"/>
  <c r="C7754" i="1"/>
  <c r="U7754" i="1" s="1"/>
  <c r="C7753" i="1"/>
  <c r="U7753" i="1" s="1"/>
  <c r="W7753" i="1" s="1"/>
  <c r="C7752" i="1"/>
  <c r="U7752" i="1" s="1"/>
  <c r="C7751" i="1"/>
  <c r="U7751" i="1" s="1"/>
  <c r="W7751" i="1" s="1"/>
  <c r="C7750" i="1"/>
  <c r="U7750" i="1" s="1"/>
  <c r="U7749" i="1"/>
  <c r="W7749" i="1" s="1"/>
  <c r="C7749" i="1"/>
  <c r="C7748" i="1"/>
  <c r="U7748" i="1" s="1"/>
  <c r="C7747" i="1"/>
  <c r="U7747" i="1" s="1"/>
  <c r="C7746" i="1"/>
  <c r="U7746" i="1" s="1"/>
  <c r="C7745" i="1"/>
  <c r="U7745" i="1" s="1"/>
  <c r="C7744" i="1"/>
  <c r="U7744" i="1" s="1"/>
  <c r="C7743" i="1"/>
  <c r="U7743" i="1" s="1"/>
  <c r="W7743" i="1" s="1"/>
  <c r="C7742" i="1"/>
  <c r="U7742" i="1" s="1"/>
  <c r="C7741" i="1"/>
  <c r="U7741" i="1" s="1"/>
  <c r="C7740" i="1"/>
  <c r="U7740" i="1" s="1"/>
  <c r="C7739" i="1"/>
  <c r="U7739" i="1" s="1"/>
  <c r="C7738" i="1"/>
  <c r="U7738" i="1" s="1"/>
  <c r="C7737" i="1"/>
  <c r="U7737" i="1" s="1"/>
  <c r="C7736" i="1"/>
  <c r="U7736" i="1" s="1"/>
  <c r="C7735" i="1"/>
  <c r="U7735" i="1" s="1"/>
  <c r="W7735" i="1" s="1"/>
  <c r="C7734" i="1"/>
  <c r="U7734" i="1" s="1"/>
  <c r="U7733" i="1"/>
  <c r="C7733" i="1"/>
  <c r="C7732" i="1"/>
  <c r="U7732" i="1" s="1"/>
  <c r="C7731" i="1"/>
  <c r="U7731" i="1" s="1"/>
  <c r="W7731" i="1" s="1"/>
  <c r="C7730" i="1"/>
  <c r="U7730" i="1" s="1"/>
  <c r="C7729" i="1"/>
  <c r="U7729" i="1" s="1"/>
  <c r="C7728" i="1"/>
  <c r="U7728" i="1" s="1"/>
  <c r="C7727" i="1"/>
  <c r="U7727" i="1" s="1"/>
  <c r="W7727" i="1" s="1"/>
  <c r="C7726" i="1"/>
  <c r="U7726" i="1" s="1"/>
  <c r="C7725" i="1"/>
  <c r="U7725" i="1" s="1"/>
  <c r="C7724" i="1"/>
  <c r="U7724" i="1" s="1"/>
  <c r="C7723" i="1"/>
  <c r="U7723" i="1" s="1"/>
  <c r="W7723" i="1" s="1"/>
  <c r="C7722" i="1"/>
  <c r="U7722" i="1" s="1"/>
  <c r="C7721" i="1"/>
  <c r="U7721" i="1" s="1"/>
  <c r="C7720" i="1"/>
  <c r="U7720" i="1" s="1"/>
  <c r="C7719" i="1"/>
  <c r="U7719" i="1" s="1"/>
  <c r="W7719" i="1" s="1"/>
  <c r="C7718" i="1"/>
  <c r="U7718" i="1" s="1"/>
  <c r="U7717" i="1"/>
  <c r="C7717" i="1"/>
  <c r="C7716" i="1"/>
  <c r="U7716" i="1" s="1"/>
  <c r="C7715" i="1"/>
  <c r="U7715" i="1" s="1"/>
  <c r="C7714" i="1"/>
  <c r="U7714" i="1" s="1"/>
  <c r="C7713" i="1"/>
  <c r="U7713" i="1" s="1"/>
  <c r="C7712" i="1"/>
  <c r="U7712" i="1" s="1"/>
  <c r="C7711" i="1"/>
  <c r="U7711" i="1" s="1"/>
  <c r="W7711" i="1" s="1"/>
  <c r="C7710" i="1"/>
  <c r="U7710" i="1" s="1"/>
  <c r="C7709" i="1"/>
  <c r="U7709" i="1" s="1"/>
  <c r="C7708" i="1"/>
  <c r="U7708" i="1" s="1"/>
  <c r="C7707" i="1"/>
  <c r="U7707" i="1" s="1"/>
  <c r="C7706" i="1"/>
  <c r="U7706" i="1" s="1"/>
  <c r="C7705" i="1"/>
  <c r="U7705" i="1" s="1"/>
  <c r="C7704" i="1"/>
  <c r="U7704" i="1" s="1"/>
  <c r="C7703" i="1"/>
  <c r="U7703" i="1" s="1"/>
  <c r="W7703" i="1" s="1"/>
  <c r="C7702" i="1"/>
  <c r="U7702" i="1" s="1"/>
  <c r="U7701" i="1"/>
  <c r="C7701" i="1"/>
  <c r="C7700" i="1"/>
  <c r="U7700" i="1" s="1"/>
  <c r="C7699" i="1"/>
  <c r="U7699" i="1" s="1"/>
  <c r="C7698" i="1"/>
  <c r="U7698" i="1" s="1"/>
  <c r="C7697" i="1"/>
  <c r="U7697" i="1" s="1"/>
  <c r="W7697" i="1" s="1"/>
  <c r="C7696" i="1"/>
  <c r="U7696" i="1" s="1"/>
  <c r="C7695" i="1"/>
  <c r="U7695" i="1" s="1"/>
  <c r="W7695" i="1" s="1"/>
  <c r="C7694" i="1"/>
  <c r="U7694" i="1" s="1"/>
  <c r="C7693" i="1"/>
  <c r="U7693" i="1" s="1"/>
  <c r="W7693" i="1" s="1"/>
  <c r="C7692" i="1"/>
  <c r="U7692" i="1" s="1"/>
  <c r="C7691" i="1"/>
  <c r="U7691" i="1" s="1"/>
  <c r="C7690" i="1"/>
  <c r="U7690" i="1" s="1"/>
  <c r="C7689" i="1"/>
  <c r="U7689" i="1" s="1"/>
  <c r="W7689" i="1" s="1"/>
  <c r="C7688" i="1"/>
  <c r="U7688" i="1" s="1"/>
  <c r="C7687" i="1"/>
  <c r="U7687" i="1" s="1"/>
  <c r="W7687" i="1" s="1"/>
  <c r="C7686" i="1"/>
  <c r="U7686" i="1" s="1"/>
  <c r="U7685" i="1"/>
  <c r="W7685" i="1" s="1"/>
  <c r="C7685" i="1"/>
  <c r="C7684" i="1"/>
  <c r="U7684" i="1" s="1"/>
  <c r="C7683" i="1"/>
  <c r="U7683" i="1" s="1"/>
  <c r="C7682" i="1"/>
  <c r="U7682" i="1" s="1"/>
  <c r="C7681" i="1"/>
  <c r="U7681" i="1" s="1"/>
  <c r="C7680" i="1"/>
  <c r="U7680" i="1" s="1"/>
  <c r="C7679" i="1"/>
  <c r="U7679" i="1" s="1"/>
  <c r="W7679" i="1" s="1"/>
  <c r="C7678" i="1"/>
  <c r="U7678" i="1" s="1"/>
  <c r="C7677" i="1"/>
  <c r="U7677" i="1" s="1"/>
  <c r="C7676" i="1"/>
  <c r="U7676" i="1" s="1"/>
  <c r="C7675" i="1"/>
  <c r="U7675" i="1" s="1"/>
  <c r="C7674" i="1"/>
  <c r="U7674" i="1" s="1"/>
  <c r="C7673" i="1"/>
  <c r="U7673" i="1" s="1"/>
  <c r="C7672" i="1"/>
  <c r="U7672" i="1" s="1"/>
  <c r="C7671" i="1"/>
  <c r="U7671" i="1" s="1"/>
  <c r="W7671" i="1" s="1"/>
  <c r="C7670" i="1"/>
  <c r="U7670" i="1" s="1"/>
  <c r="U7669" i="1"/>
  <c r="C7669" i="1"/>
  <c r="C7668" i="1"/>
  <c r="U7668" i="1" s="1"/>
  <c r="C7667" i="1"/>
  <c r="U7667" i="1" s="1"/>
  <c r="W7667" i="1" s="1"/>
  <c r="C7666" i="1"/>
  <c r="U7666" i="1" s="1"/>
  <c r="C7665" i="1"/>
  <c r="U7665" i="1" s="1"/>
  <c r="C7664" i="1"/>
  <c r="U7664" i="1" s="1"/>
  <c r="C7663" i="1"/>
  <c r="U7663" i="1" s="1"/>
  <c r="W7663" i="1" s="1"/>
  <c r="C7662" i="1"/>
  <c r="U7662" i="1" s="1"/>
  <c r="C7661" i="1"/>
  <c r="U7661" i="1" s="1"/>
  <c r="C7660" i="1"/>
  <c r="U7660" i="1" s="1"/>
  <c r="C7659" i="1"/>
  <c r="U7659" i="1" s="1"/>
  <c r="C7658" i="1"/>
  <c r="U7658" i="1" s="1"/>
  <c r="C7657" i="1"/>
  <c r="U7657" i="1" s="1"/>
  <c r="C7656" i="1"/>
  <c r="U7656" i="1" s="1"/>
  <c r="C7655" i="1"/>
  <c r="U7655" i="1" s="1"/>
  <c r="W7655" i="1" s="1"/>
  <c r="C7654" i="1"/>
  <c r="U7654" i="1" s="1"/>
  <c r="U7653" i="1"/>
  <c r="C7653" i="1"/>
  <c r="C7652" i="1"/>
  <c r="U7652" i="1" s="1"/>
  <c r="C7651" i="1"/>
  <c r="U7651" i="1" s="1"/>
  <c r="C7650" i="1"/>
  <c r="U7650" i="1" s="1"/>
  <c r="C7649" i="1"/>
  <c r="U7649" i="1" s="1"/>
  <c r="C7648" i="1"/>
  <c r="U7648" i="1" s="1"/>
  <c r="C7647" i="1"/>
  <c r="U7647" i="1" s="1"/>
  <c r="W7647" i="1" s="1"/>
  <c r="C7646" i="1"/>
  <c r="U7646" i="1" s="1"/>
  <c r="C7645" i="1"/>
  <c r="U7645" i="1" s="1"/>
  <c r="C7644" i="1"/>
  <c r="U7644" i="1" s="1"/>
  <c r="C7643" i="1"/>
  <c r="U7643" i="1" s="1"/>
  <c r="C7642" i="1"/>
  <c r="U7642" i="1" s="1"/>
  <c r="C7641" i="1"/>
  <c r="U7641" i="1" s="1"/>
  <c r="C7640" i="1"/>
  <c r="U7640" i="1" s="1"/>
  <c r="C7639" i="1"/>
  <c r="U7639" i="1" s="1"/>
  <c r="W7639" i="1" s="1"/>
  <c r="C7638" i="1"/>
  <c r="U7638" i="1" s="1"/>
  <c r="U7637" i="1"/>
  <c r="C7637" i="1"/>
  <c r="C7636" i="1"/>
  <c r="U7636" i="1" s="1"/>
  <c r="C7635" i="1"/>
  <c r="U7635" i="1" s="1"/>
  <c r="C7634" i="1"/>
  <c r="U7634" i="1" s="1"/>
  <c r="C7633" i="1"/>
  <c r="U7633" i="1" s="1"/>
  <c r="C7632" i="1"/>
  <c r="U7632" i="1" s="1"/>
  <c r="C7631" i="1"/>
  <c r="U7631" i="1" s="1"/>
  <c r="W7631" i="1" s="1"/>
  <c r="C7630" i="1"/>
  <c r="U7630" i="1" s="1"/>
  <c r="C7629" i="1"/>
  <c r="U7629" i="1" s="1"/>
  <c r="C7628" i="1"/>
  <c r="U7628" i="1" s="1"/>
  <c r="C7627" i="1"/>
  <c r="U7627" i="1" s="1"/>
  <c r="C7626" i="1"/>
  <c r="U7626" i="1" s="1"/>
  <c r="C7625" i="1"/>
  <c r="U7625" i="1" s="1"/>
  <c r="C7624" i="1"/>
  <c r="U7624" i="1" s="1"/>
  <c r="C7623" i="1"/>
  <c r="U7623" i="1" s="1"/>
  <c r="W7623" i="1" s="1"/>
  <c r="C7622" i="1"/>
  <c r="U7622" i="1" s="1"/>
  <c r="U7621" i="1"/>
  <c r="C7621" i="1"/>
  <c r="C7620" i="1"/>
  <c r="U7620" i="1" s="1"/>
  <c r="C7619" i="1"/>
  <c r="U7619" i="1" s="1"/>
  <c r="C7618" i="1"/>
  <c r="U7618" i="1" s="1"/>
  <c r="C7617" i="1"/>
  <c r="U7617" i="1" s="1"/>
  <c r="C7616" i="1"/>
  <c r="U7616" i="1" s="1"/>
  <c r="C7615" i="1"/>
  <c r="U7615" i="1" s="1"/>
  <c r="W7615" i="1" s="1"/>
  <c r="C7614" i="1"/>
  <c r="U7614" i="1" s="1"/>
  <c r="C7613" i="1"/>
  <c r="U7613" i="1" s="1"/>
  <c r="C7612" i="1"/>
  <c r="U7612" i="1" s="1"/>
  <c r="C7611" i="1"/>
  <c r="U7611" i="1" s="1"/>
  <c r="C7610" i="1"/>
  <c r="U7610" i="1" s="1"/>
  <c r="C7609" i="1"/>
  <c r="U7609" i="1" s="1"/>
  <c r="C7608" i="1"/>
  <c r="U7608" i="1" s="1"/>
  <c r="C7607" i="1"/>
  <c r="U7607" i="1" s="1"/>
  <c r="W7607" i="1" s="1"/>
  <c r="C7606" i="1"/>
  <c r="U7606" i="1" s="1"/>
  <c r="U7605" i="1"/>
  <c r="C7605" i="1"/>
  <c r="C7604" i="1"/>
  <c r="U7604" i="1" s="1"/>
  <c r="C7603" i="1"/>
  <c r="U7603" i="1" s="1"/>
  <c r="C7602" i="1"/>
  <c r="U7602" i="1" s="1"/>
  <c r="C7601" i="1"/>
  <c r="U7601" i="1" s="1"/>
  <c r="C7600" i="1"/>
  <c r="U7600" i="1" s="1"/>
  <c r="C7599" i="1"/>
  <c r="U7599" i="1" s="1"/>
  <c r="W7599" i="1" s="1"/>
  <c r="C7598" i="1"/>
  <c r="U7598" i="1" s="1"/>
  <c r="C7597" i="1"/>
  <c r="U7597" i="1" s="1"/>
  <c r="C7596" i="1"/>
  <c r="U7596" i="1" s="1"/>
  <c r="C7595" i="1"/>
  <c r="U7595" i="1" s="1"/>
  <c r="C7594" i="1"/>
  <c r="U7594" i="1" s="1"/>
  <c r="C7593" i="1"/>
  <c r="U7593" i="1" s="1"/>
  <c r="C7592" i="1"/>
  <c r="U7592" i="1" s="1"/>
  <c r="C7591" i="1"/>
  <c r="U7591" i="1" s="1"/>
  <c r="W7591" i="1" s="1"/>
  <c r="C7590" i="1"/>
  <c r="U7590" i="1" s="1"/>
  <c r="U7589" i="1"/>
  <c r="C7589" i="1"/>
  <c r="C7588" i="1"/>
  <c r="U7588" i="1" s="1"/>
  <c r="C7587" i="1"/>
  <c r="U7587" i="1" s="1"/>
  <c r="C7586" i="1"/>
  <c r="U7586" i="1" s="1"/>
  <c r="C7585" i="1"/>
  <c r="U7585" i="1" s="1"/>
  <c r="C7584" i="1"/>
  <c r="U7584" i="1" s="1"/>
  <c r="C7583" i="1"/>
  <c r="U7583" i="1" s="1"/>
  <c r="W7583" i="1" s="1"/>
  <c r="C7582" i="1"/>
  <c r="U7582" i="1" s="1"/>
  <c r="C7581" i="1"/>
  <c r="U7581" i="1" s="1"/>
  <c r="C7580" i="1"/>
  <c r="U7580" i="1" s="1"/>
  <c r="C7579" i="1"/>
  <c r="U7579" i="1" s="1"/>
  <c r="C7578" i="1"/>
  <c r="U7578" i="1" s="1"/>
  <c r="C7577" i="1"/>
  <c r="U7577" i="1" s="1"/>
  <c r="C7576" i="1"/>
  <c r="U7576" i="1" s="1"/>
  <c r="C7575" i="1"/>
  <c r="U7575" i="1" s="1"/>
  <c r="W7575" i="1" s="1"/>
  <c r="C7574" i="1"/>
  <c r="U7574" i="1" s="1"/>
  <c r="U7573" i="1"/>
  <c r="C7573" i="1"/>
  <c r="C7572" i="1"/>
  <c r="U7572" i="1" s="1"/>
  <c r="C7571" i="1"/>
  <c r="U7571" i="1" s="1"/>
  <c r="C7570" i="1"/>
  <c r="U7570" i="1" s="1"/>
  <c r="C7569" i="1"/>
  <c r="U7569" i="1" s="1"/>
  <c r="C7568" i="1"/>
  <c r="U7568" i="1" s="1"/>
  <c r="C7567" i="1"/>
  <c r="U7567" i="1" s="1"/>
  <c r="W7567" i="1" s="1"/>
  <c r="C7566" i="1"/>
  <c r="U7566" i="1" s="1"/>
  <c r="C7565" i="1"/>
  <c r="U7565" i="1" s="1"/>
  <c r="C7564" i="1"/>
  <c r="U7564" i="1" s="1"/>
  <c r="C7563" i="1"/>
  <c r="U7563" i="1" s="1"/>
  <c r="C7562" i="1"/>
  <c r="U7562" i="1" s="1"/>
  <c r="C7561" i="1"/>
  <c r="U7561" i="1" s="1"/>
  <c r="C7560" i="1"/>
  <c r="U7560" i="1" s="1"/>
  <c r="C7559" i="1"/>
  <c r="U7559" i="1" s="1"/>
  <c r="W7559" i="1" s="1"/>
  <c r="C7558" i="1"/>
  <c r="U7558" i="1" s="1"/>
  <c r="U7557" i="1"/>
  <c r="C7557" i="1"/>
  <c r="C7556" i="1"/>
  <c r="U7556" i="1" s="1"/>
  <c r="C7555" i="1"/>
  <c r="U7555" i="1" s="1"/>
  <c r="C7554" i="1"/>
  <c r="U7554" i="1" s="1"/>
  <c r="C7553" i="1"/>
  <c r="U7553" i="1" s="1"/>
  <c r="C7552" i="1"/>
  <c r="U7552" i="1" s="1"/>
  <c r="C7551" i="1"/>
  <c r="U7551" i="1" s="1"/>
  <c r="W7551" i="1" s="1"/>
  <c r="C7550" i="1"/>
  <c r="U7550" i="1" s="1"/>
  <c r="C7549" i="1"/>
  <c r="U7549" i="1" s="1"/>
  <c r="C7548" i="1"/>
  <c r="U7548" i="1" s="1"/>
  <c r="C7547" i="1"/>
  <c r="U7547" i="1" s="1"/>
  <c r="C7546" i="1"/>
  <c r="U7546" i="1" s="1"/>
  <c r="C7545" i="1"/>
  <c r="U7545" i="1" s="1"/>
  <c r="C7544" i="1"/>
  <c r="U7544" i="1" s="1"/>
  <c r="C7543" i="1"/>
  <c r="U7543" i="1" s="1"/>
  <c r="W7543" i="1" s="1"/>
  <c r="C7542" i="1"/>
  <c r="U7542" i="1" s="1"/>
  <c r="U7541" i="1"/>
  <c r="C7541" i="1"/>
  <c r="C7540" i="1"/>
  <c r="U7540" i="1" s="1"/>
  <c r="C7539" i="1"/>
  <c r="U7539" i="1" s="1"/>
  <c r="C7538" i="1"/>
  <c r="U7538" i="1" s="1"/>
  <c r="C7537" i="1"/>
  <c r="U7537" i="1" s="1"/>
  <c r="C7536" i="1"/>
  <c r="U7536" i="1" s="1"/>
  <c r="C7535" i="1"/>
  <c r="U7535" i="1" s="1"/>
  <c r="W7535" i="1" s="1"/>
  <c r="C7534" i="1"/>
  <c r="U7534" i="1" s="1"/>
  <c r="C7533" i="1"/>
  <c r="U7533" i="1" s="1"/>
  <c r="C7532" i="1"/>
  <c r="U7532" i="1" s="1"/>
  <c r="C7531" i="1"/>
  <c r="U7531" i="1" s="1"/>
  <c r="C7530" i="1"/>
  <c r="U7530" i="1" s="1"/>
  <c r="C7529" i="1"/>
  <c r="U7529" i="1" s="1"/>
  <c r="C7528" i="1"/>
  <c r="U7528" i="1" s="1"/>
  <c r="C7527" i="1"/>
  <c r="U7527" i="1" s="1"/>
  <c r="W7527" i="1" s="1"/>
  <c r="C7526" i="1"/>
  <c r="U7526" i="1" s="1"/>
  <c r="U7525" i="1"/>
  <c r="C7525" i="1"/>
  <c r="C7524" i="1"/>
  <c r="U7524" i="1" s="1"/>
  <c r="C7523" i="1"/>
  <c r="U7523" i="1" s="1"/>
  <c r="C7522" i="1"/>
  <c r="U7522" i="1" s="1"/>
  <c r="C7521" i="1"/>
  <c r="U7521" i="1" s="1"/>
  <c r="C7520" i="1"/>
  <c r="U7520" i="1" s="1"/>
  <c r="C7519" i="1"/>
  <c r="U7519" i="1" s="1"/>
  <c r="W7519" i="1" s="1"/>
  <c r="C7518" i="1"/>
  <c r="U7518" i="1" s="1"/>
  <c r="C7517" i="1"/>
  <c r="U7517" i="1" s="1"/>
  <c r="C7516" i="1"/>
  <c r="U7516" i="1" s="1"/>
  <c r="C7515" i="1"/>
  <c r="U7515" i="1" s="1"/>
  <c r="C7514" i="1"/>
  <c r="U7514" i="1" s="1"/>
  <c r="C7513" i="1"/>
  <c r="U7513" i="1" s="1"/>
  <c r="C7512" i="1"/>
  <c r="U7512" i="1" s="1"/>
  <c r="C7511" i="1"/>
  <c r="U7511" i="1" s="1"/>
  <c r="W7511" i="1" s="1"/>
  <c r="C7510" i="1"/>
  <c r="U7510" i="1" s="1"/>
  <c r="U7509" i="1"/>
  <c r="C7509" i="1"/>
  <c r="C7508" i="1"/>
  <c r="U7508" i="1" s="1"/>
  <c r="C7507" i="1"/>
  <c r="U7507" i="1" s="1"/>
  <c r="C7506" i="1"/>
  <c r="U7506" i="1" s="1"/>
  <c r="C7505" i="1"/>
  <c r="U7505" i="1" s="1"/>
  <c r="C7504" i="1"/>
  <c r="U7504" i="1" s="1"/>
  <c r="C7503" i="1"/>
  <c r="U7503" i="1" s="1"/>
  <c r="W7503" i="1" s="1"/>
  <c r="C7502" i="1"/>
  <c r="U7502" i="1" s="1"/>
  <c r="C7501" i="1"/>
  <c r="U7501" i="1" s="1"/>
  <c r="C7500" i="1"/>
  <c r="U7500" i="1" s="1"/>
  <c r="C7499" i="1"/>
  <c r="U7499" i="1" s="1"/>
  <c r="C7498" i="1"/>
  <c r="U7498" i="1" s="1"/>
  <c r="C7497" i="1"/>
  <c r="U7497" i="1" s="1"/>
  <c r="C7496" i="1"/>
  <c r="U7496" i="1" s="1"/>
  <c r="C7495" i="1"/>
  <c r="U7495" i="1" s="1"/>
  <c r="W7495" i="1" s="1"/>
  <c r="C7494" i="1"/>
  <c r="U7494" i="1" s="1"/>
  <c r="U7493" i="1"/>
  <c r="C7493" i="1"/>
  <c r="C7492" i="1"/>
  <c r="U7492" i="1" s="1"/>
  <c r="C7491" i="1"/>
  <c r="U7491" i="1" s="1"/>
  <c r="C7490" i="1"/>
  <c r="U7490" i="1" s="1"/>
  <c r="C7489" i="1"/>
  <c r="U7489" i="1" s="1"/>
  <c r="C7488" i="1"/>
  <c r="U7488" i="1" s="1"/>
  <c r="C7487" i="1"/>
  <c r="U7487" i="1" s="1"/>
  <c r="W7487" i="1" s="1"/>
  <c r="C7486" i="1"/>
  <c r="U7486" i="1" s="1"/>
  <c r="C7485" i="1"/>
  <c r="U7485" i="1" s="1"/>
  <c r="C7484" i="1"/>
  <c r="U7484" i="1" s="1"/>
  <c r="C7483" i="1"/>
  <c r="U7483" i="1" s="1"/>
  <c r="C7482" i="1"/>
  <c r="U7482" i="1" s="1"/>
  <c r="C7481" i="1"/>
  <c r="U7481" i="1" s="1"/>
  <c r="C7480" i="1"/>
  <c r="U7480" i="1" s="1"/>
  <c r="C7479" i="1"/>
  <c r="U7479" i="1" s="1"/>
  <c r="W7479" i="1" s="1"/>
  <c r="C7478" i="1"/>
  <c r="U7478" i="1" s="1"/>
  <c r="U7477" i="1"/>
  <c r="C7477" i="1"/>
  <c r="C7476" i="1"/>
  <c r="U7476" i="1" s="1"/>
  <c r="C7475" i="1"/>
  <c r="U7475" i="1" s="1"/>
  <c r="C7474" i="1"/>
  <c r="U7474" i="1" s="1"/>
  <c r="C7473" i="1"/>
  <c r="U7473" i="1" s="1"/>
  <c r="C7472" i="1"/>
  <c r="U7472" i="1" s="1"/>
  <c r="C7471" i="1"/>
  <c r="U7471" i="1" s="1"/>
  <c r="W7471" i="1" s="1"/>
  <c r="C7470" i="1"/>
  <c r="U7470" i="1" s="1"/>
  <c r="C7469" i="1"/>
  <c r="U7469" i="1" s="1"/>
  <c r="C7468" i="1"/>
  <c r="U7468" i="1" s="1"/>
  <c r="C7467" i="1"/>
  <c r="U7467" i="1" s="1"/>
  <c r="C7466" i="1"/>
  <c r="U7466" i="1" s="1"/>
  <c r="C7465" i="1"/>
  <c r="U7465" i="1" s="1"/>
  <c r="C7464" i="1"/>
  <c r="U7464" i="1" s="1"/>
  <c r="C7463" i="1"/>
  <c r="U7463" i="1" s="1"/>
  <c r="W7463" i="1" s="1"/>
  <c r="C7462" i="1"/>
  <c r="U7462" i="1" s="1"/>
  <c r="U7461" i="1"/>
  <c r="C7461" i="1"/>
  <c r="C7460" i="1"/>
  <c r="U7460" i="1" s="1"/>
  <c r="C7459" i="1"/>
  <c r="U7459" i="1" s="1"/>
  <c r="C7458" i="1"/>
  <c r="U7458" i="1" s="1"/>
  <c r="C7457" i="1"/>
  <c r="U7457" i="1" s="1"/>
  <c r="C7456" i="1"/>
  <c r="U7456" i="1" s="1"/>
  <c r="C7455" i="1"/>
  <c r="U7455" i="1" s="1"/>
  <c r="W7455" i="1" s="1"/>
  <c r="C7454" i="1"/>
  <c r="U7454" i="1" s="1"/>
  <c r="C7453" i="1"/>
  <c r="U7453" i="1" s="1"/>
  <c r="C7452" i="1"/>
  <c r="U7452" i="1" s="1"/>
  <c r="C7451" i="1"/>
  <c r="U7451" i="1" s="1"/>
  <c r="C7450" i="1"/>
  <c r="U7450" i="1" s="1"/>
  <c r="C7449" i="1"/>
  <c r="U7449" i="1" s="1"/>
  <c r="C7448" i="1"/>
  <c r="U7448" i="1" s="1"/>
  <c r="C7447" i="1"/>
  <c r="U7447" i="1" s="1"/>
  <c r="W7447" i="1" s="1"/>
  <c r="C7446" i="1"/>
  <c r="U7446" i="1" s="1"/>
  <c r="U7445" i="1"/>
  <c r="C7445" i="1"/>
  <c r="C7444" i="1"/>
  <c r="U7444" i="1" s="1"/>
  <c r="C7443" i="1"/>
  <c r="U7443" i="1" s="1"/>
  <c r="C7442" i="1"/>
  <c r="U7442" i="1" s="1"/>
  <c r="C7441" i="1"/>
  <c r="U7441" i="1" s="1"/>
  <c r="C7440" i="1"/>
  <c r="U7440" i="1" s="1"/>
  <c r="C7439" i="1"/>
  <c r="U7439" i="1" s="1"/>
  <c r="W7439" i="1" s="1"/>
  <c r="C7438" i="1"/>
  <c r="U7438" i="1" s="1"/>
  <c r="C7437" i="1"/>
  <c r="U7437" i="1" s="1"/>
  <c r="C7436" i="1"/>
  <c r="U7436" i="1" s="1"/>
  <c r="C7435" i="1"/>
  <c r="U7435" i="1" s="1"/>
  <c r="C7434" i="1"/>
  <c r="U7434" i="1" s="1"/>
  <c r="C7433" i="1"/>
  <c r="U7433" i="1" s="1"/>
  <c r="C7432" i="1"/>
  <c r="U7432" i="1" s="1"/>
  <c r="C7431" i="1"/>
  <c r="U7431" i="1" s="1"/>
  <c r="W7431" i="1" s="1"/>
  <c r="C7430" i="1"/>
  <c r="U7430" i="1" s="1"/>
  <c r="U7429" i="1"/>
  <c r="C7429" i="1"/>
  <c r="C7428" i="1"/>
  <c r="U7428" i="1" s="1"/>
  <c r="C7427" i="1"/>
  <c r="U7427" i="1" s="1"/>
  <c r="C7426" i="1"/>
  <c r="U7426" i="1" s="1"/>
  <c r="C7425" i="1"/>
  <c r="U7425" i="1" s="1"/>
  <c r="C7424" i="1"/>
  <c r="U7424" i="1" s="1"/>
  <c r="C7423" i="1"/>
  <c r="U7423" i="1" s="1"/>
  <c r="W7423" i="1" s="1"/>
  <c r="C7422" i="1"/>
  <c r="U7422" i="1" s="1"/>
  <c r="C7421" i="1"/>
  <c r="U7421" i="1" s="1"/>
  <c r="C7420" i="1"/>
  <c r="U7420" i="1" s="1"/>
  <c r="C7419" i="1"/>
  <c r="U7419" i="1" s="1"/>
  <c r="C7418" i="1"/>
  <c r="U7418" i="1" s="1"/>
  <c r="C7417" i="1"/>
  <c r="U7417" i="1" s="1"/>
  <c r="C7416" i="1"/>
  <c r="U7416" i="1" s="1"/>
  <c r="C7415" i="1"/>
  <c r="U7415" i="1" s="1"/>
  <c r="W7415" i="1" s="1"/>
  <c r="C7414" i="1"/>
  <c r="U7414" i="1" s="1"/>
  <c r="U7413" i="1"/>
  <c r="C7413" i="1"/>
  <c r="C7412" i="1"/>
  <c r="U7412" i="1" s="1"/>
  <c r="C7411" i="1"/>
  <c r="U7411" i="1" s="1"/>
  <c r="C7410" i="1"/>
  <c r="U7410" i="1" s="1"/>
  <c r="C7409" i="1"/>
  <c r="U7409" i="1" s="1"/>
  <c r="C7408" i="1"/>
  <c r="U7408" i="1" s="1"/>
  <c r="C7407" i="1"/>
  <c r="U7407" i="1" s="1"/>
  <c r="W7407" i="1" s="1"/>
  <c r="C7406" i="1"/>
  <c r="U7406" i="1" s="1"/>
  <c r="C7405" i="1"/>
  <c r="U7405" i="1" s="1"/>
  <c r="C7404" i="1"/>
  <c r="U7404" i="1" s="1"/>
  <c r="C7403" i="1"/>
  <c r="U7403" i="1" s="1"/>
  <c r="C7402" i="1"/>
  <c r="U7402" i="1" s="1"/>
  <c r="C7401" i="1"/>
  <c r="U7401" i="1" s="1"/>
  <c r="C7400" i="1"/>
  <c r="U7400" i="1" s="1"/>
  <c r="C7399" i="1"/>
  <c r="U7399" i="1" s="1"/>
  <c r="W7399" i="1" s="1"/>
  <c r="C7398" i="1"/>
  <c r="U7398" i="1" s="1"/>
  <c r="U7397" i="1"/>
  <c r="C7397" i="1"/>
  <c r="C7396" i="1"/>
  <c r="U7396" i="1" s="1"/>
  <c r="C7395" i="1"/>
  <c r="U7395" i="1" s="1"/>
  <c r="C7394" i="1"/>
  <c r="U7394" i="1" s="1"/>
  <c r="C7393" i="1"/>
  <c r="U7393" i="1" s="1"/>
  <c r="C7392" i="1"/>
  <c r="U7392" i="1" s="1"/>
  <c r="C7391" i="1"/>
  <c r="U7391" i="1" s="1"/>
  <c r="W7391" i="1" s="1"/>
  <c r="C7390" i="1"/>
  <c r="U7390" i="1" s="1"/>
  <c r="C7389" i="1"/>
  <c r="U7389" i="1" s="1"/>
  <c r="C7388" i="1"/>
  <c r="U7388" i="1" s="1"/>
  <c r="C7387" i="1"/>
  <c r="U7387" i="1" s="1"/>
  <c r="C7386" i="1"/>
  <c r="U7386" i="1" s="1"/>
  <c r="C7385" i="1"/>
  <c r="U7385" i="1" s="1"/>
  <c r="C7384" i="1"/>
  <c r="U7384" i="1" s="1"/>
  <c r="C7383" i="1"/>
  <c r="U7383" i="1" s="1"/>
  <c r="W7383" i="1" s="1"/>
  <c r="C7382" i="1"/>
  <c r="U7382" i="1" s="1"/>
  <c r="U7381" i="1"/>
  <c r="C7381" i="1"/>
  <c r="C7380" i="1"/>
  <c r="U7380" i="1" s="1"/>
  <c r="C7379" i="1"/>
  <c r="U7379" i="1" s="1"/>
  <c r="C7378" i="1"/>
  <c r="U7378" i="1" s="1"/>
  <c r="C7377" i="1"/>
  <c r="U7377" i="1" s="1"/>
  <c r="C7376" i="1"/>
  <c r="U7376" i="1" s="1"/>
  <c r="C7375" i="1"/>
  <c r="U7375" i="1" s="1"/>
  <c r="W7375" i="1" s="1"/>
  <c r="C7374" i="1"/>
  <c r="U7374" i="1" s="1"/>
  <c r="C7373" i="1"/>
  <c r="U7373" i="1" s="1"/>
  <c r="C7372" i="1"/>
  <c r="U7372" i="1" s="1"/>
  <c r="C7371" i="1"/>
  <c r="U7371" i="1" s="1"/>
  <c r="C7370" i="1"/>
  <c r="U7370" i="1" s="1"/>
  <c r="C7369" i="1"/>
  <c r="U7369" i="1" s="1"/>
  <c r="C7368" i="1"/>
  <c r="U7368" i="1" s="1"/>
  <c r="C7367" i="1"/>
  <c r="U7367" i="1" s="1"/>
  <c r="W7367" i="1" s="1"/>
  <c r="C7366" i="1"/>
  <c r="U7366" i="1" s="1"/>
  <c r="U7365" i="1"/>
  <c r="C7365" i="1"/>
  <c r="C7364" i="1"/>
  <c r="U7364" i="1" s="1"/>
  <c r="C7363" i="1"/>
  <c r="U7363" i="1" s="1"/>
  <c r="C7362" i="1"/>
  <c r="U7362" i="1" s="1"/>
  <c r="C7361" i="1"/>
  <c r="U7361" i="1" s="1"/>
  <c r="C7360" i="1"/>
  <c r="U7360" i="1" s="1"/>
  <c r="C7359" i="1"/>
  <c r="U7359" i="1" s="1"/>
  <c r="W7359" i="1" s="1"/>
  <c r="C7358" i="1"/>
  <c r="U7358" i="1" s="1"/>
  <c r="C7357" i="1"/>
  <c r="U7357" i="1" s="1"/>
  <c r="C7356" i="1"/>
  <c r="U7356" i="1" s="1"/>
  <c r="C7355" i="1"/>
  <c r="U7355" i="1" s="1"/>
  <c r="C7354" i="1"/>
  <c r="U7354" i="1" s="1"/>
  <c r="C7353" i="1"/>
  <c r="U7353" i="1" s="1"/>
  <c r="C7352" i="1"/>
  <c r="U7352" i="1" s="1"/>
  <c r="C7351" i="1"/>
  <c r="U7351" i="1" s="1"/>
  <c r="W7351" i="1" s="1"/>
  <c r="C7350" i="1"/>
  <c r="U7350" i="1" s="1"/>
  <c r="U7349" i="1"/>
  <c r="C7349" i="1"/>
  <c r="C7348" i="1"/>
  <c r="U7348" i="1" s="1"/>
  <c r="C7347" i="1"/>
  <c r="U7347" i="1" s="1"/>
  <c r="C7346" i="1"/>
  <c r="U7346" i="1" s="1"/>
  <c r="C7345" i="1"/>
  <c r="U7345" i="1" s="1"/>
  <c r="C7344" i="1"/>
  <c r="U7344" i="1" s="1"/>
  <c r="C7343" i="1"/>
  <c r="U7343" i="1" s="1"/>
  <c r="W7343" i="1" s="1"/>
  <c r="C7342" i="1"/>
  <c r="U7342" i="1" s="1"/>
  <c r="C7341" i="1"/>
  <c r="U7341" i="1" s="1"/>
  <c r="C7340" i="1"/>
  <c r="U7340" i="1" s="1"/>
  <c r="C7339" i="1"/>
  <c r="U7339" i="1" s="1"/>
  <c r="C7338" i="1"/>
  <c r="U7338" i="1" s="1"/>
  <c r="C7337" i="1"/>
  <c r="U7337" i="1" s="1"/>
  <c r="C7336" i="1"/>
  <c r="U7336" i="1" s="1"/>
  <c r="C7335" i="1"/>
  <c r="U7335" i="1" s="1"/>
  <c r="W7335" i="1" s="1"/>
  <c r="C7334" i="1"/>
  <c r="U7334" i="1" s="1"/>
  <c r="U7333" i="1"/>
  <c r="C7333" i="1"/>
  <c r="C7332" i="1"/>
  <c r="U7332" i="1" s="1"/>
  <c r="C7331" i="1"/>
  <c r="U7331" i="1" s="1"/>
  <c r="C7330" i="1"/>
  <c r="U7330" i="1" s="1"/>
  <c r="C7329" i="1"/>
  <c r="U7329" i="1" s="1"/>
  <c r="C7328" i="1"/>
  <c r="U7328" i="1" s="1"/>
  <c r="C7327" i="1"/>
  <c r="U7327" i="1" s="1"/>
  <c r="W7327" i="1" s="1"/>
  <c r="C7326" i="1"/>
  <c r="U7326" i="1" s="1"/>
  <c r="C7325" i="1"/>
  <c r="U7325" i="1" s="1"/>
  <c r="C7324" i="1"/>
  <c r="U7324" i="1" s="1"/>
  <c r="C7323" i="1"/>
  <c r="U7323" i="1" s="1"/>
  <c r="C7322" i="1"/>
  <c r="U7322" i="1" s="1"/>
  <c r="C7321" i="1"/>
  <c r="U7321" i="1" s="1"/>
  <c r="C7320" i="1"/>
  <c r="U7320" i="1" s="1"/>
  <c r="C7319" i="1"/>
  <c r="U7319" i="1" s="1"/>
  <c r="W7319" i="1" s="1"/>
  <c r="C7318" i="1"/>
  <c r="U7318" i="1" s="1"/>
  <c r="U7317" i="1"/>
  <c r="C7317" i="1"/>
  <c r="C7316" i="1"/>
  <c r="U7316" i="1" s="1"/>
  <c r="C7315" i="1"/>
  <c r="U7315" i="1" s="1"/>
  <c r="C7314" i="1"/>
  <c r="U7314" i="1" s="1"/>
  <c r="C7313" i="1"/>
  <c r="U7313" i="1" s="1"/>
  <c r="C7312" i="1"/>
  <c r="U7312" i="1" s="1"/>
  <c r="C7311" i="1"/>
  <c r="U7311" i="1" s="1"/>
  <c r="W7311" i="1" s="1"/>
  <c r="C7310" i="1"/>
  <c r="U7310" i="1" s="1"/>
  <c r="C7309" i="1"/>
  <c r="U7309" i="1" s="1"/>
  <c r="C7308" i="1"/>
  <c r="U7308" i="1" s="1"/>
  <c r="C7307" i="1"/>
  <c r="U7307" i="1" s="1"/>
  <c r="C7306" i="1"/>
  <c r="U7306" i="1" s="1"/>
  <c r="C7305" i="1"/>
  <c r="U7305" i="1" s="1"/>
  <c r="C7304" i="1"/>
  <c r="U7304" i="1" s="1"/>
  <c r="C7303" i="1"/>
  <c r="U7303" i="1" s="1"/>
  <c r="W7303" i="1" s="1"/>
  <c r="C7302" i="1"/>
  <c r="U7302" i="1" s="1"/>
  <c r="U7301" i="1"/>
  <c r="C7301" i="1"/>
  <c r="C7300" i="1"/>
  <c r="U7300" i="1" s="1"/>
  <c r="C7299" i="1"/>
  <c r="U7299" i="1" s="1"/>
  <c r="C7298" i="1"/>
  <c r="U7298" i="1" s="1"/>
  <c r="C7297" i="1"/>
  <c r="U7297" i="1" s="1"/>
  <c r="C7296" i="1"/>
  <c r="U7296" i="1" s="1"/>
  <c r="C7295" i="1"/>
  <c r="U7295" i="1" s="1"/>
  <c r="W7295" i="1" s="1"/>
  <c r="C7294" i="1"/>
  <c r="U7294" i="1" s="1"/>
  <c r="C7293" i="1"/>
  <c r="U7293" i="1" s="1"/>
  <c r="C7292" i="1"/>
  <c r="U7292" i="1" s="1"/>
  <c r="C7291" i="1"/>
  <c r="U7291" i="1" s="1"/>
  <c r="C7290" i="1"/>
  <c r="U7290" i="1" s="1"/>
  <c r="C7289" i="1"/>
  <c r="U7289" i="1" s="1"/>
  <c r="C7288" i="1"/>
  <c r="U7288" i="1" s="1"/>
  <c r="C7287" i="1"/>
  <c r="U7287" i="1" s="1"/>
  <c r="W7287" i="1" s="1"/>
  <c r="C7286" i="1"/>
  <c r="U7286" i="1" s="1"/>
  <c r="U7285" i="1"/>
  <c r="C7285" i="1"/>
  <c r="C7284" i="1"/>
  <c r="U7284" i="1" s="1"/>
  <c r="C7283" i="1"/>
  <c r="U7283" i="1" s="1"/>
  <c r="C7282" i="1"/>
  <c r="U7282" i="1" s="1"/>
  <c r="C7281" i="1"/>
  <c r="U7281" i="1" s="1"/>
  <c r="C7280" i="1"/>
  <c r="U7280" i="1" s="1"/>
  <c r="C7279" i="1"/>
  <c r="U7279" i="1" s="1"/>
  <c r="W7279" i="1" s="1"/>
  <c r="C7278" i="1"/>
  <c r="U7278" i="1" s="1"/>
  <c r="C7277" i="1"/>
  <c r="U7277" i="1" s="1"/>
  <c r="C7276" i="1"/>
  <c r="U7276" i="1" s="1"/>
  <c r="C7275" i="1"/>
  <c r="U7275" i="1" s="1"/>
  <c r="C7274" i="1"/>
  <c r="U7274" i="1" s="1"/>
  <c r="C7273" i="1"/>
  <c r="U7273" i="1" s="1"/>
  <c r="C7272" i="1"/>
  <c r="U7272" i="1" s="1"/>
  <c r="C7271" i="1"/>
  <c r="U7271" i="1" s="1"/>
  <c r="W7271" i="1" s="1"/>
  <c r="C7270" i="1"/>
  <c r="U7270" i="1" s="1"/>
  <c r="U7269" i="1"/>
  <c r="C7269" i="1"/>
  <c r="C7268" i="1"/>
  <c r="U7268" i="1" s="1"/>
  <c r="C7267" i="1"/>
  <c r="U7267" i="1" s="1"/>
  <c r="C7266" i="1"/>
  <c r="U7266" i="1" s="1"/>
  <c r="C7265" i="1"/>
  <c r="U7265" i="1" s="1"/>
  <c r="C7264" i="1"/>
  <c r="U7264" i="1" s="1"/>
  <c r="C7263" i="1"/>
  <c r="U7263" i="1" s="1"/>
  <c r="W7263" i="1" s="1"/>
  <c r="C7262" i="1"/>
  <c r="U7262" i="1" s="1"/>
  <c r="C7261" i="1"/>
  <c r="U7261" i="1" s="1"/>
  <c r="C7260" i="1"/>
  <c r="U7260" i="1" s="1"/>
  <c r="C7259" i="1"/>
  <c r="U7259" i="1" s="1"/>
  <c r="C7258" i="1"/>
  <c r="U7258" i="1" s="1"/>
  <c r="C7257" i="1"/>
  <c r="U7257" i="1" s="1"/>
  <c r="C7256" i="1"/>
  <c r="U7256" i="1" s="1"/>
  <c r="C7255" i="1"/>
  <c r="U7255" i="1" s="1"/>
  <c r="W7255" i="1" s="1"/>
  <c r="C7254" i="1"/>
  <c r="U7254" i="1" s="1"/>
  <c r="U7253" i="1"/>
  <c r="C7253" i="1"/>
  <c r="C7252" i="1"/>
  <c r="U7252" i="1" s="1"/>
  <c r="C7251" i="1"/>
  <c r="U7251" i="1" s="1"/>
  <c r="C7250" i="1"/>
  <c r="U7250" i="1" s="1"/>
  <c r="C7249" i="1"/>
  <c r="U7249" i="1" s="1"/>
  <c r="C7248" i="1"/>
  <c r="U7248" i="1" s="1"/>
  <c r="C7247" i="1"/>
  <c r="U7247" i="1" s="1"/>
  <c r="W7247" i="1" s="1"/>
  <c r="C7246" i="1"/>
  <c r="U7246" i="1" s="1"/>
  <c r="C7245" i="1"/>
  <c r="U7245" i="1" s="1"/>
  <c r="C7244" i="1"/>
  <c r="U7244" i="1" s="1"/>
  <c r="U7243" i="1"/>
  <c r="C7243" i="1"/>
  <c r="C7242" i="1"/>
  <c r="U7242" i="1" s="1"/>
  <c r="C7241" i="1"/>
  <c r="U7241" i="1" s="1"/>
  <c r="C7240" i="1"/>
  <c r="U7240" i="1" s="1"/>
  <c r="C7239" i="1"/>
  <c r="U7239" i="1" s="1"/>
  <c r="W7239" i="1" s="1"/>
  <c r="C7238" i="1"/>
  <c r="U7238" i="1" s="1"/>
  <c r="U7237" i="1"/>
  <c r="C7237" i="1"/>
  <c r="C7236" i="1"/>
  <c r="U7236" i="1" s="1"/>
  <c r="C7235" i="1"/>
  <c r="U7235" i="1" s="1"/>
  <c r="C7234" i="1"/>
  <c r="U7234" i="1" s="1"/>
  <c r="C7233" i="1"/>
  <c r="U7233" i="1" s="1"/>
  <c r="C7232" i="1"/>
  <c r="U7232" i="1" s="1"/>
  <c r="C7231" i="1"/>
  <c r="U7231" i="1" s="1"/>
  <c r="W7231" i="1" s="1"/>
  <c r="C7230" i="1"/>
  <c r="U7230" i="1" s="1"/>
  <c r="C7229" i="1"/>
  <c r="U7229" i="1" s="1"/>
  <c r="C7228" i="1"/>
  <c r="U7228" i="1" s="1"/>
  <c r="U7227" i="1"/>
  <c r="C7227" i="1"/>
  <c r="C7226" i="1"/>
  <c r="U7226" i="1" s="1"/>
  <c r="C7225" i="1"/>
  <c r="U7225" i="1" s="1"/>
  <c r="C7224" i="1"/>
  <c r="U7224" i="1" s="1"/>
  <c r="C7223" i="1"/>
  <c r="U7223" i="1" s="1"/>
  <c r="W7223" i="1" s="1"/>
  <c r="C7222" i="1"/>
  <c r="U7222" i="1" s="1"/>
  <c r="U7221" i="1"/>
  <c r="C7221" i="1"/>
  <c r="C7220" i="1"/>
  <c r="U7220" i="1" s="1"/>
  <c r="U7219" i="1"/>
  <c r="C7219" i="1"/>
  <c r="C7218" i="1"/>
  <c r="U7218" i="1" s="1"/>
  <c r="C7217" i="1"/>
  <c r="U7217" i="1" s="1"/>
  <c r="C7216" i="1"/>
  <c r="U7216" i="1" s="1"/>
  <c r="C7215" i="1"/>
  <c r="U7215" i="1" s="1"/>
  <c r="W7215" i="1" s="1"/>
  <c r="C7214" i="1"/>
  <c r="U7214" i="1" s="1"/>
  <c r="C7213" i="1"/>
  <c r="U7213" i="1" s="1"/>
  <c r="C7212" i="1"/>
  <c r="U7212" i="1" s="1"/>
  <c r="U7211" i="1"/>
  <c r="C7211" i="1"/>
  <c r="C7210" i="1"/>
  <c r="U7210" i="1" s="1"/>
  <c r="C7209" i="1"/>
  <c r="U7209" i="1" s="1"/>
  <c r="C7208" i="1"/>
  <c r="U7208" i="1" s="1"/>
  <c r="C7207" i="1"/>
  <c r="U7207" i="1" s="1"/>
  <c r="W7207" i="1" s="1"/>
  <c r="C7206" i="1"/>
  <c r="U7206" i="1" s="1"/>
  <c r="U7205" i="1"/>
  <c r="C7205" i="1"/>
  <c r="C7204" i="1"/>
  <c r="U7204" i="1" s="1"/>
  <c r="C7203" i="1"/>
  <c r="U7203" i="1" s="1"/>
  <c r="C7202" i="1"/>
  <c r="U7202" i="1" s="1"/>
  <c r="C7201" i="1"/>
  <c r="U7201" i="1" s="1"/>
  <c r="C7200" i="1"/>
  <c r="U7200" i="1" s="1"/>
  <c r="C7199" i="1"/>
  <c r="U7199" i="1" s="1"/>
  <c r="W7199" i="1" s="1"/>
  <c r="C7198" i="1"/>
  <c r="U7198" i="1" s="1"/>
  <c r="C7197" i="1"/>
  <c r="U7197" i="1" s="1"/>
  <c r="C7196" i="1"/>
  <c r="U7196" i="1" s="1"/>
  <c r="U7195" i="1"/>
  <c r="C7195" i="1"/>
  <c r="C7194" i="1"/>
  <c r="U7194" i="1" s="1"/>
  <c r="C7193" i="1"/>
  <c r="U7193" i="1" s="1"/>
  <c r="C7192" i="1"/>
  <c r="U7192" i="1" s="1"/>
  <c r="C7191" i="1"/>
  <c r="U7191" i="1" s="1"/>
  <c r="W7191" i="1" s="1"/>
  <c r="C7190" i="1"/>
  <c r="U7190" i="1" s="1"/>
  <c r="U7189" i="1"/>
  <c r="C7189" i="1"/>
  <c r="C7188" i="1"/>
  <c r="U7188" i="1" s="1"/>
  <c r="C7187" i="1"/>
  <c r="U7187" i="1" s="1"/>
  <c r="C7186" i="1"/>
  <c r="U7186" i="1" s="1"/>
  <c r="C7185" i="1"/>
  <c r="U7185" i="1" s="1"/>
  <c r="C7184" i="1"/>
  <c r="U7184" i="1" s="1"/>
  <c r="C7183" i="1"/>
  <c r="U7183" i="1" s="1"/>
  <c r="W7183" i="1" s="1"/>
  <c r="C7182" i="1"/>
  <c r="U7182" i="1" s="1"/>
  <c r="C7181" i="1"/>
  <c r="U7181" i="1" s="1"/>
  <c r="C7180" i="1"/>
  <c r="U7180" i="1" s="1"/>
  <c r="U7179" i="1"/>
  <c r="C7179" i="1"/>
  <c r="C7178" i="1"/>
  <c r="U7178" i="1" s="1"/>
  <c r="C7177" i="1"/>
  <c r="U7177" i="1" s="1"/>
  <c r="C7176" i="1"/>
  <c r="U7176" i="1" s="1"/>
  <c r="C7175" i="1"/>
  <c r="U7175" i="1" s="1"/>
  <c r="W7175" i="1" s="1"/>
  <c r="C7174" i="1"/>
  <c r="U7174" i="1" s="1"/>
  <c r="U7173" i="1"/>
  <c r="C7173" i="1"/>
  <c r="C7172" i="1"/>
  <c r="U7172" i="1" s="1"/>
  <c r="C7171" i="1"/>
  <c r="U7171" i="1" s="1"/>
  <c r="C7170" i="1"/>
  <c r="U7170" i="1" s="1"/>
  <c r="C7169" i="1"/>
  <c r="U7169" i="1" s="1"/>
  <c r="C7168" i="1"/>
  <c r="U7168" i="1" s="1"/>
  <c r="C7167" i="1"/>
  <c r="U7167" i="1" s="1"/>
  <c r="W7167" i="1" s="1"/>
  <c r="C7166" i="1"/>
  <c r="U7166" i="1" s="1"/>
  <c r="C7165" i="1"/>
  <c r="U7165" i="1" s="1"/>
  <c r="C7164" i="1"/>
  <c r="U7164" i="1" s="1"/>
  <c r="U7163" i="1"/>
  <c r="C7163" i="1"/>
  <c r="C7162" i="1"/>
  <c r="U7162" i="1" s="1"/>
  <c r="C7161" i="1"/>
  <c r="U7161" i="1" s="1"/>
  <c r="C7160" i="1"/>
  <c r="U7160" i="1" s="1"/>
  <c r="C7159" i="1"/>
  <c r="U7159" i="1" s="1"/>
  <c r="W7159" i="1" s="1"/>
  <c r="C7158" i="1"/>
  <c r="U7158" i="1" s="1"/>
  <c r="U7157" i="1"/>
  <c r="C7157" i="1"/>
  <c r="C7156" i="1"/>
  <c r="U7156" i="1" s="1"/>
  <c r="U7155" i="1"/>
  <c r="C7155" i="1"/>
  <c r="C7154" i="1"/>
  <c r="U7154" i="1" s="1"/>
  <c r="C7153" i="1"/>
  <c r="U7153" i="1" s="1"/>
  <c r="C7152" i="1"/>
  <c r="U7152" i="1" s="1"/>
  <c r="C7151" i="1"/>
  <c r="U7151" i="1" s="1"/>
  <c r="W7151" i="1" s="1"/>
  <c r="C7150" i="1"/>
  <c r="U7150" i="1" s="1"/>
  <c r="C7149" i="1"/>
  <c r="U7149" i="1" s="1"/>
  <c r="C7148" i="1"/>
  <c r="U7148" i="1" s="1"/>
  <c r="U7147" i="1"/>
  <c r="C7147" i="1"/>
  <c r="C7146" i="1"/>
  <c r="U7146" i="1" s="1"/>
  <c r="C7145" i="1"/>
  <c r="U7145" i="1" s="1"/>
  <c r="C7144" i="1"/>
  <c r="U7144" i="1" s="1"/>
  <c r="C7143" i="1"/>
  <c r="U7143" i="1" s="1"/>
  <c r="W7143" i="1" s="1"/>
  <c r="C7142" i="1"/>
  <c r="U7142" i="1" s="1"/>
  <c r="U7141" i="1"/>
  <c r="C7141" i="1"/>
  <c r="C7140" i="1"/>
  <c r="U7140" i="1" s="1"/>
  <c r="C7139" i="1"/>
  <c r="U7139" i="1" s="1"/>
  <c r="C7138" i="1"/>
  <c r="U7138" i="1" s="1"/>
  <c r="C7137" i="1"/>
  <c r="U7137" i="1" s="1"/>
  <c r="C7136" i="1"/>
  <c r="U7136" i="1" s="1"/>
  <c r="C7135" i="1"/>
  <c r="U7135" i="1" s="1"/>
  <c r="W7135" i="1" s="1"/>
  <c r="C7134" i="1"/>
  <c r="U7134" i="1" s="1"/>
  <c r="C7133" i="1"/>
  <c r="U7133" i="1" s="1"/>
  <c r="C7132" i="1"/>
  <c r="U7132" i="1" s="1"/>
  <c r="U7131" i="1"/>
  <c r="C7131" i="1"/>
  <c r="C7130" i="1"/>
  <c r="U7130" i="1" s="1"/>
  <c r="C7129" i="1"/>
  <c r="U7129" i="1" s="1"/>
  <c r="C7128" i="1"/>
  <c r="U7128" i="1" s="1"/>
  <c r="C7127" i="1"/>
  <c r="U7127" i="1" s="1"/>
  <c r="W7127" i="1" s="1"/>
  <c r="C7126" i="1"/>
  <c r="U7126" i="1" s="1"/>
  <c r="U7125" i="1"/>
  <c r="C7125" i="1"/>
  <c r="C7124" i="1"/>
  <c r="U7124" i="1" s="1"/>
  <c r="C7123" i="1"/>
  <c r="U7123" i="1" s="1"/>
  <c r="C7122" i="1"/>
  <c r="U7122" i="1" s="1"/>
  <c r="C7121" i="1"/>
  <c r="U7121" i="1" s="1"/>
  <c r="C7120" i="1"/>
  <c r="U7120" i="1" s="1"/>
  <c r="C7119" i="1"/>
  <c r="U7119" i="1" s="1"/>
  <c r="W7119" i="1" s="1"/>
  <c r="C7118" i="1"/>
  <c r="U7118" i="1" s="1"/>
  <c r="C7117" i="1"/>
  <c r="U7117" i="1" s="1"/>
  <c r="C7116" i="1"/>
  <c r="U7116" i="1" s="1"/>
  <c r="U7115" i="1"/>
  <c r="C7115" i="1"/>
  <c r="C7114" i="1"/>
  <c r="U7114" i="1" s="1"/>
  <c r="C7113" i="1"/>
  <c r="U7113" i="1" s="1"/>
  <c r="C7112" i="1"/>
  <c r="U7112" i="1" s="1"/>
  <c r="C7111" i="1"/>
  <c r="U7111" i="1" s="1"/>
  <c r="W7111" i="1" s="1"/>
  <c r="C7110" i="1"/>
  <c r="U7110" i="1" s="1"/>
  <c r="U7109" i="1"/>
  <c r="C7109" i="1"/>
  <c r="C7108" i="1"/>
  <c r="U7108" i="1" s="1"/>
  <c r="C7107" i="1"/>
  <c r="U7107" i="1" s="1"/>
  <c r="C7106" i="1"/>
  <c r="U7106" i="1" s="1"/>
  <c r="C7105" i="1"/>
  <c r="U7105" i="1" s="1"/>
  <c r="C7104" i="1"/>
  <c r="U7104" i="1" s="1"/>
  <c r="C7103" i="1"/>
  <c r="U7103" i="1" s="1"/>
  <c r="W7103" i="1" s="1"/>
  <c r="C7102" i="1"/>
  <c r="U7102" i="1" s="1"/>
  <c r="C7101" i="1"/>
  <c r="U7101" i="1" s="1"/>
  <c r="C7100" i="1"/>
  <c r="U7100" i="1" s="1"/>
  <c r="U7099" i="1"/>
  <c r="C7099" i="1"/>
  <c r="C7098" i="1"/>
  <c r="U7098" i="1" s="1"/>
  <c r="C7097" i="1"/>
  <c r="U7097" i="1" s="1"/>
  <c r="C7096" i="1"/>
  <c r="U7096" i="1" s="1"/>
  <c r="C7095" i="1"/>
  <c r="U7095" i="1" s="1"/>
  <c r="W7095" i="1" s="1"/>
  <c r="U7094" i="1"/>
  <c r="C7094" i="1"/>
  <c r="C7093" i="1"/>
  <c r="U7093" i="1" s="1"/>
  <c r="C7092" i="1"/>
  <c r="U7092" i="1" s="1"/>
  <c r="C7091" i="1"/>
  <c r="U7091" i="1" s="1"/>
  <c r="U7090" i="1"/>
  <c r="C7090" i="1"/>
  <c r="C7089" i="1"/>
  <c r="U7089" i="1" s="1"/>
  <c r="U7088" i="1"/>
  <c r="C7088" i="1"/>
  <c r="C7087" i="1"/>
  <c r="U7087" i="1" s="1"/>
  <c r="W7087" i="1" s="1"/>
  <c r="C7086" i="1"/>
  <c r="U7086" i="1" s="1"/>
  <c r="C7085" i="1"/>
  <c r="U7085" i="1" s="1"/>
  <c r="C7084" i="1"/>
  <c r="U7084" i="1" s="1"/>
  <c r="C7083" i="1"/>
  <c r="U7083" i="1" s="1"/>
  <c r="U7082" i="1"/>
  <c r="C7082" i="1"/>
  <c r="C7081" i="1"/>
  <c r="U7081" i="1" s="1"/>
  <c r="U7080" i="1"/>
  <c r="C7080" i="1"/>
  <c r="C7079" i="1"/>
  <c r="U7079" i="1" s="1"/>
  <c r="W7079" i="1" s="1"/>
  <c r="C7078" i="1"/>
  <c r="U7078" i="1" s="1"/>
  <c r="C7077" i="1"/>
  <c r="U7077" i="1" s="1"/>
  <c r="C7076" i="1"/>
  <c r="U7076" i="1" s="1"/>
  <c r="C7075" i="1"/>
  <c r="U7075" i="1" s="1"/>
  <c r="U7074" i="1"/>
  <c r="C7074" i="1"/>
  <c r="C7073" i="1"/>
  <c r="U7073" i="1" s="1"/>
  <c r="U7072" i="1"/>
  <c r="C7072" i="1"/>
  <c r="C7071" i="1"/>
  <c r="U7071" i="1" s="1"/>
  <c r="W7071" i="1" s="1"/>
  <c r="C7070" i="1"/>
  <c r="U7070" i="1" s="1"/>
  <c r="C7069" i="1"/>
  <c r="U7069" i="1" s="1"/>
  <c r="C7068" i="1"/>
  <c r="U7068" i="1" s="1"/>
  <c r="C7067" i="1"/>
  <c r="U7067" i="1" s="1"/>
  <c r="C7066" i="1"/>
  <c r="U7066" i="1" s="1"/>
  <c r="C7065" i="1"/>
  <c r="U7065" i="1" s="1"/>
  <c r="U7064" i="1"/>
  <c r="C7064" i="1"/>
  <c r="C7063" i="1"/>
  <c r="U7063" i="1" s="1"/>
  <c r="W7063" i="1" s="1"/>
  <c r="C7062" i="1"/>
  <c r="U7062" i="1" s="1"/>
  <c r="C7061" i="1"/>
  <c r="U7061" i="1" s="1"/>
  <c r="C7060" i="1"/>
  <c r="U7060" i="1" s="1"/>
  <c r="C7059" i="1"/>
  <c r="U7059" i="1" s="1"/>
  <c r="U7058" i="1"/>
  <c r="C7058" i="1"/>
  <c r="C7057" i="1"/>
  <c r="U7057" i="1" s="1"/>
  <c r="C7056" i="1"/>
  <c r="U7056" i="1" s="1"/>
  <c r="C7055" i="1"/>
  <c r="U7055" i="1" s="1"/>
  <c r="W7055" i="1" s="1"/>
  <c r="C7054" i="1"/>
  <c r="U7054" i="1" s="1"/>
  <c r="C7053" i="1"/>
  <c r="U7053" i="1" s="1"/>
  <c r="C7052" i="1"/>
  <c r="U7052" i="1" s="1"/>
  <c r="C7051" i="1"/>
  <c r="U7051" i="1" s="1"/>
  <c r="U7050" i="1"/>
  <c r="C7050" i="1"/>
  <c r="C7049" i="1"/>
  <c r="U7049" i="1" s="1"/>
  <c r="C7048" i="1"/>
  <c r="U7048" i="1" s="1"/>
  <c r="C7047" i="1"/>
  <c r="U7047" i="1" s="1"/>
  <c r="W7047" i="1" s="1"/>
  <c r="C7046" i="1"/>
  <c r="U7046" i="1" s="1"/>
  <c r="C7045" i="1"/>
  <c r="U7045" i="1" s="1"/>
  <c r="U7044" i="1"/>
  <c r="C7044" i="1"/>
  <c r="C7043" i="1"/>
  <c r="U7043" i="1" s="1"/>
  <c r="U7042" i="1"/>
  <c r="C7042" i="1"/>
  <c r="C7041" i="1"/>
  <c r="U7041" i="1" s="1"/>
  <c r="C7040" i="1"/>
  <c r="U7040" i="1" s="1"/>
  <c r="C7039" i="1"/>
  <c r="U7039" i="1" s="1"/>
  <c r="W7039" i="1" s="1"/>
  <c r="C7038" i="1"/>
  <c r="U7038" i="1" s="1"/>
  <c r="C7037" i="1"/>
  <c r="U7037" i="1" s="1"/>
  <c r="C7036" i="1"/>
  <c r="U7036" i="1" s="1"/>
  <c r="C7035" i="1"/>
  <c r="U7035" i="1" s="1"/>
  <c r="U7034" i="1"/>
  <c r="C7034" i="1"/>
  <c r="C7033" i="1"/>
  <c r="U7033" i="1" s="1"/>
  <c r="C7032" i="1"/>
  <c r="U7032" i="1" s="1"/>
  <c r="C7031" i="1"/>
  <c r="U7031" i="1" s="1"/>
  <c r="W7031" i="1" s="1"/>
  <c r="C7030" i="1"/>
  <c r="U7030" i="1" s="1"/>
  <c r="C7029" i="1"/>
  <c r="U7029" i="1" s="1"/>
  <c r="C7028" i="1"/>
  <c r="U7028" i="1" s="1"/>
  <c r="C7027" i="1"/>
  <c r="U7027" i="1" s="1"/>
  <c r="U7026" i="1"/>
  <c r="C7026" i="1"/>
  <c r="C7025" i="1"/>
  <c r="U7025" i="1" s="1"/>
  <c r="C7024" i="1"/>
  <c r="U7024" i="1" s="1"/>
  <c r="C7023" i="1"/>
  <c r="U7023" i="1" s="1"/>
  <c r="W7023" i="1" s="1"/>
  <c r="C7022" i="1"/>
  <c r="U7022" i="1" s="1"/>
  <c r="C7021" i="1"/>
  <c r="U7021" i="1" s="1"/>
  <c r="C7020" i="1"/>
  <c r="U7020" i="1" s="1"/>
  <c r="C7019" i="1"/>
  <c r="U7019" i="1" s="1"/>
  <c r="U7018" i="1"/>
  <c r="C7018" i="1"/>
  <c r="C7017" i="1"/>
  <c r="U7017" i="1" s="1"/>
  <c r="C7016" i="1"/>
  <c r="U7016" i="1" s="1"/>
  <c r="C7015" i="1"/>
  <c r="U7015" i="1" s="1"/>
  <c r="W7015" i="1" s="1"/>
  <c r="C7014" i="1"/>
  <c r="U7014" i="1" s="1"/>
  <c r="C7013" i="1"/>
  <c r="U7013" i="1" s="1"/>
  <c r="U7012" i="1"/>
  <c r="C7012" i="1"/>
  <c r="C7011" i="1"/>
  <c r="U7011" i="1" s="1"/>
  <c r="U7010" i="1"/>
  <c r="C7010" i="1"/>
  <c r="C7009" i="1"/>
  <c r="U7009" i="1" s="1"/>
  <c r="C7008" i="1"/>
  <c r="U7008" i="1" s="1"/>
  <c r="C7007" i="1"/>
  <c r="U7007" i="1" s="1"/>
  <c r="W7007" i="1" s="1"/>
  <c r="C7006" i="1"/>
  <c r="U7006" i="1" s="1"/>
  <c r="C7005" i="1"/>
  <c r="U7005" i="1" s="1"/>
  <c r="U7004" i="1"/>
  <c r="C7004" i="1"/>
  <c r="C7003" i="1"/>
  <c r="U7003" i="1" s="1"/>
  <c r="U7002" i="1"/>
  <c r="C7002" i="1"/>
  <c r="C7001" i="1"/>
  <c r="U7001" i="1" s="1"/>
  <c r="C7000" i="1"/>
  <c r="U7000" i="1" s="1"/>
  <c r="C6999" i="1"/>
  <c r="U6999" i="1" s="1"/>
  <c r="W6999" i="1" s="1"/>
  <c r="C6998" i="1"/>
  <c r="U6998" i="1" s="1"/>
  <c r="C6997" i="1"/>
  <c r="U6997" i="1" s="1"/>
  <c r="C6996" i="1"/>
  <c r="U6996" i="1" s="1"/>
  <c r="C6995" i="1"/>
  <c r="U6995" i="1" s="1"/>
  <c r="U6994" i="1"/>
  <c r="C6994" i="1"/>
  <c r="C6993" i="1"/>
  <c r="U6993" i="1" s="1"/>
  <c r="C6992" i="1"/>
  <c r="U6992" i="1" s="1"/>
  <c r="C6991" i="1"/>
  <c r="U6991" i="1" s="1"/>
  <c r="W6991" i="1" s="1"/>
  <c r="C6990" i="1"/>
  <c r="U6990" i="1" s="1"/>
  <c r="C6989" i="1"/>
  <c r="U6989" i="1" s="1"/>
  <c r="C6988" i="1"/>
  <c r="U6988" i="1" s="1"/>
  <c r="C6987" i="1"/>
  <c r="U6987" i="1" s="1"/>
  <c r="U6986" i="1"/>
  <c r="C6986" i="1"/>
  <c r="C6985" i="1"/>
  <c r="U6985" i="1" s="1"/>
  <c r="C6984" i="1"/>
  <c r="U6984" i="1" s="1"/>
  <c r="C6983" i="1"/>
  <c r="U6983" i="1" s="1"/>
  <c r="W6983" i="1" s="1"/>
  <c r="C6982" i="1"/>
  <c r="U6982" i="1" s="1"/>
  <c r="C6981" i="1"/>
  <c r="U6981" i="1" s="1"/>
  <c r="C6980" i="1"/>
  <c r="U6980" i="1" s="1"/>
  <c r="C6979" i="1"/>
  <c r="U6979" i="1" s="1"/>
  <c r="U6978" i="1"/>
  <c r="C6978" i="1"/>
  <c r="C6977" i="1"/>
  <c r="U6977" i="1" s="1"/>
  <c r="C6976" i="1"/>
  <c r="U6976" i="1" s="1"/>
  <c r="C6975" i="1"/>
  <c r="U6975" i="1" s="1"/>
  <c r="W6975" i="1" s="1"/>
  <c r="C6974" i="1"/>
  <c r="U6974" i="1" s="1"/>
  <c r="C6973" i="1"/>
  <c r="U6973" i="1" s="1"/>
  <c r="C6972" i="1"/>
  <c r="U6972" i="1" s="1"/>
  <c r="C6971" i="1"/>
  <c r="U6971" i="1" s="1"/>
  <c r="U6970" i="1"/>
  <c r="C6970" i="1"/>
  <c r="C6969" i="1"/>
  <c r="U6969" i="1" s="1"/>
  <c r="C6968" i="1"/>
  <c r="U6968" i="1" s="1"/>
  <c r="C6967" i="1"/>
  <c r="U6967" i="1" s="1"/>
  <c r="W6967" i="1" s="1"/>
  <c r="C6966" i="1"/>
  <c r="U6966" i="1" s="1"/>
  <c r="C6965" i="1"/>
  <c r="U6965" i="1" s="1"/>
  <c r="C6964" i="1"/>
  <c r="U6964" i="1" s="1"/>
  <c r="C6963" i="1"/>
  <c r="U6963" i="1" s="1"/>
  <c r="U6962" i="1"/>
  <c r="C6962" i="1"/>
  <c r="C6961" i="1"/>
  <c r="U6961" i="1" s="1"/>
  <c r="C6960" i="1"/>
  <c r="U6960" i="1" s="1"/>
  <c r="C6959" i="1"/>
  <c r="U6959" i="1" s="1"/>
  <c r="W6959" i="1" s="1"/>
  <c r="C6958" i="1"/>
  <c r="U6958" i="1" s="1"/>
  <c r="C6957" i="1"/>
  <c r="U6957" i="1" s="1"/>
  <c r="C6956" i="1"/>
  <c r="U6956" i="1" s="1"/>
  <c r="C6955" i="1"/>
  <c r="U6955" i="1" s="1"/>
  <c r="U6954" i="1"/>
  <c r="C6954" i="1"/>
  <c r="C6953" i="1"/>
  <c r="U6953" i="1" s="1"/>
  <c r="C6952" i="1"/>
  <c r="U6952" i="1" s="1"/>
  <c r="C6951" i="1"/>
  <c r="U6951" i="1" s="1"/>
  <c r="W6951" i="1" s="1"/>
  <c r="C6950" i="1"/>
  <c r="U6950" i="1" s="1"/>
  <c r="C6949" i="1"/>
  <c r="U6949" i="1" s="1"/>
  <c r="C6948" i="1"/>
  <c r="U6948" i="1" s="1"/>
  <c r="C6947" i="1"/>
  <c r="U6947" i="1" s="1"/>
  <c r="U6946" i="1"/>
  <c r="C6946" i="1"/>
  <c r="C6945" i="1"/>
  <c r="U6945" i="1" s="1"/>
  <c r="C6944" i="1"/>
  <c r="U6944" i="1" s="1"/>
  <c r="C6943" i="1"/>
  <c r="U6943" i="1" s="1"/>
  <c r="W6943" i="1" s="1"/>
  <c r="C6942" i="1"/>
  <c r="U6942" i="1" s="1"/>
  <c r="C6941" i="1"/>
  <c r="U6941" i="1" s="1"/>
  <c r="C6940" i="1"/>
  <c r="U6940" i="1" s="1"/>
  <c r="C6939" i="1"/>
  <c r="U6939" i="1" s="1"/>
  <c r="U6938" i="1"/>
  <c r="C6938" i="1"/>
  <c r="C6937" i="1"/>
  <c r="U6937" i="1" s="1"/>
  <c r="C6936" i="1"/>
  <c r="U6936" i="1" s="1"/>
  <c r="C6935" i="1"/>
  <c r="U6935" i="1" s="1"/>
  <c r="W6935" i="1" s="1"/>
  <c r="C6934" i="1"/>
  <c r="U6934" i="1" s="1"/>
  <c r="C6933" i="1"/>
  <c r="U6933" i="1" s="1"/>
  <c r="C6932" i="1"/>
  <c r="U6932" i="1" s="1"/>
  <c r="C6931" i="1"/>
  <c r="U6931" i="1" s="1"/>
  <c r="U6930" i="1"/>
  <c r="C6930" i="1"/>
  <c r="C6929" i="1"/>
  <c r="U6929" i="1" s="1"/>
  <c r="C6928" i="1"/>
  <c r="U6928" i="1" s="1"/>
  <c r="C6927" i="1"/>
  <c r="U6927" i="1" s="1"/>
  <c r="W6927" i="1" s="1"/>
  <c r="C6926" i="1"/>
  <c r="U6926" i="1" s="1"/>
  <c r="C6925" i="1"/>
  <c r="U6925" i="1" s="1"/>
  <c r="C6924" i="1"/>
  <c r="U6924" i="1" s="1"/>
  <c r="C6923" i="1"/>
  <c r="U6923" i="1" s="1"/>
  <c r="U6922" i="1"/>
  <c r="C6922" i="1"/>
  <c r="C6921" i="1"/>
  <c r="U6921" i="1" s="1"/>
  <c r="C6920" i="1"/>
  <c r="U6920" i="1" s="1"/>
  <c r="C6919" i="1"/>
  <c r="U6919" i="1" s="1"/>
  <c r="W6919" i="1" s="1"/>
  <c r="C6918" i="1"/>
  <c r="U6918" i="1" s="1"/>
  <c r="C6917" i="1"/>
  <c r="U6917" i="1" s="1"/>
  <c r="U6916" i="1"/>
  <c r="C6916" i="1"/>
  <c r="C6915" i="1"/>
  <c r="U6915" i="1" s="1"/>
  <c r="U6914" i="1"/>
  <c r="C6914" i="1"/>
  <c r="C6913" i="1"/>
  <c r="U6913" i="1" s="1"/>
  <c r="C6912" i="1"/>
  <c r="U6912" i="1" s="1"/>
  <c r="C6911" i="1"/>
  <c r="U6911" i="1" s="1"/>
  <c r="W6911" i="1" s="1"/>
  <c r="C6910" i="1"/>
  <c r="U6910" i="1" s="1"/>
  <c r="C6909" i="1"/>
  <c r="U6909" i="1" s="1"/>
  <c r="U6908" i="1"/>
  <c r="C6908" i="1"/>
  <c r="C6907" i="1"/>
  <c r="U6907" i="1" s="1"/>
  <c r="U6906" i="1"/>
  <c r="C6906" i="1"/>
  <c r="C6905" i="1"/>
  <c r="U6905" i="1" s="1"/>
  <c r="C6904" i="1"/>
  <c r="U6904" i="1" s="1"/>
  <c r="C6903" i="1"/>
  <c r="U6903" i="1" s="1"/>
  <c r="W6903" i="1" s="1"/>
  <c r="C6902" i="1"/>
  <c r="U6902" i="1" s="1"/>
  <c r="C6901" i="1"/>
  <c r="U6901" i="1" s="1"/>
  <c r="U6900" i="1"/>
  <c r="C6900" i="1"/>
  <c r="C6899" i="1"/>
  <c r="U6899" i="1" s="1"/>
  <c r="U6898" i="1"/>
  <c r="C6898" i="1"/>
  <c r="C6897" i="1"/>
  <c r="U6897" i="1" s="1"/>
  <c r="C6896" i="1"/>
  <c r="U6896" i="1" s="1"/>
  <c r="C6895" i="1"/>
  <c r="U6895" i="1" s="1"/>
  <c r="W6895" i="1" s="1"/>
  <c r="C6894" i="1"/>
  <c r="U6894" i="1" s="1"/>
  <c r="C6893" i="1"/>
  <c r="U6893" i="1" s="1"/>
  <c r="C6892" i="1"/>
  <c r="U6892" i="1" s="1"/>
  <c r="C6891" i="1"/>
  <c r="U6891" i="1" s="1"/>
  <c r="U6890" i="1"/>
  <c r="C6890" i="1"/>
  <c r="C6889" i="1"/>
  <c r="U6889" i="1" s="1"/>
  <c r="C6888" i="1"/>
  <c r="U6888" i="1" s="1"/>
  <c r="C6887" i="1"/>
  <c r="U6887" i="1" s="1"/>
  <c r="W6887" i="1" s="1"/>
  <c r="C6886" i="1"/>
  <c r="U6886" i="1" s="1"/>
  <c r="C6885" i="1"/>
  <c r="U6885" i="1" s="1"/>
  <c r="C6884" i="1"/>
  <c r="U6884" i="1" s="1"/>
  <c r="C6883" i="1"/>
  <c r="U6883" i="1" s="1"/>
  <c r="U6882" i="1"/>
  <c r="C6882" i="1"/>
  <c r="C6881" i="1"/>
  <c r="U6881" i="1" s="1"/>
  <c r="C6880" i="1"/>
  <c r="U6880" i="1" s="1"/>
  <c r="C6879" i="1"/>
  <c r="U6879" i="1" s="1"/>
  <c r="W6879" i="1" s="1"/>
  <c r="C6878" i="1"/>
  <c r="U6878" i="1" s="1"/>
  <c r="C6877" i="1"/>
  <c r="U6877" i="1" s="1"/>
  <c r="C6876" i="1"/>
  <c r="U6876" i="1" s="1"/>
  <c r="C6875" i="1"/>
  <c r="U6875" i="1" s="1"/>
  <c r="U6874" i="1"/>
  <c r="C6874" i="1"/>
  <c r="C6873" i="1"/>
  <c r="U6873" i="1" s="1"/>
  <c r="C6872" i="1"/>
  <c r="U6872" i="1" s="1"/>
  <c r="C6871" i="1"/>
  <c r="U6871" i="1" s="1"/>
  <c r="W6871" i="1" s="1"/>
  <c r="C6870" i="1"/>
  <c r="U6870" i="1" s="1"/>
  <c r="C6869" i="1"/>
  <c r="U6869" i="1" s="1"/>
  <c r="C6868" i="1"/>
  <c r="U6868" i="1" s="1"/>
  <c r="C6867" i="1"/>
  <c r="U6867" i="1" s="1"/>
  <c r="U6866" i="1"/>
  <c r="C6866" i="1"/>
  <c r="C6865" i="1"/>
  <c r="U6865" i="1" s="1"/>
  <c r="C6864" i="1"/>
  <c r="U6864" i="1" s="1"/>
  <c r="C6863" i="1"/>
  <c r="U6863" i="1" s="1"/>
  <c r="W6863" i="1" s="1"/>
  <c r="C6862" i="1"/>
  <c r="U6862" i="1" s="1"/>
  <c r="C6861" i="1"/>
  <c r="U6861" i="1" s="1"/>
  <c r="C6860" i="1"/>
  <c r="U6860" i="1" s="1"/>
  <c r="C6859" i="1"/>
  <c r="U6859" i="1" s="1"/>
  <c r="U6858" i="1"/>
  <c r="C6858" i="1"/>
  <c r="C6857" i="1"/>
  <c r="U6857" i="1" s="1"/>
  <c r="C6856" i="1"/>
  <c r="U6856" i="1" s="1"/>
  <c r="C6855" i="1"/>
  <c r="U6855" i="1" s="1"/>
  <c r="W6855" i="1" s="1"/>
  <c r="C6854" i="1"/>
  <c r="U6854" i="1" s="1"/>
  <c r="C6853" i="1"/>
  <c r="U6853" i="1" s="1"/>
  <c r="C6852" i="1"/>
  <c r="U6852" i="1" s="1"/>
  <c r="C6851" i="1"/>
  <c r="U6851" i="1" s="1"/>
  <c r="U6850" i="1"/>
  <c r="C6850" i="1"/>
  <c r="C6849" i="1"/>
  <c r="U6849" i="1" s="1"/>
  <c r="C6848" i="1"/>
  <c r="U6848" i="1" s="1"/>
  <c r="C6847" i="1"/>
  <c r="U6847" i="1" s="1"/>
  <c r="W6847" i="1" s="1"/>
  <c r="C6846" i="1"/>
  <c r="U6846" i="1" s="1"/>
  <c r="C6845" i="1"/>
  <c r="U6845" i="1" s="1"/>
  <c r="C6844" i="1"/>
  <c r="U6844" i="1" s="1"/>
  <c r="C6843" i="1"/>
  <c r="U6843" i="1" s="1"/>
  <c r="U6842" i="1"/>
  <c r="C6842" i="1"/>
  <c r="C6841" i="1"/>
  <c r="U6841" i="1" s="1"/>
  <c r="C6840" i="1"/>
  <c r="U6840" i="1" s="1"/>
  <c r="C6839" i="1"/>
  <c r="U6839" i="1" s="1"/>
  <c r="W6839" i="1" s="1"/>
  <c r="C6838" i="1"/>
  <c r="U6838" i="1" s="1"/>
  <c r="C6837" i="1"/>
  <c r="U6837" i="1" s="1"/>
  <c r="C6836" i="1"/>
  <c r="U6836" i="1" s="1"/>
  <c r="C6835" i="1"/>
  <c r="U6835" i="1" s="1"/>
  <c r="U6834" i="1"/>
  <c r="C6834" i="1"/>
  <c r="C6833" i="1"/>
  <c r="U6833" i="1" s="1"/>
  <c r="C6832" i="1"/>
  <c r="U6832" i="1" s="1"/>
  <c r="C6831" i="1"/>
  <c r="U6831" i="1" s="1"/>
  <c r="W6831" i="1" s="1"/>
  <c r="C6830" i="1"/>
  <c r="U6830" i="1" s="1"/>
  <c r="C6829" i="1"/>
  <c r="U6829" i="1" s="1"/>
  <c r="C6828" i="1"/>
  <c r="U6828" i="1" s="1"/>
  <c r="C6827" i="1"/>
  <c r="U6827" i="1" s="1"/>
  <c r="U6826" i="1"/>
  <c r="C6826" i="1"/>
  <c r="C6825" i="1"/>
  <c r="U6825" i="1" s="1"/>
  <c r="C6824" i="1"/>
  <c r="U6824" i="1" s="1"/>
  <c r="C6823" i="1"/>
  <c r="U6823" i="1" s="1"/>
  <c r="W6823" i="1" s="1"/>
  <c r="C6822" i="1"/>
  <c r="U6822" i="1" s="1"/>
  <c r="C6821" i="1"/>
  <c r="U6821" i="1" s="1"/>
  <c r="C6820" i="1"/>
  <c r="U6820" i="1" s="1"/>
  <c r="C6819" i="1"/>
  <c r="U6819" i="1" s="1"/>
  <c r="U6818" i="1"/>
  <c r="C6818" i="1"/>
  <c r="C6817" i="1"/>
  <c r="U6817" i="1" s="1"/>
  <c r="C6816" i="1"/>
  <c r="U6816" i="1" s="1"/>
  <c r="C6815" i="1"/>
  <c r="U6815" i="1" s="1"/>
  <c r="W6815" i="1" s="1"/>
  <c r="C6814" i="1"/>
  <c r="U6814" i="1" s="1"/>
  <c r="C6813" i="1"/>
  <c r="U6813" i="1" s="1"/>
  <c r="C6812" i="1"/>
  <c r="U6812" i="1" s="1"/>
  <c r="C6811" i="1"/>
  <c r="U6811" i="1" s="1"/>
  <c r="U6810" i="1"/>
  <c r="C6810" i="1"/>
  <c r="C6809" i="1"/>
  <c r="U6809" i="1" s="1"/>
  <c r="C6808" i="1"/>
  <c r="U6808" i="1" s="1"/>
  <c r="C6807" i="1"/>
  <c r="U6807" i="1" s="1"/>
  <c r="W6807" i="1" s="1"/>
  <c r="C6806" i="1"/>
  <c r="U6806" i="1" s="1"/>
  <c r="C6805" i="1"/>
  <c r="U6805" i="1" s="1"/>
  <c r="C6804" i="1"/>
  <c r="U6804" i="1" s="1"/>
  <c r="C6803" i="1"/>
  <c r="U6803" i="1" s="1"/>
  <c r="U6802" i="1"/>
  <c r="C6802" i="1"/>
  <c r="C6801" i="1"/>
  <c r="U6801" i="1" s="1"/>
  <c r="C6800" i="1"/>
  <c r="U6800" i="1" s="1"/>
  <c r="C6799" i="1"/>
  <c r="U6799" i="1" s="1"/>
  <c r="W6799" i="1" s="1"/>
  <c r="C6798" i="1"/>
  <c r="U6798" i="1" s="1"/>
  <c r="C6797" i="1"/>
  <c r="U6797" i="1" s="1"/>
  <c r="C6796" i="1"/>
  <c r="U6796" i="1" s="1"/>
  <c r="C6795" i="1"/>
  <c r="U6795" i="1" s="1"/>
  <c r="U6794" i="1"/>
  <c r="C6794" i="1"/>
  <c r="C6793" i="1"/>
  <c r="U6793" i="1" s="1"/>
  <c r="C6792" i="1"/>
  <c r="U6792" i="1" s="1"/>
  <c r="C6791" i="1"/>
  <c r="U6791" i="1" s="1"/>
  <c r="W6791" i="1" s="1"/>
  <c r="C6790" i="1"/>
  <c r="U6790" i="1" s="1"/>
  <c r="C6789" i="1"/>
  <c r="U6789" i="1" s="1"/>
  <c r="C6788" i="1"/>
  <c r="U6788" i="1" s="1"/>
  <c r="C6787" i="1"/>
  <c r="U6787" i="1" s="1"/>
  <c r="U6786" i="1"/>
  <c r="C6786" i="1"/>
  <c r="C6785" i="1"/>
  <c r="U6785" i="1" s="1"/>
  <c r="C6784" i="1"/>
  <c r="U6784" i="1" s="1"/>
  <c r="C6783" i="1"/>
  <c r="U6783" i="1" s="1"/>
  <c r="W6783" i="1" s="1"/>
  <c r="C6782" i="1"/>
  <c r="U6782" i="1" s="1"/>
  <c r="C6781" i="1"/>
  <c r="U6781" i="1" s="1"/>
  <c r="U6780" i="1"/>
  <c r="C6780" i="1"/>
  <c r="C6779" i="1"/>
  <c r="U6779" i="1" s="1"/>
  <c r="U6778" i="1"/>
  <c r="C6778" i="1"/>
  <c r="C6777" i="1"/>
  <c r="U6777" i="1" s="1"/>
  <c r="C6776" i="1"/>
  <c r="U6776" i="1" s="1"/>
  <c r="C6775" i="1"/>
  <c r="U6775" i="1" s="1"/>
  <c r="W6775" i="1" s="1"/>
  <c r="C6774" i="1"/>
  <c r="U6774" i="1" s="1"/>
  <c r="C6773" i="1"/>
  <c r="U6773" i="1" s="1"/>
  <c r="U6772" i="1"/>
  <c r="C6772" i="1"/>
  <c r="C6771" i="1"/>
  <c r="U6771" i="1" s="1"/>
  <c r="U6770" i="1"/>
  <c r="C6770" i="1"/>
  <c r="C6769" i="1"/>
  <c r="U6769" i="1" s="1"/>
  <c r="C6768" i="1"/>
  <c r="U6768" i="1" s="1"/>
  <c r="C6767" i="1"/>
  <c r="U6767" i="1" s="1"/>
  <c r="W6767" i="1" s="1"/>
  <c r="C6766" i="1"/>
  <c r="U6766" i="1" s="1"/>
  <c r="C6765" i="1"/>
  <c r="U6765" i="1" s="1"/>
  <c r="C6764" i="1"/>
  <c r="U6764" i="1" s="1"/>
  <c r="C6763" i="1"/>
  <c r="U6763" i="1" s="1"/>
  <c r="U6762" i="1"/>
  <c r="C6762" i="1"/>
  <c r="C6761" i="1"/>
  <c r="U6761" i="1" s="1"/>
  <c r="C6760" i="1"/>
  <c r="U6760" i="1" s="1"/>
  <c r="C6759" i="1"/>
  <c r="U6759" i="1" s="1"/>
  <c r="W6759" i="1" s="1"/>
  <c r="C6758" i="1"/>
  <c r="U6758" i="1" s="1"/>
  <c r="C6757" i="1"/>
  <c r="U6757" i="1" s="1"/>
  <c r="U6756" i="1"/>
  <c r="C6756" i="1"/>
  <c r="C6755" i="1"/>
  <c r="U6755" i="1" s="1"/>
  <c r="U6754" i="1"/>
  <c r="C6754" i="1"/>
  <c r="C6753" i="1"/>
  <c r="U6753" i="1" s="1"/>
  <c r="C6752" i="1"/>
  <c r="U6752" i="1" s="1"/>
  <c r="C6751" i="1"/>
  <c r="U6751" i="1" s="1"/>
  <c r="W6751" i="1" s="1"/>
  <c r="C6750" i="1"/>
  <c r="U6750" i="1" s="1"/>
  <c r="C6749" i="1"/>
  <c r="U6749" i="1" s="1"/>
  <c r="U6748" i="1"/>
  <c r="C6748" i="1"/>
  <c r="C6747" i="1"/>
  <c r="U6747" i="1" s="1"/>
  <c r="U6746" i="1"/>
  <c r="C6746" i="1"/>
  <c r="C6745" i="1"/>
  <c r="U6745" i="1" s="1"/>
  <c r="C6744" i="1"/>
  <c r="U6744" i="1" s="1"/>
  <c r="C6743" i="1"/>
  <c r="U6743" i="1" s="1"/>
  <c r="W6743" i="1" s="1"/>
  <c r="C6742" i="1"/>
  <c r="U6742" i="1" s="1"/>
  <c r="C6741" i="1"/>
  <c r="U6741" i="1" s="1"/>
  <c r="U6740" i="1"/>
  <c r="C6740" i="1"/>
  <c r="C6739" i="1"/>
  <c r="U6739" i="1" s="1"/>
  <c r="U6738" i="1"/>
  <c r="C6738" i="1"/>
  <c r="C6737" i="1"/>
  <c r="U6737" i="1" s="1"/>
  <c r="C6736" i="1"/>
  <c r="U6736" i="1" s="1"/>
  <c r="C6735" i="1"/>
  <c r="U6735" i="1" s="1"/>
  <c r="W6735" i="1" s="1"/>
  <c r="C6734" i="1"/>
  <c r="U6734" i="1" s="1"/>
  <c r="C6733" i="1"/>
  <c r="U6733" i="1" s="1"/>
  <c r="C6732" i="1"/>
  <c r="U6732" i="1" s="1"/>
  <c r="C6731" i="1"/>
  <c r="U6731" i="1" s="1"/>
  <c r="U6730" i="1"/>
  <c r="C6730" i="1"/>
  <c r="C6729" i="1"/>
  <c r="U6729" i="1" s="1"/>
  <c r="C6728" i="1"/>
  <c r="U6728" i="1" s="1"/>
  <c r="C6727" i="1"/>
  <c r="U6727" i="1" s="1"/>
  <c r="W6727" i="1" s="1"/>
  <c r="C6726" i="1"/>
  <c r="U6726" i="1" s="1"/>
  <c r="C6725" i="1"/>
  <c r="U6725" i="1" s="1"/>
  <c r="C6724" i="1"/>
  <c r="U6724" i="1" s="1"/>
  <c r="C6723" i="1"/>
  <c r="U6723" i="1" s="1"/>
  <c r="U6722" i="1"/>
  <c r="C6722" i="1"/>
  <c r="C6721" i="1"/>
  <c r="U6721" i="1" s="1"/>
  <c r="C6720" i="1"/>
  <c r="U6720" i="1" s="1"/>
  <c r="C6719" i="1"/>
  <c r="U6719" i="1" s="1"/>
  <c r="W6719" i="1" s="1"/>
  <c r="C6718" i="1"/>
  <c r="U6718" i="1" s="1"/>
  <c r="C6717" i="1"/>
  <c r="U6717" i="1" s="1"/>
  <c r="C6716" i="1"/>
  <c r="U6716" i="1" s="1"/>
  <c r="C6715" i="1"/>
  <c r="U6715" i="1" s="1"/>
  <c r="U6714" i="1"/>
  <c r="C6714" i="1"/>
  <c r="C6713" i="1"/>
  <c r="U6713" i="1" s="1"/>
  <c r="C6712" i="1"/>
  <c r="U6712" i="1" s="1"/>
  <c r="C6711" i="1"/>
  <c r="U6711" i="1" s="1"/>
  <c r="W6711" i="1" s="1"/>
  <c r="C6710" i="1"/>
  <c r="U6710" i="1" s="1"/>
  <c r="C6709" i="1"/>
  <c r="U6709" i="1" s="1"/>
  <c r="C6708" i="1"/>
  <c r="U6708" i="1" s="1"/>
  <c r="C6707" i="1"/>
  <c r="U6707" i="1" s="1"/>
  <c r="U6706" i="1"/>
  <c r="C6706" i="1"/>
  <c r="C6705" i="1"/>
  <c r="U6705" i="1" s="1"/>
  <c r="C6704" i="1"/>
  <c r="U6704" i="1" s="1"/>
  <c r="C6703" i="1"/>
  <c r="U6703" i="1" s="1"/>
  <c r="W6703" i="1" s="1"/>
  <c r="C6702" i="1"/>
  <c r="U6702" i="1" s="1"/>
  <c r="C6701" i="1"/>
  <c r="U6701" i="1" s="1"/>
  <c r="C6700" i="1"/>
  <c r="U6700" i="1" s="1"/>
  <c r="C6699" i="1"/>
  <c r="U6699" i="1" s="1"/>
  <c r="U6698" i="1"/>
  <c r="C6698" i="1"/>
  <c r="C6697" i="1"/>
  <c r="U6697" i="1" s="1"/>
  <c r="C6696" i="1"/>
  <c r="U6696" i="1" s="1"/>
  <c r="C6695" i="1"/>
  <c r="U6695" i="1" s="1"/>
  <c r="W6695" i="1" s="1"/>
  <c r="C6694" i="1"/>
  <c r="U6694" i="1" s="1"/>
  <c r="C6693" i="1"/>
  <c r="U6693" i="1" s="1"/>
  <c r="C6692" i="1"/>
  <c r="U6692" i="1" s="1"/>
  <c r="C6691" i="1"/>
  <c r="U6691" i="1" s="1"/>
  <c r="U6690" i="1"/>
  <c r="C6690" i="1"/>
  <c r="C6689" i="1"/>
  <c r="U6689" i="1" s="1"/>
  <c r="C6688" i="1"/>
  <c r="U6688" i="1" s="1"/>
  <c r="C6687" i="1"/>
  <c r="U6687" i="1" s="1"/>
  <c r="W6687" i="1" s="1"/>
  <c r="C6686" i="1"/>
  <c r="U6686" i="1" s="1"/>
  <c r="C6685" i="1"/>
  <c r="U6685" i="1" s="1"/>
  <c r="C6684" i="1"/>
  <c r="U6684" i="1" s="1"/>
  <c r="C6683" i="1"/>
  <c r="U6683" i="1" s="1"/>
  <c r="U6682" i="1"/>
  <c r="C6682" i="1"/>
  <c r="C6681" i="1"/>
  <c r="U6681" i="1" s="1"/>
  <c r="C6680" i="1"/>
  <c r="U6680" i="1" s="1"/>
  <c r="C6679" i="1"/>
  <c r="U6679" i="1" s="1"/>
  <c r="W6679" i="1" s="1"/>
  <c r="C6678" i="1"/>
  <c r="U6678" i="1" s="1"/>
  <c r="C6677" i="1"/>
  <c r="U6677" i="1" s="1"/>
  <c r="C6676" i="1"/>
  <c r="U6676" i="1" s="1"/>
  <c r="C6675" i="1"/>
  <c r="U6675" i="1" s="1"/>
  <c r="U6674" i="1"/>
  <c r="C6674" i="1"/>
  <c r="C6673" i="1"/>
  <c r="U6673" i="1" s="1"/>
  <c r="U6672" i="1"/>
  <c r="C6672" i="1"/>
  <c r="C6671" i="1"/>
  <c r="U6671" i="1" s="1"/>
  <c r="W6671" i="1" s="1"/>
  <c r="C6670" i="1"/>
  <c r="U6670" i="1" s="1"/>
  <c r="C6669" i="1"/>
  <c r="U6669" i="1" s="1"/>
  <c r="C6668" i="1"/>
  <c r="U6668" i="1" s="1"/>
  <c r="C6667" i="1"/>
  <c r="U6667" i="1" s="1"/>
  <c r="U6666" i="1"/>
  <c r="C6666" i="1"/>
  <c r="C6665" i="1"/>
  <c r="U6665" i="1" s="1"/>
  <c r="C6664" i="1"/>
  <c r="U6664" i="1" s="1"/>
  <c r="C6663" i="1"/>
  <c r="U6663" i="1" s="1"/>
  <c r="W6663" i="1" s="1"/>
  <c r="C6662" i="1"/>
  <c r="U6662" i="1" s="1"/>
  <c r="C6661" i="1"/>
  <c r="U6661" i="1" s="1"/>
  <c r="C6660" i="1"/>
  <c r="U6660" i="1" s="1"/>
  <c r="C6659" i="1"/>
  <c r="U6659" i="1" s="1"/>
  <c r="U6658" i="1"/>
  <c r="C6658" i="1"/>
  <c r="C6657" i="1"/>
  <c r="U6657" i="1" s="1"/>
  <c r="U6656" i="1"/>
  <c r="C6656" i="1"/>
  <c r="C6655" i="1"/>
  <c r="U6655" i="1" s="1"/>
  <c r="W6655" i="1" s="1"/>
  <c r="C6654" i="1"/>
  <c r="U6654" i="1" s="1"/>
  <c r="C6653" i="1"/>
  <c r="U6653" i="1" s="1"/>
  <c r="C6652" i="1"/>
  <c r="U6652" i="1" s="1"/>
  <c r="C6651" i="1"/>
  <c r="U6651" i="1" s="1"/>
  <c r="U6650" i="1"/>
  <c r="C6650" i="1"/>
  <c r="C6649" i="1"/>
  <c r="U6649" i="1" s="1"/>
  <c r="C6648" i="1"/>
  <c r="U6648" i="1" s="1"/>
  <c r="C6647" i="1"/>
  <c r="U6647" i="1" s="1"/>
  <c r="W6647" i="1" s="1"/>
  <c r="C6646" i="1"/>
  <c r="U6646" i="1" s="1"/>
  <c r="C6645" i="1"/>
  <c r="U6645" i="1" s="1"/>
  <c r="C6644" i="1"/>
  <c r="U6644" i="1" s="1"/>
  <c r="C6643" i="1"/>
  <c r="U6643" i="1" s="1"/>
  <c r="U6642" i="1"/>
  <c r="C6642" i="1"/>
  <c r="C6641" i="1"/>
  <c r="U6641" i="1" s="1"/>
  <c r="U6640" i="1"/>
  <c r="C6640" i="1"/>
  <c r="C6639" i="1"/>
  <c r="U6639" i="1" s="1"/>
  <c r="W6639" i="1" s="1"/>
  <c r="C6638" i="1"/>
  <c r="U6638" i="1" s="1"/>
  <c r="C6637" i="1"/>
  <c r="U6637" i="1" s="1"/>
  <c r="C6636" i="1"/>
  <c r="U6636" i="1" s="1"/>
  <c r="C6635" i="1"/>
  <c r="U6635" i="1" s="1"/>
  <c r="U6634" i="1"/>
  <c r="C6634" i="1"/>
  <c r="C6633" i="1"/>
  <c r="U6633" i="1" s="1"/>
  <c r="C6632" i="1"/>
  <c r="U6632" i="1" s="1"/>
  <c r="C6631" i="1"/>
  <c r="U6631" i="1" s="1"/>
  <c r="W6631" i="1" s="1"/>
  <c r="C6630" i="1"/>
  <c r="U6630" i="1" s="1"/>
  <c r="C6629" i="1"/>
  <c r="U6629" i="1" s="1"/>
  <c r="C6628" i="1"/>
  <c r="U6628" i="1" s="1"/>
  <c r="C6627" i="1"/>
  <c r="U6627" i="1" s="1"/>
  <c r="U6626" i="1"/>
  <c r="C6626" i="1"/>
  <c r="C6625" i="1"/>
  <c r="U6625" i="1" s="1"/>
  <c r="U6624" i="1"/>
  <c r="C6624" i="1"/>
  <c r="C6623" i="1"/>
  <c r="U6623" i="1" s="1"/>
  <c r="W6623" i="1" s="1"/>
  <c r="C6622" i="1"/>
  <c r="U6622" i="1" s="1"/>
  <c r="C6621" i="1"/>
  <c r="U6621" i="1" s="1"/>
  <c r="C6620" i="1"/>
  <c r="U6620" i="1" s="1"/>
  <c r="C6619" i="1"/>
  <c r="U6619" i="1" s="1"/>
  <c r="U6618" i="1"/>
  <c r="C6618" i="1"/>
  <c r="C6617" i="1"/>
  <c r="U6617" i="1" s="1"/>
  <c r="C6616" i="1"/>
  <c r="U6616" i="1" s="1"/>
  <c r="C6615" i="1"/>
  <c r="U6615" i="1" s="1"/>
  <c r="W6615" i="1" s="1"/>
  <c r="C6614" i="1"/>
  <c r="U6614" i="1" s="1"/>
  <c r="C6613" i="1"/>
  <c r="U6613" i="1" s="1"/>
  <c r="C6612" i="1"/>
  <c r="U6612" i="1" s="1"/>
  <c r="C6611" i="1"/>
  <c r="U6611" i="1" s="1"/>
  <c r="U6610" i="1"/>
  <c r="C6610" i="1"/>
  <c r="C6609" i="1"/>
  <c r="U6609" i="1" s="1"/>
  <c r="U6608" i="1"/>
  <c r="C6608" i="1"/>
  <c r="C6607" i="1"/>
  <c r="U6607" i="1" s="1"/>
  <c r="W6607" i="1" s="1"/>
  <c r="C6606" i="1"/>
  <c r="U6606" i="1" s="1"/>
  <c r="C6605" i="1"/>
  <c r="U6605" i="1" s="1"/>
  <c r="C6604" i="1"/>
  <c r="U6604" i="1" s="1"/>
  <c r="C6603" i="1"/>
  <c r="U6603" i="1" s="1"/>
  <c r="C6602" i="1"/>
  <c r="U6602" i="1" s="1"/>
  <c r="C6601" i="1"/>
  <c r="U6601" i="1" s="1"/>
  <c r="C6600" i="1"/>
  <c r="U6600" i="1" s="1"/>
  <c r="C6599" i="1"/>
  <c r="U6599" i="1" s="1"/>
  <c r="W6599" i="1" s="1"/>
  <c r="U6598" i="1"/>
  <c r="C6598" i="1"/>
  <c r="C6597" i="1"/>
  <c r="U6597" i="1" s="1"/>
  <c r="C6596" i="1"/>
  <c r="U6596" i="1" s="1"/>
  <c r="C6595" i="1"/>
  <c r="U6595" i="1" s="1"/>
  <c r="C6594" i="1"/>
  <c r="U6594" i="1" s="1"/>
  <c r="C6593" i="1"/>
  <c r="U6593" i="1" s="1"/>
  <c r="C6592" i="1"/>
  <c r="U6592" i="1" s="1"/>
  <c r="C6591" i="1"/>
  <c r="U6591" i="1" s="1"/>
  <c r="W6591" i="1" s="1"/>
  <c r="C6590" i="1"/>
  <c r="U6590" i="1" s="1"/>
  <c r="C6589" i="1"/>
  <c r="U6589" i="1" s="1"/>
  <c r="C6588" i="1"/>
  <c r="U6588" i="1" s="1"/>
  <c r="C6587" i="1"/>
  <c r="U6587" i="1" s="1"/>
  <c r="C6586" i="1"/>
  <c r="U6586" i="1" s="1"/>
  <c r="C6585" i="1"/>
  <c r="U6585" i="1" s="1"/>
  <c r="C6584" i="1"/>
  <c r="U6584" i="1" s="1"/>
  <c r="C6583" i="1"/>
  <c r="U6583" i="1" s="1"/>
  <c r="W6583" i="1" s="1"/>
  <c r="U6582" i="1"/>
  <c r="C6582" i="1"/>
  <c r="C6581" i="1"/>
  <c r="U6581" i="1" s="1"/>
  <c r="C6580" i="1"/>
  <c r="U6580" i="1" s="1"/>
  <c r="C6579" i="1"/>
  <c r="U6579" i="1" s="1"/>
  <c r="C6578" i="1"/>
  <c r="U6578" i="1" s="1"/>
  <c r="C6577" i="1"/>
  <c r="U6577" i="1" s="1"/>
  <c r="U6576" i="1"/>
  <c r="C6576" i="1"/>
  <c r="C6575" i="1"/>
  <c r="U6575" i="1" s="1"/>
  <c r="W6575" i="1" s="1"/>
  <c r="C6574" i="1"/>
  <c r="U6574" i="1" s="1"/>
  <c r="C6573" i="1"/>
  <c r="U6573" i="1" s="1"/>
  <c r="C6572" i="1"/>
  <c r="U6572" i="1" s="1"/>
  <c r="C6571" i="1"/>
  <c r="U6571" i="1" s="1"/>
  <c r="C6570" i="1"/>
  <c r="U6570" i="1" s="1"/>
  <c r="C6569" i="1"/>
  <c r="U6569" i="1" s="1"/>
  <c r="C6568" i="1"/>
  <c r="U6568" i="1" s="1"/>
  <c r="C6567" i="1"/>
  <c r="U6567" i="1" s="1"/>
  <c r="W6567" i="1" s="1"/>
  <c r="U6566" i="1"/>
  <c r="C6566" i="1"/>
  <c r="C6565" i="1"/>
  <c r="U6565" i="1" s="1"/>
  <c r="C6564" i="1"/>
  <c r="U6564" i="1" s="1"/>
  <c r="C6563" i="1"/>
  <c r="U6563" i="1" s="1"/>
  <c r="C6562" i="1"/>
  <c r="U6562" i="1" s="1"/>
  <c r="C6561" i="1"/>
  <c r="U6561" i="1" s="1"/>
  <c r="C6560" i="1"/>
  <c r="U6560" i="1" s="1"/>
  <c r="C6559" i="1"/>
  <c r="U6559" i="1" s="1"/>
  <c r="C6558" i="1"/>
  <c r="U6558" i="1" s="1"/>
  <c r="C6557" i="1"/>
  <c r="U6557" i="1" s="1"/>
  <c r="C6556" i="1"/>
  <c r="U6556" i="1" s="1"/>
  <c r="C6555" i="1"/>
  <c r="U6555" i="1" s="1"/>
  <c r="C6554" i="1"/>
  <c r="U6554" i="1" s="1"/>
  <c r="C6553" i="1"/>
  <c r="U6553" i="1" s="1"/>
  <c r="W6553" i="1" s="1"/>
  <c r="C6552" i="1"/>
  <c r="U6552" i="1" s="1"/>
  <c r="C6551" i="1"/>
  <c r="U6551" i="1" s="1"/>
  <c r="U6550" i="1"/>
  <c r="C6550" i="1"/>
  <c r="C6549" i="1"/>
  <c r="U6549" i="1" s="1"/>
  <c r="C6548" i="1"/>
  <c r="U6548" i="1" s="1"/>
  <c r="C6547" i="1"/>
  <c r="U6547" i="1" s="1"/>
  <c r="C6546" i="1"/>
  <c r="U6546" i="1" s="1"/>
  <c r="C6545" i="1"/>
  <c r="U6545" i="1" s="1"/>
  <c r="U6544" i="1"/>
  <c r="C6544" i="1"/>
  <c r="C6543" i="1"/>
  <c r="U6543" i="1" s="1"/>
  <c r="C6542" i="1"/>
  <c r="U6542" i="1" s="1"/>
  <c r="C6541" i="1"/>
  <c r="U6541" i="1" s="1"/>
  <c r="C6540" i="1"/>
  <c r="U6540" i="1" s="1"/>
  <c r="C6539" i="1"/>
  <c r="U6539" i="1" s="1"/>
  <c r="C6538" i="1"/>
  <c r="U6538" i="1" s="1"/>
  <c r="C6537" i="1"/>
  <c r="U6537" i="1" s="1"/>
  <c r="W6537" i="1" s="1"/>
  <c r="C6536" i="1"/>
  <c r="U6536" i="1" s="1"/>
  <c r="C6535" i="1"/>
  <c r="U6535" i="1" s="1"/>
  <c r="U6534" i="1"/>
  <c r="C6534" i="1"/>
  <c r="C6533" i="1"/>
  <c r="U6533" i="1" s="1"/>
  <c r="C6532" i="1"/>
  <c r="U6532" i="1" s="1"/>
  <c r="C6531" i="1"/>
  <c r="U6531" i="1" s="1"/>
  <c r="C6530" i="1"/>
  <c r="U6530" i="1" s="1"/>
  <c r="C6529" i="1"/>
  <c r="U6529" i="1" s="1"/>
  <c r="C6528" i="1"/>
  <c r="U6528" i="1" s="1"/>
  <c r="C6527" i="1"/>
  <c r="U6527" i="1" s="1"/>
  <c r="C6526" i="1"/>
  <c r="U6526" i="1" s="1"/>
  <c r="C6525" i="1"/>
  <c r="U6525" i="1" s="1"/>
  <c r="C6524" i="1"/>
  <c r="U6524" i="1" s="1"/>
  <c r="C6523" i="1"/>
  <c r="U6523" i="1" s="1"/>
  <c r="C6522" i="1"/>
  <c r="U6522" i="1" s="1"/>
  <c r="C6521" i="1"/>
  <c r="U6521" i="1" s="1"/>
  <c r="W6521" i="1" s="1"/>
  <c r="C6520" i="1"/>
  <c r="U6520" i="1" s="1"/>
  <c r="C6519" i="1"/>
  <c r="U6519" i="1" s="1"/>
  <c r="U6518" i="1"/>
  <c r="C6518" i="1"/>
  <c r="C6517" i="1"/>
  <c r="U6517" i="1" s="1"/>
  <c r="C6516" i="1"/>
  <c r="U6516" i="1" s="1"/>
  <c r="C6515" i="1"/>
  <c r="U6515" i="1" s="1"/>
  <c r="C6514" i="1"/>
  <c r="U6514" i="1" s="1"/>
  <c r="C6513" i="1"/>
  <c r="U6513" i="1" s="1"/>
  <c r="U6512" i="1"/>
  <c r="C6512" i="1"/>
  <c r="C6511" i="1"/>
  <c r="U6511" i="1" s="1"/>
  <c r="C6510" i="1"/>
  <c r="U6510" i="1" s="1"/>
  <c r="C6509" i="1"/>
  <c r="U6509" i="1" s="1"/>
  <c r="C6508" i="1"/>
  <c r="U6508" i="1" s="1"/>
  <c r="C6507" i="1"/>
  <c r="U6507" i="1" s="1"/>
  <c r="C6506" i="1"/>
  <c r="U6506" i="1" s="1"/>
  <c r="C6505" i="1"/>
  <c r="U6505" i="1" s="1"/>
  <c r="W6505" i="1" s="1"/>
  <c r="C6504" i="1"/>
  <c r="U6504" i="1" s="1"/>
  <c r="C6503" i="1"/>
  <c r="U6503" i="1" s="1"/>
  <c r="U6502" i="1"/>
  <c r="C6502" i="1"/>
  <c r="C6501" i="1"/>
  <c r="U6501" i="1" s="1"/>
  <c r="C6500" i="1"/>
  <c r="U6500" i="1" s="1"/>
  <c r="C6499" i="1"/>
  <c r="U6499" i="1" s="1"/>
  <c r="C6498" i="1"/>
  <c r="U6498" i="1" s="1"/>
  <c r="C6497" i="1"/>
  <c r="U6497" i="1" s="1"/>
  <c r="C6496" i="1"/>
  <c r="U6496" i="1" s="1"/>
  <c r="C6495" i="1"/>
  <c r="U6495" i="1" s="1"/>
  <c r="C6494" i="1"/>
  <c r="U6494" i="1" s="1"/>
  <c r="C6493" i="1"/>
  <c r="U6493" i="1" s="1"/>
  <c r="C6492" i="1"/>
  <c r="U6492" i="1" s="1"/>
  <c r="C6491" i="1"/>
  <c r="U6491" i="1" s="1"/>
  <c r="C6490" i="1"/>
  <c r="U6490" i="1" s="1"/>
  <c r="C6489" i="1"/>
  <c r="U6489" i="1" s="1"/>
  <c r="W6489" i="1" s="1"/>
  <c r="C6488" i="1"/>
  <c r="U6488" i="1" s="1"/>
  <c r="C6487" i="1"/>
  <c r="U6487" i="1" s="1"/>
  <c r="U6486" i="1"/>
  <c r="C6486" i="1"/>
  <c r="C6485" i="1"/>
  <c r="U6485" i="1" s="1"/>
  <c r="C6484" i="1"/>
  <c r="U6484" i="1" s="1"/>
  <c r="C6483" i="1"/>
  <c r="U6483" i="1" s="1"/>
  <c r="C6482" i="1"/>
  <c r="U6482" i="1" s="1"/>
  <c r="C6481" i="1"/>
  <c r="U6481" i="1" s="1"/>
  <c r="U6480" i="1"/>
  <c r="C6480" i="1"/>
  <c r="C6479" i="1"/>
  <c r="U6479" i="1" s="1"/>
  <c r="C6478" i="1"/>
  <c r="U6478" i="1" s="1"/>
  <c r="C6477" i="1"/>
  <c r="U6477" i="1" s="1"/>
  <c r="C6476" i="1"/>
  <c r="U6476" i="1" s="1"/>
  <c r="C6475" i="1"/>
  <c r="U6475" i="1" s="1"/>
  <c r="C6474" i="1"/>
  <c r="U6474" i="1" s="1"/>
  <c r="C6473" i="1"/>
  <c r="U6473" i="1" s="1"/>
  <c r="W6473" i="1" s="1"/>
  <c r="C6472" i="1"/>
  <c r="U6472" i="1" s="1"/>
  <c r="C6471" i="1"/>
  <c r="U6471" i="1" s="1"/>
  <c r="U6470" i="1"/>
  <c r="C6470" i="1"/>
  <c r="C6469" i="1"/>
  <c r="U6469" i="1" s="1"/>
  <c r="C6468" i="1"/>
  <c r="U6468" i="1" s="1"/>
  <c r="C6467" i="1"/>
  <c r="U6467" i="1" s="1"/>
  <c r="C6466" i="1"/>
  <c r="U6466" i="1" s="1"/>
  <c r="C6465" i="1"/>
  <c r="U6465" i="1" s="1"/>
  <c r="C6464" i="1"/>
  <c r="U6464" i="1" s="1"/>
  <c r="C6463" i="1"/>
  <c r="U6463" i="1" s="1"/>
  <c r="C6462" i="1"/>
  <c r="U6462" i="1" s="1"/>
  <c r="C6461" i="1"/>
  <c r="U6461" i="1" s="1"/>
  <c r="C6460" i="1"/>
  <c r="U6460" i="1" s="1"/>
  <c r="C6459" i="1"/>
  <c r="U6459" i="1" s="1"/>
  <c r="C6458" i="1"/>
  <c r="U6458" i="1" s="1"/>
  <c r="C6457" i="1"/>
  <c r="U6457" i="1" s="1"/>
  <c r="W6457" i="1" s="1"/>
  <c r="C6456" i="1"/>
  <c r="U6456" i="1" s="1"/>
  <c r="C6455" i="1"/>
  <c r="U6455" i="1" s="1"/>
  <c r="U6454" i="1"/>
  <c r="C6454" i="1"/>
  <c r="C6453" i="1"/>
  <c r="U6453" i="1" s="1"/>
  <c r="C6452" i="1"/>
  <c r="U6452" i="1" s="1"/>
  <c r="C6451" i="1"/>
  <c r="U6451" i="1" s="1"/>
  <c r="C6450" i="1"/>
  <c r="U6450" i="1" s="1"/>
  <c r="C6449" i="1"/>
  <c r="U6449" i="1" s="1"/>
  <c r="U6448" i="1"/>
  <c r="C6448" i="1"/>
  <c r="C6447" i="1"/>
  <c r="U6447" i="1" s="1"/>
  <c r="C6446" i="1"/>
  <c r="U6446" i="1" s="1"/>
  <c r="C6445" i="1"/>
  <c r="U6445" i="1" s="1"/>
  <c r="C6444" i="1"/>
  <c r="U6444" i="1" s="1"/>
  <c r="C6443" i="1"/>
  <c r="U6443" i="1" s="1"/>
  <c r="C6442" i="1"/>
  <c r="U6442" i="1" s="1"/>
  <c r="C6441" i="1"/>
  <c r="U6441" i="1" s="1"/>
  <c r="W6441" i="1" s="1"/>
  <c r="C6440" i="1"/>
  <c r="U6440" i="1" s="1"/>
  <c r="C6439" i="1"/>
  <c r="U6439" i="1" s="1"/>
  <c r="U6438" i="1"/>
  <c r="C6438" i="1"/>
  <c r="C6437" i="1"/>
  <c r="U6437" i="1" s="1"/>
  <c r="C6436" i="1"/>
  <c r="U6436" i="1" s="1"/>
  <c r="C6435" i="1"/>
  <c r="U6435" i="1" s="1"/>
  <c r="C6434" i="1"/>
  <c r="U6434" i="1" s="1"/>
  <c r="C6433" i="1"/>
  <c r="U6433" i="1" s="1"/>
  <c r="C6432" i="1"/>
  <c r="U6432" i="1" s="1"/>
  <c r="C6431" i="1"/>
  <c r="U6431" i="1" s="1"/>
  <c r="C6430" i="1"/>
  <c r="U6430" i="1" s="1"/>
  <c r="C6429" i="1"/>
  <c r="U6429" i="1" s="1"/>
  <c r="C6428" i="1"/>
  <c r="U6428" i="1" s="1"/>
  <c r="C6427" i="1"/>
  <c r="U6427" i="1" s="1"/>
  <c r="C6426" i="1"/>
  <c r="U6426" i="1" s="1"/>
  <c r="C6425" i="1"/>
  <c r="U6425" i="1" s="1"/>
  <c r="W6425" i="1" s="1"/>
  <c r="C6424" i="1"/>
  <c r="U6424" i="1" s="1"/>
  <c r="C6423" i="1"/>
  <c r="U6423" i="1" s="1"/>
  <c r="U6422" i="1"/>
  <c r="C6422" i="1"/>
  <c r="C6421" i="1"/>
  <c r="U6421" i="1" s="1"/>
  <c r="C6420" i="1"/>
  <c r="U6420" i="1" s="1"/>
  <c r="C6419" i="1"/>
  <c r="U6419" i="1" s="1"/>
  <c r="C6418" i="1"/>
  <c r="U6418" i="1" s="1"/>
  <c r="C6417" i="1"/>
  <c r="U6417" i="1" s="1"/>
  <c r="U6416" i="1"/>
  <c r="C6416" i="1"/>
  <c r="C6415" i="1"/>
  <c r="U6415" i="1" s="1"/>
  <c r="C6414" i="1"/>
  <c r="U6414" i="1" s="1"/>
  <c r="C6413" i="1"/>
  <c r="U6413" i="1" s="1"/>
  <c r="C6412" i="1"/>
  <c r="U6412" i="1" s="1"/>
  <c r="C6411" i="1"/>
  <c r="U6411" i="1" s="1"/>
  <c r="C6410" i="1"/>
  <c r="U6410" i="1" s="1"/>
  <c r="C6409" i="1"/>
  <c r="U6409" i="1" s="1"/>
  <c r="W6409" i="1" s="1"/>
  <c r="C6408" i="1"/>
  <c r="U6408" i="1" s="1"/>
  <c r="C6407" i="1"/>
  <c r="U6407" i="1" s="1"/>
  <c r="U6406" i="1"/>
  <c r="C6406" i="1"/>
  <c r="C6405" i="1"/>
  <c r="U6405" i="1" s="1"/>
  <c r="C6404" i="1"/>
  <c r="U6404" i="1" s="1"/>
  <c r="C6403" i="1"/>
  <c r="U6403" i="1" s="1"/>
  <c r="C6402" i="1"/>
  <c r="U6402" i="1" s="1"/>
  <c r="C6401" i="1"/>
  <c r="U6401" i="1" s="1"/>
  <c r="C6400" i="1"/>
  <c r="U6400" i="1" s="1"/>
  <c r="C6399" i="1"/>
  <c r="U6399" i="1" s="1"/>
  <c r="C6398" i="1"/>
  <c r="U6398" i="1" s="1"/>
  <c r="C6397" i="1"/>
  <c r="U6397" i="1" s="1"/>
  <c r="C6396" i="1"/>
  <c r="U6396" i="1" s="1"/>
  <c r="C6395" i="1"/>
  <c r="U6395" i="1" s="1"/>
  <c r="C6394" i="1"/>
  <c r="U6394" i="1" s="1"/>
  <c r="C6393" i="1"/>
  <c r="U6393" i="1" s="1"/>
  <c r="W6393" i="1" s="1"/>
  <c r="C6392" i="1"/>
  <c r="U6392" i="1" s="1"/>
  <c r="C6391" i="1"/>
  <c r="U6391" i="1" s="1"/>
  <c r="U6390" i="1"/>
  <c r="C6390" i="1"/>
  <c r="C6389" i="1"/>
  <c r="U6389" i="1" s="1"/>
  <c r="C6388" i="1"/>
  <c r="U6388" i="1" s="1"/>
  <c r="C6387" i="1"/>
  <c r="U6387" i="1" s="1"/>
  <c r="C6386" i="1"/>
  <c r="U6386" i="1" s="1"/>
  <c r="C6385" i="1"/>
  <c r="U6385" i="1" s="1"/>
  <c r="U6384" i="1"/>
  <c r="C6384" i="1"/>
  <c r="C6383" i="1"/>
  <c r="U6383" i="1" s="1"/>
  <c r="C6382" i="1"/>
  <c r="U6382" i="1" s="1"/>
  <c r="C6381" i="1"/>
  <c r="U6381" i="1" s="1"/>
  <c r="C6380" i="1"/>
  <c r="U6380" i="1" s="1"/>
  <c r="C6379" i="1"/>
  <c r="U6379" i="1" s="1"/>
  <c r="C6378" i="1"/>
  <c r="U6378" i="1" s="1"/>
  <c r="C6377" i="1"/>
  <c r="U6377" i="1" s="1"/>
  <c r="W6377" i="1" s="1"/>
  <c r="C6376" i="1"/>
  <c r="U6376" i="1" s="1"/>
  <c r="C6375" i="1"/>
  <c r="U6375" i="1" s="1"/>
  <c r="U6374" i="1"/>
  <c r="C6374" i="1"/>
  <c r="C6373" i="1"/>
  <c r="U6373" i="1" s="1"/>
  <c r="C6372" i="1"/>
  <c r="U6372" i="1" s="1"/>
  <c r="C6371" i="1"/>
  <c r="U6371" i="1" s="1"/>
  <c r="C6370" i="1"/>
  <c r="U6370" i="1" s="1"/>
  <c r="C6369" i="1"/>
  <c r="U6369" i="1" s="1"/>
  <c r="C6368" i="1"/>
  <c r="U6368" i="1" s="1"/>
  <c r="C6367" i="1"/>
  <c r="U6367" i="1" s="1"/>
  <c r="C6366" i="1"/>
  <c r="U6366" i="1" s="1"/>
  <c r="C6365" i="1"/>
  <c r="U6365" i="1" s="1"/>
  <c r="C6364" i="1"/>
  <c r="U6364" i="1" s="1"/>
  <c r="C6363" i="1"/>
  <c r="U6363" i="1" s="1"/>
  <c r="C6362" i="1"/>
  <c r="U6362" i="1" s="1"/>
  <c r="C6361" i="1"/>
  <c r="U6361" i="1" s="1"/>
  <c r="W6361" i="1" s="1"/>
  <c r="C6360" i="1"/>
  <c r="U6360" i="1" s="1"/>
  <c r="C6359" i="1"/>
  <c r="U6359" i="1" s="1"/>
  <c r="U6358" i="1"/>
  <c r="C6358" i="1"/>
  <c r="C6357" i="1"/>
  <c r="U6357" i="1" s="1"/>
  <c r="C6356" i="1"/>
  <c r="U6356" i="1" s="1"/>
  <c r="C6355" i="1"/>
  <c r="U6355" i="1" s="1"/>
  <c r="C6354" i="1"/>
  <c r="U6354" i="1" s="1"/>
  <c r="C6353" i="1"/>
  <c r="U6353" i="1" s="1"/>
  <c r="U6352" i="1"/>
  <c r="C6352" i="1"/>
  <c r="C6351" i="1"/>
  <c r="U6351" i="1" s="1"/>
  <c r="C6350" i="1"/>
  <c r="U6350" i="1" s="1"/>
  <c r="C6349" i="1"/>
  <c r="U6349" i="1" s="1"/>
  <c r="C6348" i="1"/>
  <c r="U6348" i="1" s="1"/>
  <c r="C6347" i="1"/>
  <c r="U6347" i="1" s="1"/>
  <c r="C6346" i="1"/>
  <c r="U6346" i="1" s="1"/>
  <c r="C6345" i="1"/>
  <c r="U6345" i="1" s="1"/>
  <c r="W6345" i="1" s="1"/>
  <c r="C6344" i="1"/>
  <c r="U6344" i="1" s="1"/>
  <c r="C6343" i="1"/>
  <c r="U6343" i="1" s="1"/>
  <c r="U6342" i="1"/>
  <c r="C6342" i="1"/>
  <c r="C6341" i="1"/>
  <c r="U6341" i="1" s="1"/>
  <c r="C6340" i="1"/>
  <c r="U6340" i="1" s="1"/>
  <c r="C6339" i="1"/>
  <c r="U6339" i="1" s="1"/>
  <c r="C6338" i="1"/>
  <c r="U6338" i="1" s="1"/>
  <c r="C6337" i="1"/>
  <c r="U6337" i="1" s="1"/>
  <c r="C6336" i="1"/>
  <c r="U6336" i="1" s="1"/>
  <c r="C6335" i="1"/>
  <c r="U6335" i="1" s="1"/>
  <c r="C6334" i="1"/>
  <c r="U6334" i="1" s="1"/>
  <c r="C6333" i="1"/>
  <c r="U6333" i="1" s="1"/>
  <c r="C6332" i="1"/>
  <c r="U6332" i="1" s="1"/>
  <c r="C6331" i="1"/>
  <c r="U6331" i="1" s="1"/>
  <c r="C6330" i="1"/>
  <c r="U6330" i="1" s="1"/>
  <c r="C6329" i="1"/>
  <c r="U6329" i="1" s="1"/>
  <c r="W6329" i="1" s="1"/>
  <c r="U6328" i="1"/>
  <c r="C6328" i="1"/>
  <c r="C6327" i="1"/>
  <c r="U6327" i="1" s="1"/>
  <c r="U6326" i="1"/>
  <c r="C6326" i="1"/>
  <c r="C6325" i="1"/>
  <c r="U6325" i="1" s="1"/>
  <c r="C6324" i="1"/>
  <c r="U6324" i="1" s="1"/>
  <c r="C6323" i="1"/>
  <c r="U6323" i="1" s="1"/>
  <c r="C6322" i="1"/>
  <c r="U6322" i="1" s="1"/>
  <c r="C6321" i="1"/>
  <c r="U6321" i="1" s="1"/>
  <c r="C6320" i="1"/>
  <c r="U6320" i="1" s="1"/>
  <c r="C6319" i="1"/>
  <c r="U6319" i="1" s="1"/>
  <c r="C6318" i="1"/>
  <c r="U6318" i="1" s="1"/>
  <c r="C6317" i="1"/>
  <c r="U6317" i="1" s="1"/>
  <c r="C6316" i="1"/>
  <c r="U6316" i="1" s="1"/>
  <c r="C6315" i="1"/>
  <c r="U6315" i="1" s="1"/>
  <c r="C6314" i="1"/>
  <c r="U6314" i="1" s="1"/>
  <c r="C6313" i="1"/>
  <c r="U6313" i="1" s="1"/>
  <c r="W6313" i="1" s="1"/>
  <c r="C6312" i="1"/>
  <c r="U6312" i="1" s="1"/>
  <c r="C6311" i="1"/>
  <c r="U6311" i="1" s="1"/>
  <c r="U6310" i="1"/>
  <c r="C6310" i="1"/>
  <c r="C6309" i="1"/>
  <c r="U6309" i="1" s="1"/>
  <c r="C6308" i="1"/>
  <c r="U6308" i="1" s="1"/>
  <c r="C6307" i="1"/>
  <c r="U6307" i="1" s="1"/>
  <c r="C6306" i="1"/>
  <c r="U6306" i="1" s="1"/>
  <c r="C6305" i="1"/>
  <c r="U6305" i="1" s="1"/>
  <c r="C6304" i="1"/>
  <c r="U6304" i="1" s="1"/>
  <c r="C6303" i="1"/>
  <c r="U6303" i="1" s="1"/>
  <c r="C6302" i="1"/>
  <c r="U6302" i="1" s="1"/>
  <c r="C6301" i="1"/>
  <c r="U6301" i="1" s="1"/>
  <c r="C6300" i="1"/>
  <c r="U6300" i="1" s="1"/>
  <c r="C6299" i="1"/>
  <c r="U6299" i="1" s="1"/>
  <c r="C6298" i="1"/>
  <c r="U6298" i="1" s="1"/>
  <c r="C6297" i="1"/>
  <c r="U6297" i="1" s="1"/>
  <c r="W6297" i="1" s="1"/>
  <c r="C6296" i="1"/>
  <c r="U6296" i="1" s="1"/>
  <c r="C6295" i="1"/>
  <c r="U6295" i="1" s="1"/>
  <c r="U6294" i="1"/>
  <c r="C6294" i="1"/>
  <c r="C6293" i="1"/>
  <c r="U6293" i="1" s="1"/>
  <c r="C6292" i="1"/>
  <c r="U6292" i="1" s="1"/>
  <c r="C6291" i="1"/>
  <c r="U6291" i="1" s="1"/>
  <c r="C6290" i="1"/>
  <c r="U6290" i="1" s="1"/>
  <c r="C6289" i="1"/>
  <c r="U6289" i="1" s="1"/>
  <c r="C6288" i="1"/>
  <c r="U6288" i="1" s="1"/>
  <c r="C6287" i="1"/>
  <c r="U6287" i="1" s="1"/>
  <c r="C6286" i="1"/>
  <c r="U6286" i="1" s="1"/>
  <c r="C6285" i="1"/>
  <c r="U6285" i="1" s="1"/>
  <c r="C6284" i="1"/>
  <c r="U6284" i="1" s="1"/>
  <c r="C6283" i="1"/>
  <c r="U6283" i="1" s="1"/>
  <c r="C6282" i="1"/>
  <c r="U6282" i="1" s="1"/>
  <c r="C6281" i="1"/>
  <c r="U6281" i="1" s="1"/>
  <c r="W6281" i="1" s="1"/>
  <c r="C6280" i="1"/>
  <c r="U6280" i="1" s="1"/>
  <c r="C6279" i="1"/>
  <c r="U6279" i="1" s="1"/>
  <c r="U6278" i="1"/>
  <c r="C6278" i="1"/>
  <c r="C6277" i="1"/>
  <c r="U6277" i="1" s="1"/>
  <c r="C6276" i="1"/>
  <c r="U6276" i="1" s="1"/>
  <c r="C6275" i="1"/>
  <c r="U6275" i="1" s="1"/>
  <c r="C6274" i="1"/>
  <c r="U6274" i="1" s="1"/>
  <c r="C6273" i="1"/>
  <c r="U6273" i="1" s="1"/>
  <c r="C6272" i="1"/>
  <c r="U6272" i="1" s="1"/>
  <c r="C6271" i="1"/>
  <c r="U6271" i="1" s="1"/>
  <c r="C6270" i="1"/>
  <c r="U6270" i="1" s="1"/>
  <c r="C6269" i="1"/>
  <c r="U6269" i="1" s="1"/>
  <c r="C6268" i="1"/>
  <c r="U6268" i="1" s="1"/>
  <c r="C6267" i="1"/>
  <c r="U6267" i="1" s="1"/>
  <c r="C6266" i="1"/>
  <c r="U6266" i="1" s="1"/>
  <c r="C6265" i="1"/>
  <c r="U6265" i="1" s="1"/>
  <c r="W6265" i="1" s="1"/>
  <c r="C6264" i="1"/>
  <c r="U6264" i="1" s="1"/>
  <c r="C6263" i="1"/>
  <c r="U6263" i="1" s="1"/>
  <c r="U6262" i="1"/>
  <c r="C6262" i="1"/>
  <c r="C6261" i="1"/>
  <c r="U6261" i="1" s="1"/>
  <c r="C6260" i="1"/>
  <c r="U6260" i="1" s="1"/>
  <c r="C6259" i="1"/>
  <c r="U6259" i="1" s="1"/>
  <c r="C6258" i="1"/>
  <c r="U6258" i="1" s="1"/>
  <c r="C6257" i="1"/>
  <c r="U6257" i="1" s="1"/>
  <c r="C6256" i="1"/>
  <c r="U6256" i="1" s="1"/>
  <c r="C6255" i="1"/>
  <c r="U6255" i="1" s="1"/>
  <c r="C6254" i="1"/>
  <c r="U6254" i="1" s="1"/>
  <c r="C6253" i="1"/>
  <c r="U6253" i="1" s="1"/>
  <c r="C6252" i="1"/>
  <c r="U6252" i="1" s="1"/>
  <c r="C6251" i="1"/>
  <c r="U6251" i="1" s="1"/>
  <c r="C6250" i="1"/>
  <c r="U6250" i="1" s="1"/>
  <c r="C6249" i="1"/>
  <c r="U6249" i="1" s="1"/>
  <c r="W6249" i="1" s="1"/>
  <c r="C6248" i="1"/>
  <c r="U6248" i="1" s="1"/>
  <c r="C6247" i="1"/>
  <c r="U6247" i="1" s="1"/>
  <c r="U6246" i="1"/>
  <c r="C6246" i="1"/>
  <c r="C6245" i="1"/>
  <c r="U6245" i="1" s="1"/>
  <c r="C6244" i="1"/>
  <c r="U6244" i="1" s="1"/>
  <c r="C6243" i="1"/>
  <c r="U6243" i="1" s="1"/>
  <c r="C6242" i="1"/>
  <c r="U6242" i="1" s="1"/>
  <c r="C6241" i="1"/>
  <c r="U6241" i="1" s="1"/>
  <c r="C6240" i="1"/>
  <c r="U6240" i="1" s="1"/>
  <c r="C6239" i="1"/>
  <c r="U6239" i="1" s="1"/>
  <c r="C6238" i="1"/>
  <c r="U6238" i="1" s="1"/>
  <c r="C6237" i="1"/>
  <c r="U6237" i="1" s="1"/>
  <c r="C6236" i="1"/>
  <c r="U6236" i="1" s="1"/>
  <c r="C6235" i="1"/>
  <c r="U6235" i="1" s="1"/>
  <c r="C6234" i="1"/>
  <c r="U6234" i="1" s="1"/>
  <c r="C6233" i="1"/>
  <c r="U6233" i="1" s="1"/>
  <c r="W6233" i="1" s="1"/>
  <c r="C6232" i="1"/>
  <c r="U6232" i="1" s="1"/>
  <c r="C6231" i="1"/>
  <c r="U6231" i="1" s="1"/>
  <c r="U6230" i="1"/>
  <c r="C6230" i="1"/>
  <c r="C6229" i="1"/>
  <c r="U6229" i="1" s="1"/>
  <c r="C6228" i="1"/>
  <c r="U6228" i="1" s="1"/>
  <c r="C6227" i="1"/>
  <c r="U6227" i="1" s="1"/>
  <c r="C6226" i="1"/>
  <c r="U6226" i="1" s="1"/>
  <c r="C6225" i="1"/>
  <c r="U6225" i="1" s="1"/>
  <c r="C6224" i="1"/>
  <c r="U6224" i="1" s="1"/>
  <c r="C6223" i="1"/>
  <c r="U6223" i="1" s="1"/>
  <c r="C6222" i="1"/>
  <c r="U6222" i="1" s="1"/>
  <c r="C6221" i="1"/>
  <c r="U6221" i="1" s="1"/>
  <c r="C6220" i="1"/>
  <c r="U6220" i="1" s="1"/>
  <c r="C6219" i="1"/>
  <c r="U6219" i="1" s="1"/>
  <c r="C6218" i="1"/>
  <c r="U6218" i="1" s="1"/>
  <c r="C6217" i="1"/>
  <c r="U6217" i="1" s="1"/>
  <c r="W6217" i="1" s="1"/>
  <c r="C6216" i="1"/>
  <c r="U6216" i="1" s="1"/>
  <c r="C6215" i="1"/>
  <c r="U6215" i="1" s="1"/>
  <c r="U6214" i="1"/>
  <c r="C6214" i="1"/>
  <c r="C6213" i="1"/>
  <c r="U6213" i="1" s="1"/>
  <c r="C6212" i="1"/>
  <c r="U6212" i="1" s="1"/>
  <c r="C6211" i="1"/>
  <c r="U6211" i="1" s="1"/>
  <c r="C6210" i="1"/>
  <c r="U6210" i="1" s="1"/>
  <c r="C6209" i="1"/>
  <c r="U6209" i="1" s="1"/>
  <c r="C6208" i="1"/>
  <c r="U6208" i="1" s="1"/>
  <c r="C6207" i="1"/>
  <c r="U6207" i="1" s="1"/>
  <c r="C6206" i="1"/>
  <c r="U6206" i="1" s="1"/>
  <c r="C6205" i="1"/>
  <c r="U6205" i="1" s="1"/>
  <c r="C6204" i="1"/>
  <c r="U6204" i="1" s="1"/>
  <c r="C6203" i="1"/>
  <c r="U6203" i="1" s="1"/>
  <c r="C6202" i="1"/>
  <c r="U6202" i="1" s="1"/>
  <c r="C6201" i="1"/>
  <c r="U6201" i="1" s="1"/>
  <c r="W6201" i="1" s="1"/>
  <c r="C6200" i="1"/>
  <c r="U6200" i="1" s="1"/>
  <c r="C6199" i="1"/>
  <c r="U6199" i="1" s="1"/>
  <c r="U6198" i="1"/>
  <c r="C6198" i="1"/>
  <c r="C6197" i="1"/>
  <c r="U6197" i="1" s="1"/>
  <c r="C6196" i="1"/>
  <c r="U6196" i="1" s="1"/>
  <c r="C6195" i="1"/>
  <c r="U6195" i="1" s="1"/>
  <c r="C6194" i="1"/>
  <c r="U6194" i="1" s="1"/>
  <c r="C6193" i="1"/>
  <c r="U6193" i="1" s="1"/>
  <c r="C6192" i="1"/>
  <c r="U6192" i="1" s="1"/>
  <c r="C6191" i="1"/>
  <c r="U6191" i="1" s="1"/>
  <c r="C6190" i="1"/>
  <c r="U6190" i="1" s="1"/>
  <c r="C6189" i="1"/>
  <c r="U6189" i="1" s="1"/>
  <c r="C6188" i="1"/>
  <c r="U6188" i="1" s="1"/>
  <c r="C6187" i="1"/>
  <c r="U6187" i="1" s="1"/>
  <c r="C6186" i="1"/>
  <c r="U6186" i="1" s="1"/>
  <c r="C6185" i="1"/>
  <c r="U6185" i="1" s="1"/>
  <c r="W6185" i="1" s="1"/>
  <c r="C6184" i="1"/>
  <c r="U6184" i="1" s="1"/>
  <c r="C6183" i="1"/>
  <c r="U6183" i="1" s="1"/>
  <c r="U6182" i="1"/>
  <c r="C6182" i="1"/>
  <c r="C6181" i="1"/>
  <c r="U6181" i="1" s="1"/>
  <c r="C6180" i="1"/>
  <c r="U6180" i="1" s="1"/>
  <c r="C6179" i="1"/>
  <c r="U6179" i="1" s="1"/>
  <c r="C6178" i="1"/>
  <c r="U6178" i="1" s="1"/>
  <c r="C6177" i="1"/>
  <c r="U6177" i="1" s="1"/>
  <c r="C6176" i="1"/>
  <c r="U6176" i="1" s="1"/>
  <c r="C6175" i="1"/>
  <c r="U6175" i="1" s="1"/>
  <c r="C6174" i="1"/>
  <c r="U6174" i="1" s="1"/>
  <c r="C6173" i="1"/>
  <c r="U6173" i="1" s="1"/>
  <c r="C6172" i="1"/>
  <c r="U6172" i="1" s="1"/>
  <c r="C6171" i="1"/>
  <c r="U6171" i="1" s="1"/>
  <c r="C6170" i="1"/>
  <c r="U6170" i="1" s="1"/>
  <c r="C6169" i="1"/>
  <c r="U6169" i="1" s="1"/>
  <c r="W6169" i="1" s="1"/>
  <c r="C6168" i="1"/>
  <c r="U6168" i="1" s="1"/>
  <c r="C6167" i="1"/>
  <c r="U6167" i="1" s="1"/>
  <c r="U6166" i="1"/>
  <c r="C6166" i="1"/>
  <c r="C6165" i="1"/>
  <c r="U6165" i="1" s="1"/>
  <c r="C6164" i="1"/>
  <c r="U6164" i="1" s="1"/>
  <c r="C6163" i="1"/>
  <c r="U6163" i="1" s="1"/>
  <c r="C6162" i="1"/>
  <c r="U6162" i="1" s="1"/>
  <c r="C6161" i="1"/>
  <c r="U6161" i="1" s="1"/>
  <c r="C6160" i="1"/>
  <c r="U6160" i="1" s="1"/>
  <c r="C6159" i="1"/>
  <c r="U6159" i="1" s="1"/>
  <c r="C6158" i="1"/>
  <c r="U6158" i="1" s="1"/>
  <c r="C6157" i="1"/>
  <c r="U6157" i="1" s="1"/>
  <c r="C6156" i="1"/>
  <c r="U6156" i="1" s="1"/>
  <c r="C6155" i="1"/>
  <c r="U6155" i="1" s="1"/>
  <c r="C6154" i="1"/>
  <c r="U6154" i="1" s="1"/>
  <c r="C6153" i="1"/>
  <c r="U6153" i="1" s="1"/>
  <c r="W6153" i="1" s="1"/>
  <c r="C6152" i="1"/>
  <c r="U6152" i="1" s="1"/>
  <c r="C6151" i="1"/>
  <c r="U6151" i="1" s="1"/>
  <c r="U6150" i="1"/>
  <c r="C6150" i="1"/>
  <c r="C6149" i="1"/>
  <c r="U6149" i="1" s="1"/>
  <c r="C6148" i="1"/>
  <c r="U6148" i="1" s="1"/>
  <c r="C6147" i="1"/>
  <c r="U6147" i="1" s="1"/>
  <c r="C6146" i="1"/>
  <c r="U6146" i="1" s="1"/>
  <c r="C6145" i="1"/>
  <c r="U6145" i="1" s="1"/>
  <c r="C6144" i="1"/>
  <c r="U6144" i="1" s="1"/>
  <c r="C6143" i="1"/>
  <c r="U6143" i="1" s="1"/>
  <c r="C6142" i="1"/>
  <c r="U6142" i="1" s="1"/>
  <c r="C6141" i="1"/>
  <c r="U6141" i="1" s="1"/>
  <c r="C6140" i="1"/>
  <c r="U6140" i="1" s="1"/>
  <c r="C6139" i="1"/>
  <c r="U6139" i="1" s="1"/>
  <c r="C6138" i="1"/>
  <c r="U6138" i="1" s="1"/>
  <c r="C6137" i="1"/>
  <c r="U6137" i="1" s="1"/>
  <c r="W6137" i="1" s="1"/>
  <c r="C6136" i="1"/>
  <c r="U6136" i="1" s="1"/>
  <c r="C6135" i="1"/>
  <c r="U6135" i="1" s="1"/>
  <c r="U6134" i="1"/>
  <c r="C6134" i="1"/>
  <c r="C6133" i="1"/>
  <c r="U6133" i="1" s="1"/>
  <c r="C6132" i="1"/>
  <c r="U6132" i="1" s="1"/>
  <c r="C6131" i="1"/>
  <c r="U6131" i="1" s="1"/>
  <c r="C6130" i="1"/>
  <c r="U6130" i="1" s="1"/>
  <c r="C6129" i="1"/>
  <c r="U6129" i="1" s="1"/>
  <c r="C6128" i="1"/>
  <c r="U6128" i="1" s="1"/>
  <c r="C6127" i="1"/>
  <c r="U6127" i="1" s="1"/>
  <c r="C6126" i="1"/>
  <c r="U6126" i="1" s="1"/>
  <c r="C6125" i="1"/>
  <c r="U6125" i="1" s="1"/>
  <c r="C6124" i="1"/>
  <c r="U6124" i="1" s="1"/>
  <c r="C6123" i="1"/>
  <c r="U6123" i="1" s="1"/>
  <c r="C6122" i="1"/>
  <c r="U6122" i="1" s="1"/>
  <c r="C6121" i="1"/>
  <c r="U6121" i="1" s="1"/>
  <c r="W6121" i="1" s="1"/>
  <c r="C6120" i="1"/>
  <c r="U6120" i="1" s="1"/>
  <c r="C6119" i="1"/>
  <c r="U6119" i="1" s="1"/>
  <c r="U6118" i="1"/>
  <c r="C6118" i="1"/>
  <c r="C6117" i="1"/>
  <c r="U6117" i="1" s="1"/>
  <c r="C6116" i="1"/>
  <c r="U6116" i="1" s="1"/>
  <c r="C6115" i="1"/>
  <c r="U6115" i="1" s="1"/>
  <c r="C6114" i="1"/>
  <c r="U6114" i="1" s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C6107" i="1"/>
  <c r="U6107" i="1" s="1"/>
  <c r="C6106" i="1"/>
  <c r="U6106" i="1" s="1"/>
  <c r="C6105" i="1"/>
  <c r="U6105" i="1" s="1"/>
  <c r="W6105" i="1" s="1"/>
  <c r="C6104" i="1"/>
  <c r="U6104" i="1" s="1"/>
  <c r="C6103" i="1"/>
  <c r="U6103" i="1" s="1"/>
  <c r="U6102" i="1"/>
  <c r="C6102" i="1"/>
  <c r="C6101" i="1"/>
  <c r="U6101" i="1" s="1"/>
  <c r="C6100" i="1"/>
  <c r="U6100" i="1" s="1"/>
  <c r="C6099" i="1"/>
  <c r="U6099" i="1" s="1"/>
  <c r="C6098" i="1"/>
  <c r="U6098" i="1" s="1"/>
  <c r="C6097" i="1"/>
  <c r="U6097" i="1" s="1"/>
  <c r="C6096" i="1"/>
  <c r="U6096" i="1" s="1"/>
  <c r="C6095" i="1"/>
  <c r="U6095" i="1" s="1"/>
  <c r="C6094" i="1"/>
  <c r="U6094" i="1" s="1"/>
  <c r="C6093" i="1"/>
  <c r="U6093" i="1" s="1"/>
  <c r="C6092" i="1"/>
  <c r="U6092" i="1" s="1"/>
  <c r="C6091" i="1"/>
  <c r="U6091" i="1" s="1"/>
  <c r="C6090" i="1"/>
  <c r="U6090" i="1" s="1"/>
  <c r="C6089" i="1"/>
  <c r="U6089" i="1" s="1"/>
  <c r="C6088" i="1"/>
  <c r="U6088" i="1" s="1"/>
  <c r="C6087" i="1"/>
  <c r="U6087" i="1" s="1"/>
  <c r="U6086" i="1"/>
  <c r="C6086" i="1"/>
  <c r="C6085" i="1"/>
  <c r="U6085" i="1" s="1"/>
  <c r="C6084" i="1"/>
  <c r="U6084" i="1" s="1"/>
  <c r="C6083" i="1"/>
  <c r="U6083" i="1" s="1"/>
  <c r="C6082" i="1"/>
  <c r="U6082" i="1" s="1"/>
  <c r="C6081" i="1"/>
  <c r="U6081" i="1" s="1"/>
  <c r="C6080" i="1"/>
  <c r="U6080" i="1" s="1"/>
  <c r="C6079" i="1"/>
  <c r="U6079" i="1" s="1"/>
  <c r="C6078" i="1"/>
  <c r="U6078" i="1" s="1"/>
  <c r="C6077" i="1"/>
  <c r="U6077" i="1" s="1"/>
  <c r="C6076" i="1"/>
  <c r="U6076" i="1" s="1"/>
  <c r="C6075" i="1"/>
  <c r="U6075" i="1" s="1"/>
  <c r="C6074" i="1"/>
  <c r="U6074" i="1" s="1"/>
  <c r="C6073" i="1"/>
  <c r="U6073" i="1" s="1"/>
  <c r="C6072" i="1"/>
  <c r="U6072" i="1" s="1"/>
  <c r="C6071" i="1"/>
  <c r="U6071" i="1" s="1"/>
  <c r="U6070" i="1"/>
  <c r="C6070" i="1"/>
  <c r="C6069" i="1"/>
  <c r="U6069" i="1" s="1"/>
  <c r="C6068" i="1"/>
  <c r="U6068" i="1" s="1"/>
  <c r="C6067" i="1"/>
  <c r="U6067" i="1" s="1"/>
  <c r="C6066" i="1"/>
  <c r="U6066" i="1" s="1"/>
  <c r="C6065" i="1"/>
  <c r="U6065" i="1" s="1"/>
  <c r="C6064" i="1"/>
  <c r="U6064" i="1" s="1"/>
  <c r="C6063" i="1"/>
  <c r="U6063" i="1" s="1"/>
  <c r="C6062" i="1"/>
  <c r="U6062" i="1" s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C6055" i="1"/>
  <c r="U6055" i="1" s="1"/>
  <c r="U6054" i="1"/>
  <c r="C6054" i="1"/>
  <c r="C6053" i="1"/>
  <c r="U6053" i="1" s="1"/>
  <c r="C6052" i="1"/>
  <c r="U6052" i="1" s="1"/>
  <c r="C6051" i="1"/>
  <c r="U6051" i="1" s="1"/>
  <c r="C6050" i="1"/>
  <c r="U6050" i="1" s="1"/>
  <c r="C6049" i="1"/>
  <c r="U6049" i="1" s="1"/>
  <c r="C6048" i="1"/>
  <c r="U6048" i="1" s="1"/>
  <c r="C6047" i="1"/>
  <c r="U6047" i="1" s="1"/>
  <c r="C6046" i="1"/>
  <c r="U6046" i="1" s="1"/>
  <c r="C6045" i="1"/>
  <c r="U6045" i="1" s="1"/>
  <c r="C6044" i="1"/>
  <c r="U6044" i="1" s="1"/>
  <c r="C6043" i="1"/>
  <c r="U6043" i="1" s="1"/>
  <c r="C6042" i="1"/>
  <c r="U6042" i="1" s="1"/>
  <c r="C6041" i="1"/>
  <c r="U6041" i="1" s="1"/>
  <c r="C6040" i="1"/>
  <c r="U6040" i="1" s="1"/>
  <c r="C6039" i="1"/>
  <c r="U6039" i="1" s="1"/>
  <c r="U6038" i="1"/>
  <c r="C6038" i="1"/>
  <c r="C6037" i="1"/>
  <c r="U6037" i="1" s="1"/>
  <c r="C6036" i="1"/>
  <c r="U6036" i="1" s="1"/>
  <c r="C6035" i="1"/>
  <c r="U6035" i="1" s="1"/>
  <c r="C6034" i="1"/>
  <c r="U6034" i="1" s="1"/>
  <c r="C6033" i="1"/>
  <c r="U6033" i="1" s="1"/>
  <c r="C6032" i="1"/>
  <c r="U6032" i="1" s="1"/>
  <c r="C6031" i="1"/>
  <c r="U6031" i="1" s="1"/>
  <c r="C6030" i="1"/>
  <c r="U6030" i="1" s="1"/>
  <c r="C6029" i="1"/>
  <c r="U6029" i="1" s="1"/>
  <c r="C6028" i="1"/>
  <c r="U6028" i="1" s="1"/>
  <c r="C6027" i="1"/>
  <c r="U6027" i="1" s="1"/>
  <c r="C6026" i="1"/>
  <c r="U6026" i="1" s="1"/>
  <c r="C6025" i="1"/>
  <c r="U6025" i="1" s="1"/>
  <c r="C6024" i="1"/>
  <c r="U6024" i="1" s="1"/>
  <c r="C6023" i="1"/>
  <c r="U6023" i="1" s="1"/>
  <c r="U6022" i="1"/>
  <c r="C6022" i="1"/>
  <c r="C6021" i="1"/>
  <c r="U6021" i="1" s="1"/>
  <c r="C6020" i="1"/>
  <c r="U6020" i="1" s="1"/>
  <c r="C6019" i="1"/>
  <c r="U6019" i="1" s="1"/>
  <c r="C6018" i="1"/>
  <c r="U6018" i="1" s="1"/>
  <c r="C6017" i="1"/>
  <c r="U6017" i="1" s="1"/>
  <c r="C6016" i="1"/>
  <c r="U6016" i="1" s="1"/>
  <c r="C6015" i="1"/>
  <c r="U6015" i="1" s="1"/>
  <c r="C6014" i="1"/>
  <c r="U6014" i="1" s="1"/>
  <c r="C6013" i="1"/>
  <c r="U6013" i="1" s="1"/>
  <c r="C6012" i="1"/>
  <c r="U6012" i="1" s="1"/>
  <c r="C6011" i="1"/>
  <c r="U6011" i="1" s="1"/>
  <c r="C6010" i="1"/>
  <c r="U6010" i="1" s="1"/>
  <c r="C6009" i="1"/>
  <c r="U6009" i="1" s="1"/>
  <c r="U6008" i="1"/>
  <c r="C6008" i="1"/>
  <c r="C6007" i="1"/>
  <c r="U6007" i="1" s="1"/>
  <c r="U6006" i="1"/>
  <c r="C6006" i="1"/>
  <c r="C6005" i="1"/>
  <c r="U6005" i="1" s="1"/>
  <c r="C6004" i="1"/>
  <c r="U6004" i="1" s="1"/>
  <c r="C6003" i="1"/>
  <c r="U6003" i="1" s="1"/>
  <c r="C6002" i="1"/>
  <c r="U6002" i="1" s="1"/>
  <c r="C6001" i="1"/>
  <c r="U6001" i="1" s="1"/>
  <c r="C6000" i="1"/>
  <c r="U6000" i="1" s="1"/>
  <c r="C5999" i="1"/>
  <c r="U5999" i="1" s="1"/>
  <c r="C5998" i="1"/>
  <c r="U5998" i="1" s="1"/>
  <c r="C5997" i="1"/>
  <c r="U5997" i="1" s="1"/>
  <c r="C5996" i="1"/>
  <c r="U5996" i="1" s="1"/>
  <c r="C5995" i="1"/>
  <c r="U5995" i="1" s="1"/>
  <c r="C5994" i="1"/>
  <c r="U5994" i="1" s="1"/>
  <c r="C5993" i="1"/>
  <c r="U5993" i="1" s="1"/>
  <c r="C5992" i="1"/>
  <c r="U5992" i="1" s="1"/>
  <c r="C5991" i="1"/>
  <c r="U5991" i="1" s="1"/>
  <c r="U5990" i="1"/>
  <c r="C5990" i="1"/>
  <c r="C5989" i="1"/>
  <c r="U5989" i="1" s="1"/>
  <c r="C5988" i="1"/>
  <c r="U5988" i="1" s="1"/>
  <c r="C5987" i="1"/>
  <c r="U5987" i="1" s="1"/>
  <c r="C5986" i="1"/>
  <c r="U5986" i="1" s="1"/>
  <c r="C5985" i="1"/>
  <c r="U5985" i="1" s="1"/>
  <c r="C5984" i="1"/>
  <c r="U5984" i="1" s="1"/>
  <c r="C5983" i="1"/>
  <c r="U5983" i="1" s="1"/>
  <c r="C5982" i="1"/>
  <c r="U5982" i="1" s="1"/>
  <c r="C5981" i="1"/>
  <c r="U5981" i="1" s="1"/>
  <c r="C5980" i="1"/>
  <c r="U5980" i="1" s="1"/>
  <c r="C5979" i="1"/>
  <c r="U5979" i="1" s="1"/>
  <c r="C5978" i="1"/>
  <c r="U5978" i="1" s="1"/>
  <c r="C5977" i="1"/>
  <c r="U5977" i="1" s="1"/>
  <c r="U5976" i="1"/>
  <c r="C5976" i="1"/>
  <c r="C5975" i="1"/>
  <c r="U5975" i="1" s="1"/>
  <c r="U5974" i="1"/>
  <c r="C5974" i="1"/>
  <c r="C5973" i="1"/>
  <c r="U5973" i="1" s="1"/>
  <c r="C5972" i="1"/>
  <c r="U5972" i="1" s="1"/>
  <c r="C5971" i="1"/>
  <c r="U5971" i="1" s="1"/>
  <c r="C5970" i="1"/>
  <c r="U5970" i="1" s="1"/>
  <c r="C5969" i="1"/>
  <c r="U5969" i="1" s="1"/>
  <c r="C5968" i="1"/>
  <c r="U5968" i="1" s="1"/>
  <c r="C5967" i="1"/>
  <c r="U5967" i="1" s="1"/>
  <c r="C5966" i="1"/>
  <c r="U5966" i="1" s="1"/>
  <c r="C5965" i="1"/>
  <c r="U5965" i="1" s="1"/>
  <c r="C5964" i="1"/>
  <c r="U5964" i="1" s="1"/>
  <c r="C5963" i="1"/>
  <c r="U5963" i="1" s="1"/>
  <c r="C5962" i="1"/>
  <c r="U5962" i="1" s="1"/>
  <c r="C5961" i="1"/>
  <c r="U5961" i="1" s="1"/>
  <c r="U5960" i="1"/>
  <c r="C5960" i="1"/>
  <c r="C5959" i="1"/>
  <c r="U5959" i="1" s="1"/>
  <c r="U5958" i="1"/>
  <c r="C5958" i="1"/>
  <c r="C5957" i="1"/>
  <c r="U5957" i="1" s="1"/>
  <c r="C5956" i="1"/>
  <c r="U5956" i="1" s="1"/>
  <c r="C5955" i="1"/>
  <c r="U5955" i="1" s="1"/>
  <c r="C5954" i="1"/>
  <c r="U5954" i="1" s="1"/>
  <c r="C5953" i="1"/>
  <c r="U5953" i="1" s="1"/>
  <c r="C5952" i="1"/>
  <c r="U5952" i="1" s="1"/>
  <c r="C5951" i="1"/>
  <c r="U5951" i="1" s="1"/>
  <c r="C5950" i="1"/>
  <c r="U5950" i="1" s="1"/>
  <c r="C5949" i="1"/>
  <c r="U5949" i="1" s="1"/>
  <c r="C5948" i="1"/>
  <c r="U5948" i="1" s="1"/>
  <c r="C5947" i="1"/>
  <c r="U5947" i="1" s="1"/>
  <c r="C5946" i="1"/>
  <c r="U5946" i="1" s="1"/>
  <c r="C5945" i="1"/>
  <c r="U5945" i="1" s="1"/>
  <c r="C5944" i="1"/>
  <c r="U5944" i="1" s="1"/>
  <c r="C5943" i="1"/>
  <c r="U5943" i="1" s="1"/>
  <c r="U5942" i="1"/>
  <c r="C5942" i="1"/>
  <c r="C5941" i="1"/>
  <c r="U5941" i="1" s="1"/>
  <c r="C5940" i="1"/>
  <c r="U5940" i="1" s="1"/>
  <c r="C5939" i="1"/>
  <c r="U5939" i="1" s="1"/>
  <c r="C5938" i="1"/>
  <c r="U5938" i="1" s="1"/>
  <c r="C5937" i="1"/>
  <c r="U5937" i="1" s="1"/>
  <c r="C5936" i="1"/>
  <c r="U5936" i="1" s="1"/>
  <c r="C5935" i="1"/>
  <c r="U5935" i="1" s="1"/>
  <c r="C5934" i="1"/>
  <c r="U5934" i="1" s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C5927" i="1"/>
  <c r="U5927" i="1" s="1"/>
  <c r="U5926" i="1"/>
  <c r="C5926" i="1"/>
  <c r="C5925" i="1"/>
  <c r="U5925" i="1" s="1"/>
  <c r="C5924" i="1"/>
  <c r="U5924" i="1" s="1"/>
  <c r="C5923" i="1"/>
  <c r="U5923" i="1" s="1"/>
  <c r="C5922" i="1"/>
  <c r="U5922" i="1" s="1"/>
  <c r="C5921" i="1"/>
  <c r="U5921" i="1" s="1"/>
  <c r="C5920" i="1"/>
  <c r="U5920" i="1" s="1"/>
  <c r="C5919" i="1"/>
  <c r="U5919" i="1" s="1"/>
  <c r="C5918" i="1"/>
  <c r="U5918" i="1" s="1"/>
  <c r="C5917" i="1"/>
  <c r="U5917" i="1" s="1"/>
  <c r="C5916" i="1"/>
  <c r="U5916" i="1" s="1"/>
  <c r="C5915" i="1"/>
  <c r="U5915" i="1" s="1"/>
  <c r="C5914" i="1"/>
  <c r="U5914" i="1" s="1"/>
  <c r="C5913" i="1"/>
  <c r="U5913" i="1" s="1"/>
  <c r="C5912" i="1"/>
  <c r="U5912" i="1" s="1"/>
  <c r="C5911" i="1"/>
  <c r="U5911" i="1" s="1"/>
  <c r="U5910" i="1"/>
  <c r="C5910" i="1"/>
  <c r="C5909" i="1"/>
  <c r="U5909" i="1" s="1"/>
  <c r="C5908" i="1"/>
  <c r="U5908" i="1" s="1"/>
  <c r="C5907" i="1"/>
  <c r="U5907" i="1" s="1"/>
  <c r="C5906" i="1"/>
  <c r="U5906" i="1" s="1"/>
  <c r="C5905" i="1"/>
  <c r="U5905" i="1" s="1"/>
  <c r="C5904" i="1"/>
  <c r="U5904" i="1" s="1"/>
  <c r="C5903" i="1"/>
  <c r="U5903" i="1" s="1"/>
  <c r="C5902" i="1"/>
  <c r="U5902" i="1" s="1"/>
  <c r="C5901" i="1"/>
  <c r="U5901" i="1" s="1"/>
  <c r="C5900" i="1"/>
  <c r="U5900" i="1" s="1"/>
  <c r="C5899" i="1"/>
  <c r="U5899" i="1" s="1"/>
  <c r="U5898" i="1"/>
  <c r="C5898" i="1"/>
  <c r="C5897" i="1"/>
  <c r="U5897" i="1" s="1"/>
  <c r="C5896" i="1"/>
  <c r="U5896" i="1" s="1"/>
  <c r="C5895" i="1"/>
  <c r="U5895" i="1" s="1"/>
  <c r="C5894" i="1"/>
  <c r="U5894" i="1" s="1"/>
  <c r="C5893" i="1"/>
  <c r="U5893" i="1" s="1"/>
  <c r="C5892" i="1"/>
  <c r="U5892" i="1" s="1"/>
  <c r="C5891" i="1"/>
  <c r="U5891" i="1" s="1"/>
  <c r="U5890" i="1"/>
  <c r="C5890" i="1"/>
  <c r="C5889" i="1"/>
  <c r="U5889" i="1" s="1"/>
  <c r="C5888" i="1"/>
  <c r="U5888" i="1" s="1"/>
  <c r="C5887" i="1"/>
  <c r="U5887" i="1" s="1"/>
  <c r="C5886" i="1"/>
  <c r="U5886" i="1" s="1"/>
  <c r="C5885" i="1"/>
  <c r="U5885" i="1" s="1"/>
  <c r="C5884" i="1"/>
  <c r="U5884" i="1" s="1"/>
  <c r="C5883" i="1"/>
  <c r="U5883" i="1" s="1"/>
  <c r="U5882" i="1"/>
  <c r="C5882" i="1"/>
  <c r="C5881" i="1"/>
  <c r="U5881" i="1" s="1"/>
  <c r="C5880" i="1"/>
  <c r="U5880" i="1" s="1"/>
  <c r="C5879" i="1"/>
  <c r="U5879" i="1" s="1"/>
  <c r="C5878" i="1"/>
  <c r="U5878" i="1" s="1"/>
  <c r="C5877" i="1"/>
  <c r="U5877" i="1" s="1"/>
  <c r="C5876" i="1"/>
  <c r="U5876" i="1" s="1"/>
  <c r="C5875" i="1"/>
  <c r="U5875" i="1" s="1"/>
  <c r="U5874" i="1"/>
  <c r="C5874" i="1"/>
  <c r="C5873" i="1"/>
  <c r="U5873" i="1" s="1"/>
  <c r="C5872" i="1"/>
  <c r="U5872" i="1" s="1"/>
  <c r="C5871" i="1"/>
  <c r="U5871" i="1" s="1"/>
  <c r="C5870" i="1"/>
  <c r="U5870" i="1" s="1"/>
  <c r="C5869" i="1"/>
  <c r="U5869" i="1" s="1"/>
  <c r="C5868" i="1"/>
  <c r="U5868" i="1" s="1"/>
  <c r="C5867" i="1"/>
  <c r="U5867" i="1" s="1"/>
  <c r="U5866" i="1"/>
  <c r="C5866" i="1"/>
  <c r="C5865" i="1"/>
  <c r="U5865" i="1" s="1"/>
  <c r="C5864" i="1"/>
  <c r="U5864" i="1" s="1"/>
  <c r="C5863" i="1"/>
  <c r="U5863" i="1" s="1"/>
  <c r="C5862" i="1"/>
  <c r="U5862" i="1" s="1"/>
  <c r="C5861" i="1"/>
  <c r="U5861" i="1" s="1"/>
  <c r="C5860" i="1"/>
  <c r="U5860" i="1" s="1"/>
  <c r="C5859" i="1"/>
  <c r="U5859" i="1" s="1"/>
  <c r="U5858" i="1"/>
  <c r="C5858" i="1"/>
  <c r="C5857" i="1"/>
  <c r="U5857" i="1" s="1"/>
  <c r="C5856" i="1"/>
  <c r="U5856" i="1" s="1"/>
  <c r="C5855" i="1"/>
  <c r="U5855" i="1" s="1"/>
  <c r="C5854" i="1"/>
  <c r="U5854" i="1" s="1"/>
  <c r="C5853" i="1"/>
  <c r="U5853" i="1" s="1"/>
  <c r="C5852" i="1"/>
  <c r="U5852" i="1" s="1"/>
  <c r="C5851" i="1"/>
  <c r="U5851" i="1" s="1"/>
  <c r="U5850" i="1"/>
  <c r="C5850" i="1"/>
  <c r="C5849" i="1"/>
  <c r="U5849" i="1" s="1"/>
  <c r="C5848" i="1"/>
  <c r="U5848" i="1" s="1"/>
  <c r="C5847" i="1"/>
  <c r="U5847" i="1" s="1"/>
  <c r="C5846" i="1"/>
  <c r="U5846" i="1" s="1"/>
  <c r="C5845" i="1"/>
  <c r="U5845" i="1" s="1"/>
  <c r="C5844" i="1"/>
  <c r="U5844" i="1" s="1"/>
  <c r="C5843" i="1"/>
  <c r="U5843" i="1" s="1"/>
  <c r="U5842" i="1"/>
  <c r="C5842" i="1"/>
  <c r="C5841" i="1"/>
  <c r="U5841" i="1" s="1"/>
  <c r="C5840" i="1"/>
  <c r="U5840" i="1" s="1"/>
  <c r="C5839" i="1"/>
  <c r="U5839" i="1" s="1"/>
  <c r="C5838" i="1"/>
  <c r="U5838" i="1" s="1"/>
  <c r="C5837" i="1"/>
  <c r="U5837" i="1" s="1"/>
  <c r="C5836" i="1"/>
  <c r="U5836" i="1" s="1"/>
  <c r="C5835" i="1"/>
  <c r="U5835" i="1" s="1"/>
  <c r="U5834" i="1"/>
  <c r="C5834" i="1"/>
  <c r="C5833" i="1"/>
  <c r="U5833" i="1" s="1"/>
  <c r="C5832" i="1"/>
  <c r="U5832" i="1" s="1"/>
  <c r="C5831" i="1"/>
  <c r="U5831" i="1" s="1"/>
  <c r="C5830" i="1"/>
  <c r="U5830" i="1" s="1"/>
  <c r="C5829" i="1"/>
  <c r="U5829" i="1" s="1"/>
  <c r="C5828" i="1"/>
  <c r="U5828" i="1" s="1"/>
  <c r="C5827" i="1"/>
  <c r="U5827" i="1" s="1"/>
  <c r="U5826" i="1"/>
  <c r="C5826" i="1"/>
  <c r="C5825" i="1"/>
  <c r="U5825" i="1" s="1"/>
  <c r="C5824" i="1"/>
  <c r="U5824" i="1" s="1"/>
  <c r="C5823" i="1"/>
  <c r="U5823" i="1" s="1"/>
  <c r="C5822" i="1"/>
  <c r="U5822" i="1" s="1"/>
  <c r="C5821" i="1"/>
  <c r="U5821" i="1" s="1"/>
  <c r="C5820" i="1"/>
  <c r="U5820" i="1" s="1"/>
  <c r="C5819" i="1"/>
  <c r="U5819" i="1" s="1"/>
  <c r="U5818" i="1"/>
  <c r="C5818" i="1"/>
  <c r="C5817" i="1"/>
  <c r="U5817" i="1" s="1"/>
  <c r="C5816" i="1"/>
  <c r="U5816" i="1" s="1"/>
  <c r="C5815" i="1"/>
  <c r="U5815" i="1" s="1"/>
  <c r="C5814" i="1"/>
  <c r="U5814" i="1" s="1"/>
  <c r="C5813" i="1"/>
  <c r="U5813" i="1" s="1"/>
  <c r="C5812" i="1"/>
  <c r="U5812" i="1" s="1"/>
  <c r="C5811" i="1"/>
  <c r="U5811" i="1" s="1"/>
  <c r="U5810" i="1"/>
  <c r="C5810" i="1"/>
  <c r="C5809" i="1"/>
  <c r="U5809" i="1" s="1"/>
  <c r="C5808" i="1"/>
  <c r="U5808" i="1" s="1"/>
  <c r="C5807" i="1"/>
  <c r="U5807" i="1" s="1"/>
  <c r="C5806" i="1"/>
  <c r="U5806" i="1" s="1"/>
  <c r="C5805" i="1"/>
  <c r="U5805" i="1" s="1"/>
  <c r="U5804" i="1"/>
  <c r="C5804" i="1"/>
  <c r="C5803" i="1"/>
  <c r="U5803" i="1" s="1"/>
  <c r="U5802" i="1"/>
  <c r="C5802" i="1"/>
  <c r="C5801" i="1"/>
  <c r="U5801" i="1" s="1"/>
  <c r="C5800" i="1"/>
  <c r="U5800" i="1" s="1"/>
  <c r="C5799" i="1"/>
  <c r="U5799" i="1" s="1"/>
  <c r="C5798" i="1"/>
  <c r="U5798" i="1" s="1"/>
  <c r="C5797" i="1"/>
  <c r="U5797" i="1" s="1"/>
  <c r="U5796" i="1"/>
  <c r="C5796" i="1"/>
  <c r="C5795" i="1"/>
  <c r="U5795" i="1" s="1"/>
  <c r="U5794" i="1"/>
  <c r="C5794" i="1"/>
  <c r="C5793" i="1"/>
  <c r="U5793" i="1" s="1"/>
  <c r="C5792" i="1"/>
  <c r="U5792" i="1" s="1"/>
  <c r="C5791" i="1"/>
  <c r="U5791" i="1" s="1"/>
  <c r="C5790" i="1"/>
  <c r="U5790" i="1" s="1"/>
  <c r="C5789" i="1"/>
  <c r="U5789" i="1" s="1"/>
  <c r="U5788" i="1"/>
  <c r="C5788" i="1"/>
  <c r="C5787" i="1"/>
  <c r="U5787" i="1" s="1"/>
  <c r="U5786" i="1"/>
  <c r="C5786" i="1"/>
  <c r="C5785" i="1"/>
  <c r="U5785" i="1" s="1"/>
  <c r="C5784" i="1"/>
  <c r="U5784" i="1" s="1"/>
  <c r="C5783" i="1"/>
  <c r="U5783" i="1" s="1"/>
  <c r="C5782" i="1"/>
  <c r="U5782" i="1" s="1"/>
  <c r="C5781" i="1"/>
  <c r="U5781" i="1" s="1"/>
  <c r="C5780" i="1"/>
  <c r="U5780" i="1" s="1"/>
  <c r="C5779" i="1"/>
  <c r="U5779" i="1" s="1"/>
  <c r="U5778" i="1"/>
  <c r="C5778" i="1"/>
  <c r="C5777" i="1"/>
  <c r="U5777" i="1" s="1"/>
  <c r="C5776" i="1"/>
  <c r="U5776" i="1" s="1"/>
  <c r="C5775" i="1"/>
  <c r="U5775" i="1" s="1"/>
  <c r="C5774" i="1"/>
  <c r="U5774" i="1" s="1"/>
  <c r="C5773" i="1"/>
  <c r="U5773" i="1" s="1"/>
  <c r="C5772" i="1"/>
  <c r="U5772" i="1" s="1"/>
  <c r="C5771" i="1"/>
  <c r="U5771" i="1" s="1"/>
  <c r="U5770" i="1"/>
  <c r="C5770" i="1"/>
  <c r="C5769" i="1"/>
  <c r="U5769" i="1" s="1"/>
  <c r="C5768" i="1"/>
  <c r="U5768" i="1" s="1"/>
  <c r="C5767" i="1"/>
  <c r="U5767" i="1" s="1"/>
  <c r="C5766" i="1"/>
  <c r="U5766" i="1" s="1"/>
  <c r="C5765" i="1"/>
  <c r="U5765" i="1" s="1"/>
  <c r="U5764" i="1"/>
  <c r="C5764" i="1"/>
  <c r="C5763" i="1"/>
  <c r="U5763" i="1" s="1"/>
  <c r="U5762" i="1"/>
  <c r="C5762" i="1"/>
  <c r="C5761" i="1"/>
  <c r="U5761" i="1" s="1"/>
  <c r="C5760" i="1"/>
  <c r="U5760" i="1" s="1"/>
  <c r="C5759" i="1"/>
  <c r="U5759" i="1" s="1"/>
  <c r="C5758" i="1"/>
  <c r="U5758" i="1" s="1"/>
  <c r="C5757" i="1"/>
  <c r="U5757" i="1" s="1"/>
  <c r="U5756" i="1"/>
  <c r="C5756" i="1"/>
  <c r="C5755" i="1"/>
  <c r="U5755" i="1" s="1"/>
  <c r="U5754" i="1"/>
  <c r="C5754" i="1"/>
  <c r="C5753" i="1"/>
  <c r="U5753" i="1" s="1"/>
  <c r="C5752" i="1"/>
  <c r="U5752" i="1" s="1"/>
  <c r="C5751" i="1"/>
  <c r="U5751" i="1" s="1"/>
  <c r="C5750" i="1"/>
  <c r="U5750" i="1" s="1"/>
  <c r="C5749" i="1"/>
  <c r="U5749" i="1" s="1"/>
  <c r="C5748" i="1"/>
  <c r="U5748" i="1" s="1"/>
  <c r="C5747" i="1"/>
  <c r="U5747" i="1" s="1"/>
  <c r="U5746" i="1"/>
  <c r="C5746" i="1"/>
  <c r="C5745" i="1"/>
  <c r="U5745" i="1" s="1"/>
  <c r="C5744" i="1"/>
  <c r="U5744" i="1" s="1"/>
  <c r="C5743" i="1"/>
  <c r="U5743" i="1" s="1"/>
  <c r="C5742" i="1"/>
  <c r="U5742" i="1" s="1"/>
  <c r="C5741" i="1"/>
  <c r="U5741" i="1" s="1"/>
  <c r="C5740" i="1"/>
  <c r="U5740" i="1" s="1"/>
  <c r="C5739" i="1"/>
  <c r="U5739" i="1" s="1"/>
  <c r="U5738" i="1"/>
  <c r="C5738" i="1"/>
  <c r="C5737" i="1"/>
  <c r="U5737" i="1" s="1"/>
  <c r="C5736" i="1"/>
  <c r="U5736" i="1" s="1"/>
  <c r="C5735" i="1"/>
  <c r="U5735" i="1" s="1"/>
  <c r="C5734" i="1"/>
  <c r="U5734" i="1" s="1"/>
  <c r="C5733" i="1"/>
  <c r="U5733" i="1" s="1"/>
  <c r="C5732" i="1"/>
  <c r="U5732" i="1" s="1"/>
  <c r="C5731" i="1"/>
  <c r="U5731" i="1" s="1"/>
  <c r="U5730" i="1"/>
  <c r="C5730" i="1"/>
  <c r="C5729" i="1"/>
  <c r="U5729" i="1" s="1"/>
  <c r="C5728" i="1"/>
  <c r="U5728" i="1" s="1"/>
  <c r="C5727" i="1"/>
  <c r="U5727" i="1" s="1"/>
  <c r="C5726" i="1"/>
  <c r="U5726" i="1" s="1"/>
  <c r="C5725" i="1"/>
  <c r="U5725" i="1" s="1"/>
  <c r="C5724" i="1"/>
  <c r="U5724" i="1" s="1"/>
  <c r="C5723" i="1"/>
  <c r="U5723" i="1" s="1"/>
  <c r="U5722" i="1"/>
  <c r="C5722" i="1"/>
  <c r="C5721" i="1"/>
  <c r="U5721" i="1" s="1"/>
  <c r="C5720" i="1"/>
  <c r="U5720" i="1" s="1"/>
  <c r="C5719" i="1"/>
  <c r="U5719" i="1" s="1"/>
  <c r="C5718" i="1"/>
  <c r="U5718" i="1" s="1"/>
  <c r="C5717" i="1"/>
  <c r="U5717" i="1" s="1"/>
  <c r="C5716" i="1"/>
  <c r="U5716" i="1" s="1"/>
  <c r="C5715" i="1"/>
  <c r="U5715" i="1" s="1"/>
  <c r="U5714" i="1"/>
  <c r="C5714" i="1"/>
  <c r="C5713" i="1"/>
  <c r="U5713" i="1" s="1"/>
  <c r="C5712" i="1"/>
  <c r="U5712" i="1" s="1"/>
  <c r="C5711" i="1"/>
  <c r="U5711" i="1" s="1"/>
  <c r="C5710" i="1"/>
  <c r="U5710" i="1" s="1"/>
  <c r="C5709" i="1"/>
  <c r="U5709" i="1" s="1"/>
  <c r="C5708" i="1"/>
  <c r="U5708" i="1" s="1"/>
  <c r="C5707" i="1"/>
  <c r="U5707" i="1" s="1"/>
  <c r="U5706" i="1"/>
  <c r="C5706" i="1"/>
  <c r="C5705" i="1"/>
  <c r="U5705" i="1" s="1"/>
  <c r="C5704" i="1"/>
  <c r="U5704" i="1" s="1"/>
  <c r="C5703" i="1"/>
  <c r="U5703" i="1" s="1"/>
  <c r="C5702" i="1"/>
  <c r="U5702" i="1" s="1"/>
  <c r="C5701" i="1"/>
  <c r="U5701" i="1" s="1"/>
  <c r="C5700" i="1"/>
  <c r="U5700" i="1" s="1"/>
  <c r="C5699" i="1"/>
  <c r="U5699" i="1" s="1"/>
  <c r="U5698" i="1"/>
  <c r="C5698" i="1"/>
  <c r="C5697" i="1"/>
  <c r="U5697" i="1" s="1"/>
  <c r="C5696" i="1"/>
  <c r="U5696" i="1" s="1"/>
  <c r="C5695" i="1"/>
  <c r="U5695" i="1" s="1"/>
  <c r="C5694" i="1"/>
  <c r="U5694" i="1" s="1"/>
  <c r="C5693" i="1"/>
  <c r="U5693" i="1" s="1"/>
  <c r="C5692" i="1"/>
  <c r="U5692" i="1" s="1"/>
  <c r="C5691" i="1"/>
  <c r="U5691" i="1" s="1"/>
  <c r="U5690" i="1"/>
  <c r="C5690" i="1"/>
  <c r="C5689" i="1"/>
  <c r="U5689" i="1" s="1"/>
  <c r="C5688" i="1"/>
  <c r="U5688" i="1" s="1"/>
  <c r="C5687" i="1"/>
  <c r="U5687" i="1" s="1"/>
  <c r="C5686" i="1"/>
  <c r="U5686" i="1" s="1"/>
  <c r="C5685" i="1"/>
  <c r="U5685" i="1" s="1"/>
  <c r="U5684" i="1"/>
  <c r="C5684" i="1"/>
  <c r="C5683" i="1"/>
  <c r="U5683" i="1" s="1"/>
  <c r="U5682" i="1"/>
  <c r="C5682" i="1"/>
  <c r="C5681" i="1"/>
  <c r="U5681" i="1" s="1"/>
  <c r="C5680" i="1"/>
  <c r="U5680" i="1" s="1"/>
  <c r="C5679" i="1"/>
  <c r="U5679" i="1" s="1"/>
  <c r="C5678" i="1"/>
  <c r="U5678" i="1" s="1"/>
  <c r="C5677" i="1"/>
  <c r="U5677" i="1" s="1"/>
  <c r="C5676" i="1"/>
  <c r="U5676" i="1" s="1"/>
  <c r="C5675" i="1"/>
  <c r="U5675" i="1" s="1"/>
  <c r="U5674" i="1"/>
  <c r="C5674" i="1"/>
  <c r="C5673" i="1"/>
  <c r="U5673" i="1" s="1"/>
  <c r="C5672" i="1"/>
  <c r="U5672" i="1" s="1"/>
  <c r="C5671" i="1"/>
  <c r="U5671" i="1" s="1"/>
  <c r="C5670" i="1"/>
  <c r="U5670" i="1" s="1"/>
  <c r="C5669" i="1"/>
  <c r="U5669" i="1" s="1"/>
  <c r="C5668" i="1"/>
  <c r="U5668" i="1" s="1"/>
  <c r="C5667" i="1"/>
  <c r="U5667" i="1" s="1"/>
  <c r="U5666" i="1"/>
  <c r="C5666" i="1"/>
  <c r="C5665" i="1"/>
  <c r="U5665" i="1" s="1"/>
  <c r="C5664" i="1"/>
  <c r="U5664" i="1" s="1"/>
  <c r="C5663" i="1"/>
  <c r="U5663" i="1" s="1"/>
  <c r="C5662" i="1"/>
  <c r="U5662" i="1" s="1"/>
  <c r="C5661" i="1"/>
  <c r="U5661" i="1" s="1"/>
  <c r="C5660" i="1"/>
  <c r="U5660" i="1" s="1"/>
  <c r="C5659" i="1"/>
  <c r="U5659" i="1" s="1"/>
  <c r="U5658" i="1"/>
  <c r="C5658" i="1"/>
  <c r="C5657" i="1"/>
  <c r="U5657" i="1" s="1"/>
  <c r="C5656" i="1"/>
  <c r="U5656" i="1" s="1"/>
  <c r="C5655" i="1"/>
  <c r="U5655" i="1" s="1"/>
  <c r="C5654" i="1"/>
  <c r="U5654" i="1" s="1"/>
  <c r="C5653" i="1"/>
  <c r="U5653" i="1" s="1"/>
  <c r="C5652" i="1"/>
  <c r="U5652" i="1" s="1"/>
  <c r="C5651" i="1"/>
  <c r="U5651" i="1" s="1"/>
  <c r="U5650" i="1"/>
  <c r="C5650" i="1"/>
  <c r="C5649" i="1"/>
  <c r="U5649" i="1" s="1"/>
  <c r="C5648" i="1"/>
  <c r="U5648" i="1" s="1"/>
  <c r="C5647" i="1"/>
  <c r="U5647" i="1" s="1"/>
  <c r="C5646" i="1"/>
  <c r="U5646" i="1" s="1"/>
  <c r="C5645" i="1"/>
  <c r="U5645" i="1" s="1"/>
  <c r="C5644" i="1"/>
  <c r="U5644" i="1" s="1"/>
  <c r="C5643" i="1"/>
  <c r="U5643" i="1" s="1"/>
  <c r="U5642" i="1"/>
  <c r="C5642" i="1"/>
  <c r="C5641" i="1"/>
  <c r="U5641" i="1" s="1"/>
  <c r="C5640" i="1"/>
  <c r="U5640" i="1" s="1"/>
  <c r="C5639" i="1"/>
  <c r="U5639" i="1" s="1"/>
  <c r="C5638" i="1"/>
  <c r="U5638" i="1" s="1"/>
  <c r="C5637" i="1"/>
  <c r="U5637" i="1" s="1"/>
  <c r="C5636" i="1"/>
  <c r="U5636" i="1" s="1"/>
  <c r="C5635" i="1"/>
  <c r="U5635" i="1" s="1"/>
  <c r="U5634" i="1"/>
  <c r="C5634" i="1"/>
  <c r="C5633" i="1"/>
  <c r="U5633" i="1" s="1"/>
  <c r="C5632" i="1"/>
  <c r="U5632" i="1" s="1"/>
  <c r="C5631" i="1"/>
  <c r="U5631" i="1" s="1"/>
  <c r="C5630" i="1"/>
  <c r="U5630" i="1" s="1"/>
  <c r="C5629" i="1"/>
  <c r="U5629" i="1" s="1"/>
  <c r="C5628" i="1"/>
  <c r="U5628" i="1" s="1"/>
  <c r="C5627" i="1"/>
  <c r="U5627" i="1" s="1"/>
  <c r="U5626" i="1"/>
  <c r="C5626" i="1"/>
  <c r="C5625" i="1"/>
  <c r="U5625" i="1" s="1"/>
  <c r="C5624" i="1"/>
  <c r="U5624" i="1" s="1"/>
  <c r="C5623" i="1"/>
  <c r="U5623" i="1" s="1"/>
  <c r="C5622" i="1"/>
  <c r="U5622" i="1" s="1"/>
  <c r="C5621" i="1"/>
  <c r="U5621" i="1" s="1"/>
  <c r="C5620" i="1"/>
  <c r="U5620" i="1" s="1"/>
  <c r="C5619" i="1"/>
  <c r="U5619" i="1" s="1"/>
  <c r="U5618" i="1"/>
  <c r="C5618" i="1"/>
  <c r="C5617" i="1"/>
  <c r="U5617" i="1" s="1"/>
  <c r="C5616" i="1"/>
  <c r="U5616" i="1" s="1"/>
  <c r="C5615" i="1"/>
  <c r="U5615" i="1" s="1"/>
  <c r="C5614" i="1"/>
  <c r="U5614" i="1" s="1"/>
  <c r="C5613" i="1"/>
  <c r="U5613" i="1" s="1"/>
  <c r="C5612" i="1"/>
  <c r="U5612" i="1" s="1"/>
  <c r="C5611" i="1"/>
  <c r="U5611" i="1" s="1"/>
  <c r="U5610" i="1"/>
  <c r="C5610" i="1"/>
  <c r="C5609" i="1"/>
  <c r="U5609" i="1" s="1"/>
  <c r="C5608" i="1"/>
  <c r="U5608" i="1" s="1"/>
  <c r="C5607" i="1"/>
  <c r="U5607" i="1" s="1"/>
  <c r="C5606" i="1"/>
  <c r="U5606" i="1" s="1"/>
  <c r="C5605" i="1"/>
  <c r="U5605" i="1" s="1"/>
  <c r="C5604" i="1"/>
  <c r="U5604" i="1" s="1"/>
  <c r="C5603" i="1"/>
  <c r="U5603" i="1" s="1"/>
  <c r="U5602" i="1"/>
  <c r="C5602" i="1"/>
  <c r="C5601" i="1"/>
  <c r="U5601" i="1" s="1"/>
  <c r="C5600" i="1"/>
  <c r="U5600" i="1" s="1"/>
  <c r="C5599" i="1"/>
  <c r="U5599" i="1" s="1"/>
  <c r="C5598" i="1"/>
  <c r="U5598" i="1" s="1"/>
  <c r="C5597" i="1"/>
  <c r="U5597" i="1" s="1"/>
  <c r="C5596" i="1"/>
  <c r="U5596" i="1" s="1"/>
  <c r="C5595" i="1"/>
  <c r="U5595" i="1" s="1"/>
  <c r="U5594" i="1"/>
  <c r="C5594" i="1"/>
  <c r="C5593" i="1"/>
  <c r="U5593" i="1" s="1"/>
  <c r="C5592" i="1"/>
  <c r="U5592" i="1" s="1"/>
  <c r="C5591" i="1"/>
  <c r="U5591" i="1" s="1"/>
  <c r="C5590" i="1"/>
  <c r="U5590" i="1" s="1"/>
  <c r="C5589" i="1"/>
  <c r="U5589" i="1" s="1"/>
  <c r="C5588" i="1"/>
  <c r="U5588" i="1" s="1"/>
  <c r="C5587" i="1"/>
  <c r="U5587" i="1" s="1"/>
  <c r="U5586" i="1"/>
  <c r="C5586" i="1"/>
  <c r="C5585" i="1"/>
  <c r="U5585" i="1" s="1"/>
  <c r="C5584" i="1"/>
  <c r="U5584" i="1" s="1"/>
  <c r="C5583" i="1"/>
  <c r="U5583" i="1" s="1"/>
  <c r="C5582" i="1"/>
  <c r="U5582" i="1" s="1"/>
  <c r="C5581" i="1"/>
  <c r="U5581" i="1" s="1"/>
  <c r="C5580" i="1"/>
  <c r="U5580" i="1" s="1"/>
  <c r="C5579" i="1"/>
  <c r="U5579" i="1" s="1"/>
  <c r="U5578" i="1"/>
  <c r="C5578" i="1"/>
  <c r="C5577" i="1"/>
  <c r="U5577" i="1" s="1"/>
  <c r="C5576" i="1"/>
  <c r="U5576" i="1" s="1"/>
  <c r="C5575" i="1"/>
  <c r="U5575" i="1" s="1"/>
  <c r="C5574" i="1"/>
  <c r="U5574" i="1" s="1"/>
  <c r="C5573" i="1"/>
  <c r="U5573" i="1" s="1"/>
  <c r="C5572" i="1"/>
  <c r="U5572" i="1" s="1"/>
  <c r="C5571" i="1"/>
  <c r="U5571" i="1" s="1"/>
  <c r="U5570" i="1"/>
  <c r="C5570" i="1"/>
  <c r="C5569" i="1"/>
  <c r="U5569" i="1" s="1"/>
  <c r="C5568" i="1"/>
  <c r="U5568" i="1" s="1"/>
  <c r="C5567" i="1"/>
  <c r="U5567" i="1" s="1"/>
  <c r="C5566" i="1"/>
  <c r="U5566" i="1" s="1"/>
  <c r="C5565" i="1"/>
  <c r="U5565" i="1" s="1"/>
  <c r="C5564" i="1"/>
  <c r="U5564" i="1" s="1"/>
  <c r="C5563" i="1"/>
  <c r="U5563" i="1" s="1"/>
  <c r="U5562" i="1"/>
  <c r="C5562" i="1"/>
  <c r="C5561" i="1"/>
  <c r="U5561" i="1" s="1"/>
  <c r="C5560" i="1"/>
  <c r="U5560" i="1" s="1"/>
  <c r="C5559" i="1"/>
  <c r="U5559" i="1" s="1"/>
  <c r="C5558" i="1"/>
  <c r="U5558" i="1" s="1"/>
  <c r="C5557" i="1"/>
  <c r="U5557" i="1" s="1"/>
  <c r="C5556" i="1"/>
  <c r="U5556" i="1" s="1"/>
  <c r="C5555" i="1"/>
  <c r="U5555" i="1" s="1"/>
  <c r="U5554" i="1"/>
  <c r="C5554" i="1"/>
  <c r="C5553" i="1"/>
  <c r="U5553" i="1" s="1"/>
  <c r="C5552" i="1"/>
  <c r="U5552" i="1" s="1"/>
  <c r="C5551" i="1"/>
  <c r="U5551" i="1" s="1"/>
  <c r="C5550" i="1"/>
  <c r="U5550" i="1" s="1"/>
  <c r="C5549" i="1"/>
  <c r="U5549" i="1" s="1"/>
  <c r="C5548" i="1"/>
  <c r="U5548" i="1" s="1"/>
  <c r="C5547" i="1"/>
  <c r="U5547" i="1" s="1"/>
  <c r="U5546" i="1"/>
  <c r="C5546" i="1"/>
  <c r="C5545" i="1"/>
  <c r="U5545" i="1" s="1"/>
  <c r="C5544" i="1"/>
  <c r="U5544" i="1" s="1"/>
  <c r="C5543" i="1"/>
  <c r="U5543" i="1" s="1"/>
  <c r="C5542" i="1"/>
  <c r="U5542" i="1" s="1"/>
  <c r="C5541" i="1"/>
  <c r="U5541" i="1" s="1"/>
  <c r="C5540" i="1"/>
  <c r="U5540" i="1" s="1"/>
  <c r="C5539" i="1"/>
  <c r="U5539" i="1" s="1"/>
  <c r="U5538" i="1"/>
  <c r="C5538" i="1"/>
  <c r="C5537" i="1"/>
  <c r="U5537" i="1" s="1"/>
  <c r="C5536" i="1"/>
  <c r="U5536" i="1" s="1"/>
  <c r="C5535" i="1"/>
  <c r="U5535" i="1" s="1"/>
  <c r="C5534" i="1"/>
  <c r="U5534" i="1" s="1"/>
  <c r="C5533" i="1"/>
  <c r="U5533" i="1" s="1"/>
  <c r="C5532" i="1"/>
  <c r="U5532" i="1" s="1"/>
  <c r="C5531" i="1"/>
  <c r="U5531" i="1" s="1"/>
  <c r="U5530" i="1"/>
  <c r="C5530" i="1"/>
  <c r="C5529" i="1"/>
  <c r="U5529" i="1" s="1"/>
  <c r="C5528" i="1"/>
  <c r="U5528" i="1" s="1"/>
  <c r="C5527" i="1"/>
  <c r="U5527" i="1" s="1"/>
  <c r="C5526" i="1"/>
  <c r="U5526" i="1" s="1"/>
  <c r="C5525" i="1"/>
  <c r="U5525" i="1" s="1"/>
  <c r="C5524" i="1"/>
  <c r="U5524" i="1" s="1"/>
  <c r="C5523" i="1"/>
  <c r="U5523" i="1" s="1"/>
  <c r="U5522" i="1"/>
  <c r="C5522" i="1"/>
  <c r="C5521" i="1"/>
  <c r="U5521" i="1" s="1"/>
  <c r="C5520" i="1"/>
  <c r="U5520" i="1" s="1"/>
  <c r="C5519" i="1"/>
  <c r="U5519" i="1" s="1"/>
  <c r="C5518" i="1"/>
  <c r="U5518" i="1" s="1"/>
  <c r="C5517" i="1"/>
  <c r="U5517" i="1" s="1"/>
  <c r="C5516" i="1"/>
  <c r="U5516" i="1" s="1"/>
  <c r="C5515" i="1"/>
  <c r="U5515" i="1" s="1"/>
  <c r="U5514" i="1"/>
  <c r="C5514" i="1"/>
  <c r="C5513" i="1"/>
  <c r="U5513" i="1" s="1"/>
  <c r="C5512" i="1"/>
  <c r="U5512" i="1" s="1"/>
  <c r="C5511" i="1"/>
  <c r="U5511" i="1" s="1"/>
  <c r="C5510" i="1"/>
  <c r="U5510" i="1" s="1"/>
  <c r="C5509" i="1"/>
  <c r="U5509" i="1" s="1"/>
  <c r="C5508" i="1"/>
  <c r="U5508" i="1" s="1"/>
  <c r="C5507" i="1"/>
  <c r="U5507" i="1" s="1"/>
  <c r="U5506" i="1"/>
  <c r="C5506" i="1"/>
  <c r="C5505" i="1"/>
  <c r="U5505" i="1" s="1"/>
  <c r="C5504" i="1"/>
  <c r="U5504" i="1" s="1"/>
  <c r="C5503" i="1"/>
  <c r="U5503" i="1" s="1"/>
  <c r="C5502" i="1"/>
  <c r="U5502" i="1" s="1"/>
  <c r="C5501" i="1"/>
  <c r="U5501" i="1" s="1"/>
  <c r="C5500" i="1"/>
  <c r="U5500" i="1" s="1"/>
  <c r="C5499" i="1"/>
  <c r="U5499" i="1" s="1"/>
  <c r="U5498" i="1"/>
  <c r="C5498" i="1"/>
  <c r="C5497" i="1"/>
  <c r="U5497" i="1" s="1"/>
  <c r="C5496" i="1"/>
  <c r="U5496" i="1" s="1"/>
  <c r="C5495" i="1"/>
  <c r="U5495" i="1" s="1"/>
  <c r="C5494" i="1"/>
  <c r="U5494" i="1" s="1"/>
  <c r="C5493" i="1"/>
  <c r="U5493" i="1" s="1"/>
  <c r="C5492" i="1"/>
  <c r="U5492" i="1" s="1"/>
  <c r="C5491" i="1"/>
  <c r="U5491" i="1" s="1"/>
  <c r="U5490" i="1"/>
  <c r="C5490" i="1"/>
  <c r="C5489" i="1"/>
  <c r="U5489" i="1" s="1"/>
  <c r="C5488" i="1"/>
  <c r="U5488" i="1" s="1"/>
  <c r="C5487" i="1"/>
  <c r="U5487" i="1" s="1"/>
  <c r="C5486" i="1"/>
  <c r="U5486" i="1" s="1"/>
  <c r="C5485" i="1"/>
  <c r="U5485" i="1" s="1"/>
  <c r="C5484" i="1"/>
  <c r="U5484" i="1" s="1"/>
  <c r="C5483" i="1"/>
  <c r="U5483" i="1" s="1"/>
  <c r="U5482" i="1"/>
  <c r="C5482" i="1"/>
  <c r="C5481" i="1"/>
  <c r="U5481" i="1" s="1"/>
  <c r="C5480" i="1"/>
  <c r="U5480" i="1" s="1"/>
  <c r="C5479" i="1"/>
  <c r="U5479" i="1" s="1"/>
  <c r="C5478" i="1"/>
  <c r="U5478" i="1" s="1"/>
  <c r="C5477" i="1"/>
  <c r="U5477" i="1" s="1"/>
  <c r="C5476" i="1"/>
  <c r="U5476" i="1" s="1"/>
  <c r="C5475" i="1"/>
  <c r="U5475" i="1" s="1"/>
  <c r="U5474" i="1"/>
  <c r="C5474" i="1"/>
  <c r="C5473" i="1"/>
  <c r="U5473" i="1" s="1"/>
  <c r="C5472" i="1"/>
  <c r="U5472" i="1" s="1"/>
  <c r="C5471" i="1"/>
  <c r="U5471" i="1" s="1"/>
  <c r="C5470" i="1"/>
  <c r="U5470" i="1" s="1"/>
  <c r="C5469" i="1"/>
  <c r="U5469" i="1" s="1"/>
  <c r="C5468" i="1"/>
  <c r="U5468" i="1" s="1"/>
  <c r="C5467" i="1"/>
  <c r="U5467" i="1" s="1"/>
  <c r="U5466" i="1"/>
  <c r="C5466" i="1"/>
  <c r="C5465" i="1"/>
  <c r="U5465" i="1" s="1"/>
  <c r="C5464" i="1"/>
  <c r="U5464" i="1" s="1"/>
  <c r="C5463" i="1"/>
  <c r="U5463" i="1" s="1"/>
  <c r="C5462" i="1"/>
  <c r="U5462" i="1" s="1"/>
  <c r="C5461" i="1"/>
  <c r="U5461" i="1" s="1"/>
  <c r="C5460" i="1"/>
  <c r="U5460" i="1" s="1"/>
  <c r="C5459" i="1"/>
  <c r="U5459" i="1" s="1"/>
  <c r="U5458" i="1"/>
  <c r="C5458" i="1"/>
  <c r="C5457" i="1"/>
  <c r="U5457" i="1" s="1"/>
  <c r="C5456" i="1"/>
  <c r="U5456" i="1" s="1"/>
  <c r="C5455" i="1"/>
  <c r="U5455" i="1" s="1"/>
  <c r="C5454" i="1"/>
  <c r="U5454" i="1" s="1"/>
  <c r="C5453" i="1"/>
  <c r="U5453" i="1" s="1"/>
  <c r="C5452" i="1"/>
  <c r="U5452" i="1" s="1"/>
  <c r="C5451" i="1"/>
  <c r="U5451" i="1" s="1"/>
  <c r="U5450" i="1"/>
  <c r="C5450" i="1"/>
  <c r="C5449" i="1"/>
  <c r="U5449" i="1" s="1"/>
  <c r="C5448" i="1"/>
  <c r="U5448" i="1" s="1"/>
  <c r="C5447" i="1"/>
  <c r="U5447" i="1" s="1"/>
  <c r="C5446" i="1"/>
  <c r="U5446" i="1" s="1"/>
  <c r="C5445" i="1"/>
  <c r="U5445" i="1" s="1"/>
  <c r="C5444" i="1"/>
  <c r="U5444" i="1" s="1"/>
  <c r="C5443" i="1"/>
  <c r="U5443" i="1" s="1"/>
  <c r="U5442" i="1"/>
  <c r="C5442" i="1"/>
  <c r="C5441" i="1"/>
  <c r="U5441" i="1" s="1"/>
  <c r="C5440" i="1"/>
  <c r="U5440" i="1" s="1"/>
  <c r="C5439" i="1"/>
  <c r="U5439" i="1" s="1"/>
  <c r="C5438" i="1"/>
  <c r="U5438" i="1" s="1"/>
  <c r="C5437" i="1"/>
  <c r="U5437" i="1" s="1"/>
  <c r="C5436" i="1"/>
  <c r="U5436" i="1" s="1"/>
  <c r="C5435" i="1"/>
  <c r="U5435" i="1" s="1"/>
  <c r="U5434" i="1"/>
  <c r="C5434" i="1"/>
  <c r="C5433" i="1"/>
  <c r="U5433" i="1" s="1"/>
  <c r="C5432" i="1"/>
  <c r="U5432" i="1" s="1"/>
  <c r="C5431" i="1"/>
  <c r="U5431" i="1" s="1"/>
  <c r="C5430" i="1"/>
  <c r="U5430" i="1" s="1"/>
  <c r="C5429" i="1"/>
  <c r="U5429" i="1" s="1"/>
  <c r="C5428" i="1"/>
  <c r="U5428" i="1" s="1"/>
  <c r="C5427" i="1"/>
  <c r="U5427" i="1" s="1"/>
  <c r="U5426" i="1"/>
  <c r="C5426" i="1"/>
  <c r="C5425" i="1"/>
  <c r="U5425" i="1" s="1"/>
  <c r="C5424" i="1"/>
  <c r="U5424" i="1" s="1"/>
  <c r="C5423" i="1"/>
  <c r="U5423" i="1" s="1"/>
  <c r="C5422" i="1"/>
  <c r="U5422" i="1" s="1"/>
  <c r="C5421" i="1"/>
  <c r="U5421" i="1" s="1"/>
  <c r="C5420" i="1"/>
  <c r="U5420" i="1" s="1"/>
  <c r="C5419" i="1"/>
  <c r="U5419" i="1" s="1"/>
  <c r="U5418" i="1"/>
  <c r="C5418" i="1"/>
  <c r="C5417" i="1"/>
  <c r="U5417" i="1" s="1"/>
  <c r="C5416" i="1"/>
  <c r="U5416" i="1" s="1"/>
  <c r="C5415" i="1"/>
  <c r="U5415" i="1" s="1"/>
  <c r="C5414" i="1"/>
  <c r="U5414" i="1" s="1"/>
  <c r="C5413" i="1"/>
  <c r="U5413" i="1" s="1"/>
  <c r="C5412" i="1"/>
  <c r="U5412" i="1" s="1"/>
  <c r="C5411" i="1"/>
  <c r="U5411" i="1" s="1"/>
  <c r="U5410" i="1"/>
  <c r="C5410" i="1"/>
  <c r="C5409" i="1"/>
  <c r="U5409" i="1" s="1"/>
  <c r="C5408" i="1"/>
  <c r="U5408" i="1" s="1"/>
  <c r="C5407" i="1"/>
  <c r="U5407" i="1" s="1"/>
  <c r="C5406" i="1"/>
  <c r="U5406" i="1" s="1"/>
  <c r="C5405" i="1"/>
  <c r="U5405" i="1" s="1"/>
  <c r="C5404" i="1"/>
  <c r="U5404" i="1" s="1"/>
  <c r="C5403" i="1"/>
  <c r="U5403" i="1" s="1"/>
  <c r="U5402" i="1"/>
  <c r="C5402" i="1"/>
  <c r="C5401" i="1"/>
  <c r="U5401" i="1" s="1"/>
  <c r="C5400" i="1"/>
  <c r="U5400" i="1" s="1"/>
  <c r="C5399" i="1"/>
  <c r="U5399" i="1" s="1"/>
  <c r="C5398" i="1"/>
  <c r="U5398" i="1" s="1"/>
  <c r="C5397" i="1"/>
  <c r="U5397" i="1" s="1"/>
  <c r="C5396" i="1"/>
  <c r="U5396" i="1" s="1"/>
  <c r="C5395" i="1"/>
  <c r="U5395" i="1" s="1"/>
  <c r="U5394" i="1"/>
  <c r="C5394" i="1"/>
  <c r="C5393" i="1"/>
  <c r="U5393" i="1" s="1"/>
  <c r="C5392" i="1"/>
  <c r="U5392" i="1" s="1"/>
  <c r="C5391" i="1"/>
  <c r="U5391" i="1" s="1"/>
  <c r="C5390" i="1"/>
  <c r="U5390" i="1" s="1"/>
  <c r="C5389" i="1"/>
  <c r="U5389" i="1" s="1"/>
  <c r="C5388" i="1"/>
  <c r="U5388" i="1" s="1"/>
  <c r="C5387" i="1"/>
  <c r="U5387" i="1" s="1"/>
  <c r="U5386" i="1"/>
  <c r="C5386" i="1"/>
  <c r="C5385" i="1"/>
  <c r="U5385" i="1" s="1"/>
  <c r="C5384" i="1"/>
  <c r="U5384" i="1" s="1"/>
  <c r="C5383" i="1"/>
  <c r="U5383" i="1" s="1"/>
  <c r="C5382" i="1"/>
  <c r="U5382" i="1" s="1"/>
  <c r="C5381" i="1"/>
  <c r="U5381" i="1" s="1"/>
  <c r="C5380" i="1"/>
  <c r="U5380" i="1" s="1"/>
  <c r="C5379" i="1"/>
  <c r="U5379" i="1" s="1"/>
  <c r="U5378" i="1"/>
  <c r="C5378" i="1"/>
  <c r="C5377" i="1"/>
  <c r="U5377" i="1" s="1"/>
  <c r="C5376" i="1"/>
  <c r="U5376" i="1" s="1"/>
  <c r="C5375" i="1"/>
  <c r="U5375" i="1" s="1"/>
  <c r="C5374" i="1"/>
  <c r="U5374" i="1" s="1"/>
  <c r="C5373" i="1"/>
  <c r="U5373" i="1" s="1"/>
  <c r="C5372" i="1"/>
  <c r="U5372" i="1" s="1"/>
  <c r="C5371" i="1"/>
  <c r="U5371" i="1" s="1"/>
  <c r="U5370" i="1"/>
  <c r="C5370" i="1"/>
  <c r="C5369" i="1"/>
  <c r="U5369" i="1" s="1"/>
  <c r="C5368" i="1"/>
  <c r="U5368" i="1" s="1"/>
  <c r="C5367" i="1"/>
  <c r="U5367" i="1" s="1"/>
  <c r="C5366" i="1"/>
  <c r="U5366" i="1" s="1"/>
  <c r="C5365" i="1"/>
  <c r="U5365" i="1" s="1"/>
  <c r="C5364" i="1"/>
  <c r="U5364" i="1" s="1"/>
  <c r="C5363" i="1"/>
  <c r="U5363" i="1" s="1"/>
  <c r="U5362" i="1"/>
  <c r="C5362" i="1"/>
  <c r="C5361" i="1"/>
  <c r="U5361" i="1" s="1"/>
  <c r="C5360" i="1"/>
  <c r="U5360" i="1" s="1"/>
  <c r="C5359" i="1"/>
  <c r="U5359" i="1" s="1"/>
  <c r="C5358" i="1"/>
  <c r="U5358" i="1" s="1"/>
  <c r="C5357" i="1"/>
  <c r="U5357" i="1" s="1"/>
  <c r="C5356" i="1"/>
  <c r="U5356" i="1" s="1"/>
  <c r="C5355" i="1"/>
  <c r="U5355" i="1" s="1"/>
  <c r="U5354" i="1"/>
  <c r="C5354" i="1"/>
  <c r="C5353" i="1"/>
  <c r="U5353" i="1" s="1"/>
  <c r="C5352" i="1"/>
  <c r="U5352" i="1" s="1"/>
  <c r="C5351" i="1"/>
  <c r="U5351" i="1" s="1"/>
  <c r="C5350" i="1"/>
  <c r="U5350" i="1" s="1"/>
  <c r="C5349" i="1"/>
  <c r="U5349" i="1" s="1"/>
  <c r="C5348" i="1"/>
  <c r="U5348" i="1" s="1"/>
  <c r="C5347" i="1"/>
  <c r="U5347" i="1" s="1"/>
  <c r="U5346" i="1"/>
  <c r="C5346" i="1"/>
  <c r="C5345" i="1"/>
  <c r="U5345" i="1" s="1"/>
  <c r="U5344" i="1"/>
  <c r="C5344" i="1"/>
  <c r="C5343" i="1"/>
  <c r="U5343" i="1" s="1"/>
  <c r="C5342" i="1"/>
  <c r="U5342" i="1" s="1"/>
  <c r="C5341" i="1"/>
  <c r="U5341" i="1" s="1"/>
  <c r="U5340" i="1"/>
  <c r="C5340" i="1"/>
  <c r="C5339" i="1"/>
  <c r="U5339" i="1" s="1"/>
  <c r="U5338" i="1"/>
  <c r="C5338" i="1"/>
  <c r="C5337" i="1"/>
  <c r="U5337" i="1" s="1"/>
  <c r="U5336" i="1"/>
  <c r="C5336" i="1"/>
  <c r="C5335" i="1"/>
  <c r="U5335" i="1" s="1"/>
  <c r="C5334" i="1"/>
  <c r="U5334" i="1" s="1"/>
  <c r="C5333" i="1"/>
  <c r="U5333" i="1" s="1"/>
  <c r="C5332" i="1"/>
  <c r="U5332" i="1" s="1"/>
  <c r="C5331" i="1"/>
  <c r="U5331" i="1" s="1"/>
  <c r="U5330" i="1"/>
  <c r="C5330" i="1"/>
  <c r="C5329" i="1"/>
  <c r="U5329" i="1" s="1"/>
  <c r="C5328" i="1"/>
  <c r="U5328" i="1" s="1"/>
  <c r="C5327" i="1"/>
  <c r="U5327" i="1" s="1"/>
  <c r="C5326" i="1"/>
  <c r="U5326" i="1" s="1"/>
  <c r="C5325" i="1"/>
  <c r="U5325" i="1" s="1"/>
  <c r="C5324" i="1"/>
  <c r="U5324" i="1" s="1"/>
  <c r="C5323" i="1"/>
  <c r="U5323" i="1" s="1"/>
  <c r="U5322" i="1"/>
  <c r="C5322" i="1"/>
  <c r="C5321" i="1"/>
  <c r="U5321" i="1" s="1"/>
  <c r="U5320" i="1"/>
  <c r="C5320" i="1"/>
  <c r="C5319" i="1"/>
  <c r="U5319" i="1" s="1"/>
  <c r="C5318" i="1"/>
  <c r="U5318" i="1" s="1"/>
  <c r="C5317" i="1"/>
  <c r="U5317" i="1" s="1"/>
  <c r="C5316" i="1"/>
  <c r="U5316" i="1" s="1"/>
  <c r="C5315" i="1"/>
  <c r="U5315" i="1" s="1"/>
  <c r="U5314" i="1"/>
  <c r="C5314" i="1"/>
  <c r="C5313" i="1"/>
  <c r="U5313" i="1" s="1"/>
  <c r="C5312" i="1"/>
  <c r="U5312" i="1" s="1"/>
  <c r="C5311" i="1"/>
  <c r="U5311" i="1" s="1"/>
  <c r="C5310" i="1"/>
  <c r="U5310" i="1" s="1"/>
  <c r="C5309" i="1"/>
  <c r="U5309" i="1" s="1"/>
  <c r="C5308" i="1"/>
  <c r="U5308" i="1" s="1"/>
  <c r="C5307" i="1"/>
  <c r="U5307" i="1" s="1"/>
  <c r="U5306" i="1"/>
  <c r="C5306" i="1"/>
  <c r="C5305" i="1"/>
  <c r="U5305" i="1" s="1"/>
  <c r="U5304" i="1"/>
  <c r="C5304" i="1"/>
  <c r="C5303" i="1"/>
  <c r="U5303" i="1" s="1"/>
  <c r="C5302" i="1"/>
  <c r="U5302" i="1" s="1"/>
  <c r="C5301" i="1"/>
  <c r="U5301" i="1" s="1"/>
  <c r="C5300" i="1"/>
  <c r="U5300" i="1" s="1"/>
  <c r="C5299" i="1"/>
  <c r="U5299" i="1" s="1"/>
  <c r="U5298" i="1"/>
  <c r="C5298" i="1"/>
  <c r="C5297" i="1"/>
  <c r="U5297" i="1" s="1"/>
  <c r="C5296" i="1"/>
  <c r="U5296" i="1" s="1"/>
  <c r="C5295" i="1"/>
  <c r="U5295" i="1" s="1"/>
  <c r="C5294" i="1"/>
  <c r="U5294" i="1" s="1"/>
  <c r="C5293" i="1"/>
  <c r="U5293" i="1" s="1"/>
  <c r="C5292" i="1"/>
  <c r="U5292" i="1" s="1"/>
  <c r="C5291" i="1"/>
  <c r="U5291" i="1" s="1"/>
  <c r="U5290" i="1"/>
  <c r="C5290" i="1"/>
  <c r="C5289" i="1"/>
  <c r="U5289" i="1" s="1"/>
  <c r="U5288" i="1"/>
  <c r="C5288" i="1"/>
  <c r="C5287" i="1"/>
  <c r="U5287" i="1" s="1"/>
  <c r="C5286" i="1"/>
  <c r="U5286" i="1" s="1"/>
  <c r="C5285" i="1"/>
  <c r="U5285" i="1" s="1"/>
  <c r="C5284" i="1"/>
  <c r="U5284" i="1" s="1"/>
  <c r="C5283" i="1"/>
  <c r="U5283" i="1" s="1"/>
  <c r="C5282" i="1"/>
  <c r="U5282" i="1" s="1"/>
  <c r="C5281" i="1"/>
  <c r="U5281" i="1" s="1"/>
  <c r="C5280" i="1"/>
  <c r="U5280" i="1" s="1"/>
  <c r="C5279" i="1"/>
  <c r="U5279" i="1" s="1"/>
  <c r="U5278" i="1"/>
  <c r="C5278" i="1"/>
  <c r="C5277" i="1"/>
  <c r="U5277" i="1" s="1"/>
  <c r="C5276" i="1"/>
  <c r="U5276" i="1" s="1"/>
  <c r="C5275" i="1"/>
  <c r="U5275" i="1" s="1"/>
  <c r="C5274" i="1"/>
  <c r="U5274" i="1" s="1"/>
  <c r="C5273" i="1"/>
  <c r="U5273" i="1" s="1"/>
  <c r="C5272" i="1"/>
  <c r="U5272" i="1" s="1"/>
  <c r="C5271" i="1"/>
  <c r="U5271" i="1" s="1"/>
  <c r="C5270" i="1"/>
  <c r="U5270" i="1" s="1"/>
  <c r="C5269" i="1"/>
  <c r="U5269" i="1" s="1"/>
  <c r="C5268" i="1"/>
  <c r="U5268" i="1" s="1"/>
  <c r="C5267" i="1"/>
  <c r="U5267" i="1" s="1"/>
  <c r="C5266" i="1"/>
  <c r="U5266" i="1" s="1"/>
  <c r="C5265" i="1"/>
  <c r="U5265" i="1" s="1"/>
  <c r="C5264" i="1"/>
  <c r="U5264" i="1" s="1"/>
  <c r="C5263" i="1"/>
  <c r="U5263" i="1" s="1"/>
  <c r="C5262" i="1"/>
  <c r="U5262" i="1" s="1"/>
  <c r="C5261" i="1"/>
  <c r="U5261" i="1" s="1"/>
  <c r="C5260" i="1"/>
  <c r="U5260" i="1" s="1"/>
  <c r="C5259" i="1"/>
  <c r="U5259" i="1" s="1"/>
  <c r="C5258" i="1"/>
  <c r="U5258" i="1" s="1"/>
  <c r="C5257" i="1"/>
  <c r="U5257" i="1" s="1"/>
  <c r="C5256" i="1"/>
  <c r="U5256" i="1" s="1"/>
  <c r="C5255" i="1"/>
  <c r="U5255" i="1" s="1"/>
  <c r="U5254" i="1"/>
  <c r="C5254" i="1"/>
  <c r="C5253" i="1"/>
  <c r="U5253" i="1" s="1"/>
  <c r="C5252" i="1"/>
  <c r="U5252" i="1" s="1"/>
  <c r="C5251" i="1"/>
  <c r="U5251" i="1" s="1"/>
  <c r="C5250" i="1"/>
  <c r="U5250" i="1" s="1"/>
  <c r="C5249" i="1"/>
  <c r="U5249" i="1" s="1"/>
  <c r="C5248" i="1"/>
  <c r="U5248" i="1" s="1"/>
  <c r="C5247" i="1"/>
  <c r="U5247" i="1" s="1"/>
  <c r="U5246" i="1"/>
  <c r="C5246" i="1"/>
  <c r="C5245" i="1"/>
  <c r="U5245" i="1" s="1"/>
  <c r="C5244" i="1"/>
  <c r="U5244" i="1" s="1"/>
  <c r="C5243" i="1"/>
  <c r="U5243" i="1" s="1"/>
  <c r="C5242" i="1"/>
  <c r="U5242" i="1" s="1"/>
  <c r="C5241" i="1"/>
  <c r="U5241" i="1" s="1"/>
  <c r="C5240" i="1"/>
  <c r="U5240" i="1" s="1"/>
  <c r="C5239" i="1"/>
  <c r="U5239" i="1" s="1"/>
  <c r="C5238" i="1"/>
  <c r="U5238" i="1" s="1"/>
  <c r="C5237" i="1"/>
  <c r="U5237" i="1" s="1"/>
  <c r="C5236" i="1"/>
  <c r="U5236" i="1" s="1"/>
  <c r="C5235" i="1"/>
  <c r="U5235" i="1" s="1"/>
  <c r="C5234" i="1"/>
  <c r="U5234" i="1" s="1"/>
  <c r="C5233" i="1"/>
  <c r="U5233" i="1" s="1"/>
  <c r="C5232" i="1"/>
  <c r="U5232" i="1" s="1"/>
  <c r="C5231" i="1"/>
  <c r="U5231" i="1" s="1"/>
  <c r="C5230" i="1"/>
  <c r="U5230" i="1" s="1"/>
  <c r="C5229" i="1"/>
  <c r="U5229" i="1" s="1"/>
  <c r="C5228" i="1"/>
  <c r="U5228" i="1" s="1"/>
  <c r="C5227" i="1"/>
  <c r="U5227" i="1" s="1"/>
  <c r="C5226" i="1"/>
  <c r="U5226" i="1" s="1"/>
  <c r="C5225" i="1"/>
  <c r="U5225" i="1" s="1"/>
  <c r="C5224" i="1"/>
  <c r="U5224" i="1" s="1"/>
  <c r="C5223" i="1"/>
  <c r="U5223" i="1" s="1"/>
  <c r="C5222" i="1"/>
  <c r="U5222" i="1" s="1"/>
  <c r="C5221" i="1"/>
  <c r="U5221" i="1" s="1"/>
  <c r="C5220" i="1"/>
  <c r="U5220" i="1" s="1"/>
  <c r="C5219" i="1"/>
  <c r="U5219" i="1" s="1"/>
  <c r="C5218" i="1"/>
  <c r="U5218" i="1" s="1"/>
  <c r="C5217" i="1"/>
  <c r="U5217" i="1" s="1"/>
  <c r="C5216" i="1"/>
  <c r="U5216" i="1" s="1"/>
  <c r="C5215" i="1"/>
  <c r="U5215" i="1" s="1"/>
  <c r="C5214" i="1"/>
  <c r="U5214" i="1" s="1"/>
  <c r="C5213" i="1"/>
  <c r="U5213" i="1" s="1"/>
  <c r="C5212" i="1"/>
  <c r="U5212" i="1" s="1"/>
  <c r="C5211" i="1"/>
  <c r="U5211" i="1" s="1"/>
  <c r="C5210" i="1"/>
  <c r="U5210" i="1" s="1"/>
  <c r="C5209" i="1"/>
  <c r="U5209" i="1" s="1"/>
  <c r="C5208" i="1"/>
  <c r="U5208" i="1" s="1"/>
  <c r="C5207" i="1"/>
  <c r="U5207" i="1" s="1"/>
  <c r="U5206" i="1"/>
  <c r="C5206" i="1"/>
  <c r="C5205" i="1"/>
  <c r="U5205" i="1" s="1"/>
  <c r="C5204" i="1"/>
  <c r="U5204" i="1" s="1"/>
  <c r="C5203" i="1"/>
  <c r="U5203" i="1" s="1"/>
  <c r="C5202" i="1"/>
  <c r="U5202" i="1" s="1"/>
  <c r="C5201" i="1"/>
  <c r="U5201" i="1" s="1"/>
  <c r="C5200" i="1"/>
  <c r="U5200" i="1" s="1"/>
  <c r="C5199" i="1"/>
  <c r="U5199" i="1" s="1"/>
  <c r="U5198" i="1"/>
  <c r="C5198" i="1"/>
  <c r="C5197" i="1"/>
  <c r="U5197" i="1" s="1"/>
  <c r="C5196" i="1"/>
  <c r="U5196" i="1" s="1"/>
  <c r="C5195" i="1"/>
  <c r="U5195" i="1" s="1"/>
  <c r="C5194" i="1"/>
  <c r="U5194" i="1" s="1"/>
  <c r="C5193" i="1"/>
  <c r="U5193" i="1" s="1"/>
  <c r="C5192" i="1"/>
  <c r="U5192" i="1" s="1"/>
  <c r="C5191" i="1"/>
  <c r="U5191" i="1" s="1"/>
  <c r="C5190" i="1"/>
  <c r="U5190" i="1" s="1"/>
  <c r="C5189" i="1"/>
  <c r="U5189" i="1" s="1"/>
  <c r="C5188" i="1"/>
  <c r="U5188" i="1" s="1"/>
  <c r="C5187" i="1"/>
  <c r="U5187" i="1" s="1"/>
  <c r="C5186" i="1"/>
  <c r="U5186" i="1" s="1"/>
  <c r="C5185" i="1"/>
  <c r="U5185" i="1" s="1"/>
  <c r="C5184" i="1"/>
  <c r="U5184" i="1" s="1"/>
  <c r="C5183" i="1"/>
  <c r="U5183" i="1" s="1"/>
  <c r="C5182" i="1"/>
  <c r="U5182" i="1" s="1"/>
  <c r="C5181" i="1"/>
  <c r="U5181" i="1" s="1"/>
  <c r="C5180" i="1"/>
  <c r="U5180" i="1" s="1"/>
  <c r="C5179" i="1"/>
  <c r="U5179" i="1" s="1"/>
  <c r="C5178" i="1"/>
  <c r="U5178" i="1" s="1"/>
  <c r="C5177" i="1"/>
  <c r="U5177" i="1" s="1"/>
  <c r="C5176" i="1"/>
  <c r="U5176" i="1" s="1"/>
  <c r="C5175" i="1"/>
  <c r="U5175" i="1" s="1"/>
  <c r="U5174" i="1"/>
  <c r="C5174" i="1"/>
  <c r="C5173" i="1"/>
  <c r="U5173" i="1" s="1"/>
  <c r="C5172" i="1"/>
  <c r="U5172" i="1" s="1"/>
  <c r="C5171" i="1"/>
  <c r="U5171" i="1" s="1"/>
  <c r="C5170" i="1"/>
  <c r="U5170" i="1" s="1"/>
  <c r="C5169" i="1"/>
  <c r="U5169" i="1" s="1"/>
  <c r="C5168" i="1"/>
  <c r="U5168" i="1" s="1"/>
  <c r="C5167" i="1"/>
  <c r="U5167" i="1" s="1"/>
  <c r="U5166" i="1"/>
  <c r="C5166" i="1"/>
  <c r="C5165" i="1"/>
  <c r="U5165" i="1" s="1"/>
  <c r="C5164" i="1"/>
  <c r="U5164" i="1" s="1"/>
  <c r="C5163" i="1"/>
  <c r="U5163" i="1" s="1"/>
  <c r="C5162" i="1"/>
  <c r="U5162" i="1" s="1"/>
  <c r="C5161" i="1"/>
  <c r="U5161" i="1" s="1"/>
  <c r="C5160" i="1"/>
  <c r="U5160" i="1" s="1"/>
  <c r="C5159" i="1"/>
  <c r="U5159" i="1" s="1"/>
  <c r="C5158" i="1"/>
  <c r="U5158" i="1" s="1"/>
  <c r="C5157" i="1"/>
  <c r="U5157" i="1" s="1"/>
  <c r="C5156" i="1"/>
  <c r="U5156" i="1" s="1"/>
  <c r="C5155" i="1"/>
  <c r="U5155" i="1" s="1"/>
  <c r="C5154" i="1"/>
  <c r="U5154" i="1" s="1"/>
  <c r="C5153" i="1"/>
  <c r="U5153" i="1" s="1"/>
  <c r="C5152" i="1"/>
  <c r="U5152" i="1" s="1"/>
  <c r="C5151" i="1"/>
  <c r="U5151" i="1" s="1"/>
  <c r="C5150" i="1"/>
  <c r="U5150" i="1" s="1"/>
  <c r="C5149" i="1"/>
  <c r="U5149" i="1" s="1"/>
  <c r="C5148" i="1"/>
  <c r="U5148" i="1" s="1"/>
  <c r="C5147" i="1"/>
  <c r="U5147" i="1" s="1"/>
  <c r="C5146" i="1"/>
  <c r="U5146" i="1" s="1"/>
  <c r="C5145" i="1"/>
  <c r="U5145" i="1" s="1"/>
  <c r="C5144" i="1"/>
  <c r="U5144" i="1" s="1"/>
  <c r="C5143" i="1"/>
  <c r="U5143" i="1" s="1"/>
  <c r="U5142" i="1"/>
  <c r="C5142" i="1"/>
  <c r="C5141" i="1"/>
  <c r="U5141" i="1" s="1"/>
  <c r="C5140" i="1"/>
  <c r="U5140" i="1" s="1"/>
  <c r="C5139" i="1"/>
  <c r="U5139" i="1" s="1"/>
  <c r="C5138" i="1"/>
  <c r="U5138" i="1" s="1"/>
  <c r="C5137" i="1"/>
  <c r="U5137" i="1" s="1"/>
  <c r="C5136" i="1"/>
  <c r="U5136" i="1" s="1"/>
  <c r="C5135" i="1"/>
  <c r="U5135" i="1" s="1"/>
  <c r="U5134" i="1"/>
  <c r="C5134" i="1"/>
  <c r="C5133" i="1"/>
  <c r="U5133" i="1" s="1"/>
  <c r="C5132" i="1"/>
  <c r="U5132" i="1" s="1"/>
  <c r="C5131" i="1"/>
  <c r="U5131" i="1" s="1"/>
  <c r="C5130" i="1"/>
  <c r="U5130" i="1" s="1"/>
  <c r="C5129" i="1"/>
  <c r="U5129" i="1" s="1"/>
  <c r="C5128" i="1"/>
  <c r="U5128" i="1" s="1"/>
  <c r="C5127" i="1"/>
  <c r="U5127" i="1" s="1"/>
  <c r="C5126" i="1"/>
  <c r="U5126" i="1" s="1"/>
  <c r="C5125" i="1"/>
  <c r="U5125" i="1" s="1"/>
  <c r="C5124" i="1"/>
  <c r="U5124" i="1" s="1"/>
  <c r="C5123" i="1"/>
  <c r="U5123" i="1" s="1"/>
  <c r="C5122" i="1"/>
  <c r="U5122" i="1" s="1"/>
  <c r="C5121" i="1"/>
  <c r="U5121" i="1" s="1"/>
  <c r="C5120" i="1"/>
  <c r="U5120" i="1" s="1"/>
  <c r="C5119" i="1"/>
  <c r="U5119" i="1" s="1"/>
  <c r="C5118" i="1"/>
  <c r="U5118" i="1" s="1"/>
  <c r="C5117" i="1"/>
  <c r="U5117" i="1" s="1"/>
  <c r="C5116" i="1"/>
  <c r="U5116" i="1" s="1"/>
  <c r="C5115" i="1"/>
  <c r="U5115" i="1" s="1"/>
  <c r="C5114" i="1"/>
  <c r="U5114" i="1" s="1"/>
  <c r="C5113" i="1"/>
  <c r="U5113" i="1" s="1"/>
  <c r="C5112" i="1"/>
  <c r="U5112" i="1" s="1"/>
  <c r="C5111" i="1"/>
  <c r="U5111" i="1" s="1"/>
  <c r="U5110" i="1"/>
  <c r="C5110" i="1"/>
  <c r="C5109" i="1"/>
  <c r="U5109" i="1" s="1"/>
  <c r="C5108" i="1"/>
  <c r="U5108" i="1" s="1"/>
  <c r="C5107" i="1"/>
  <c r="U5107" i="1" s="1"/>
  <c r="C5106" i="1"/>
  <c r="U5106" i="1" s="1"/>
  <c r="C5105" i="1"/>
  <c r="U5105" i="1" s="1"/>
  <c r="C5104" i="1"/>
  <c r="U5104" i="1" s="1"/>
  <c r="C5103" i="1"/>
  <c r="U5103" i="1" s="1"/>
  <c r="U5102" i="1"/>
  <c r="C5102" i="1"/>
  <c r="C5101" i="1"/>
  <c r="U5101" i="1" s="1"/>
  <c r="C5100" i="1"/>
  <c r="U5100" i="1" s="1"/>
  <c r="C5099" i="1"/>
  <c r="U5099" i="1" s="1"/>
  <c r="C5098" i="1"/>
  <c r="U5098" i="1" s="1"/>
  <c r="C5097" i="1"/>
  <c r="U5097" i="1" s="1"/>
  <c r="C5096" i="1"/>
  <c r="U5096" i="1" s="1"/>
  <c r="C5095" i="1"/>
  <c r="U5095" i="1" s="1"/>
  <c r="C5094" i="1"/>
  <c r="U5094" i="1" s="1"/>
  <c r="C5093" i="1"/>
  <c r="U5093" i="1" s="1"/>
  <c r="C5092" i="1"/>
  <c r="U5092" i="1" s="1"/>
  <c r="C5091" i="1"/>
  <c r="U5091" i="1" s="1"/>
  <c r="C5090" i="1"/>
  <c r="U5090" i="1" s="1"/>
  <c r="C5089" i="1"/>
  <c r="U5089" i="1" s="1"/>
  <c r="C5088" i="1"/>
  <c r="U5088" i="1" s="1"/>
  <c r="C5087" i="1"/>
  <c r="U5087" i="1" s="1"/>
  <c r="C5086" i="1"/>
  <c r="U5086" i="1" s="1"/>
  <c r="C5085" i="1"/>
  <c r="U5085" i="1" s="1"/>
  <c r="C5084" i="1"/>
  <c r="U5084" i="1" s="1"/>
  <c r="C5083" i="1"/>
  <c r="U5083" i="1" s="1"/>
  <c r="C5082" i="1"/>
  <c r="U5082" i="1" s="1"/>
  <c r="C5081" i="1"/>
  <c r="U5081" i="1" s="1"/>
  <c r="C5080" i="1"/>
  <c r="U5080" i="1" s="1"/>
  <c r="C5079" i="1"/>
  <c r="U5079" i="1" s="1"/>
  <c r="U5078" i="1"/>
  <c r="C5078" i="1"/>
  <c r="C5077" i="1"/>
  <c r="U5077" i="1" s="1"/>
  <c r="C5076" i="1"/>
  <c r="U5076" i="1" s="1"/>
  <c r="C5075" i="1"/>
  <c r="U5075" i="1" s="1"/>
  <c r="C5074" i="1"/>
  <c r="U5074" i="1" s="1"/>
  <c r="C5073" i="1"/>
  <c r="U5073" i="1" s="1"/>
  <c r="C5072" i="1"/>
  <c r="U5072" i="1" s="1"/>
  <c r="C5071" i="1"/>
  <c r="U5071" i="1" s="1"/>
  <c r="C5070" i="1"/>
  <c r="U5070" i="1" s="1"/>
  <c r="C5069" i="1"/>
  <c r="U5069" i="1" s="1"/>
  <c r="C5068" i="1"/>
  <c r="U5068" i="1" s="1"/>
  <c r="C5067" i="1"/>
  <c r="U5067" i="1" s="1"/>
  <c r="C5066" i="1"/>
  <c r="U5066" i="1" s="1"/>
  <c r="C5065" i="1"/>
  <c r="U5065" i="1" s="1"/>
  <c r="U5064" i="1"/>
  <c r="C5064" i="1"/>
  <c r="C5063" i="1"/>
  <c r="U5063" i="1" s="1"/>
  <c r="U5062" i="1"/>
  <c r="C5062" i="1"/>
  <c r="C5061" i="1"/>
  <c r="U5061" i="1" s="1"/>
  <c r="C5060" i="1"/>
  <c r="U5060" i="1" s="1"/>
  <c r="C5059" i="1"/>
  <c r="U5059" i="1" s="1"/>
  <c r="C5058" i="1"/>
  <c r="U5058" i="1" s="1"/>
  <c r="C5057" i="1"/>
  <c r="U5057" i="1" s="1"/>
  <c r="C5056" i="1"/>
  <c r="U5056" i="1" s="1"/>
  <c r="C5055" i="1"/>
  <c r="U5055" i="1" s="1"/>
  <c r="C5054" i="1"/>
  <c r="U5054" i="1" s="1"/>
  <c r="C5053" i="1"/>
  <c r="U5053" i="1" s="1"/>
  <c r="C5052" i="1"/>
  <c r="U5052" i="1" s="1"/>
  <c r="C5051" i="1"/>
  <c r="U5051" i="1" s="1"/>
  <c r="C5050" i="1"/>
  <c r="U5050" i="1" s="1"/>
  <c r="C5049" i="1"/>
  <c r="U5049" i="1" s="1"/>
  <c r="U5048" i="1"/>
  <c r="C5048" i="1"/>
  <c r="C5047" i="1"/>
  <c r="U5047" i="1" s="1"/>
  <c r="U5046" i="1"/>
  <c r="C5046" i="1"/>
  <c r="C5045" i="1"/>
  <c r="U5045" i="1" s="1"/>
  <c r="C5044" i="1"/>
  <c r="U5044" i="1" s="1"/>
  <c r="C5043" i="1"/>
  <c r="U5043" i="1" s="1"/>
  <c r="C5042" i="1"/>
  <c r="U5042" i="1" s="1"/>
  <c r="C5041" i="1"/>
  <c r="U5041" i="1" s="1"/>
  <c r="C5040" i="1"/>
  <c r="U5040" i="1" s="1"/>
  <c r="C5039" i="1"/>
  <c r="U5039" i="1" s="1"/>
  <c r="C5038" i="1"/>
  <c r="U5038" i="1" s="1"/>
  <c r="C5037" i="1"/>
  <c r="U5037" i="1" s="1"/>
  <c r="C5036" i="1"/>
  <c r="U5036" i="1" s="1"/>
  <c r="C5035" i="1"/>
  <c r="U5035" i="1" s="1"/>
  <c r="C5034" i="1"/>
  <c r="U5034" i="1" s="1"/>
  <c r="C5033" i="1"/>
  <c r="U5033" i="1" s="1"/>
  <c r="U5032" i="1"/>
  <c r="C5032" i="1"/>
  <c r="C5031" i="1"/>
  <c r="U5031" i="1" s="1"/>
  <c r="U5030" i="1"/>
  <c r="C5030" i="1"/>
  <c r="C5029" i="1"/>
  <c r="U5029" i="1" s="1"/>
  <c r="C5028" i="1"/>
  <c r="U5028" i="1" s="1"/>
  <c r="C5027" i="1"/>
  <c r="U5027" i="1" s="1"/>
  <c r="C5026" i="1"/>
  <c r="U5026" i="1" s="1"/>
  <c r="C5025" i="1"/>
  <c r="U5025" i="1" s="1"/>
  <c r="C5024" i="1"/>
  <c r="U5024" i="1" s="1"/>
  <c r="C5023" i="1"/>
  <c r="U5023" i="1" s="1"/>
  <c r="C5022" i="1"/>
  <c r="U5022" i="1" s="1"/>
  <c r="C5021" i="1"/>
  <c r="U5021" i="1" s="1"/>
  <c r="C5020" i="1"/>
  <c r="U5020" i="1" s="1"/>
  <c r="C5019" i="1"/>
  <c r="U5019" i="1" s="1"/>
  <c r="C5018" i="1"/>
  <c r="U5018" i="1" s="1"/>
  <c r="C5017" i="1"/>
  <c r="U5017" i="1" s="1"/>
  <c r="U5016" i="1"/>
  <c r="C5016" i="1"/>
  <c r="C5015" i="1"/>
  <c r="U5015" i="1" s="1"/>
  <c r="U5014" i="1"/>
  <c r="C5014" i="1"/>
  <c r="C5013" i="1"/>
  <c r="U5013" i="1" s="1"/>
  <c r="C5012" i="1"/>
  <c r="U5012" i="1" s="1"/>
  <c r="C5011" i="1"/>
  <c r="U5011" i="1" s="1"/>
  <c r="C5010" i="1"/>
  <c r="U5010" i="1" s="1"/>
  <c r="C5009" i="1"/>
  <c r="U5009" i="1" s="1"/>
  <c r="C5008" i="1"/>
  <c r="U5008" i="1" s="1"/>
  <c r="C5007" i="1"/>
  <c r="U5007" i="1" s="1"/>
  <c r="C5006" i="1"/>
  <c r="U5006" i="1" s="1"/>
  <c r="C5005" i="1"/>
  <c r="U5005" i="1" s="1"/>
  <c r="C5004" i="1"/>
  <c r="U5004" i="1" s="1"/>
  <c r="C5003" i="1"/>
  <c r="U5003" i="1" s="1"/>
  <c r="C5002" i="1"/>
  <c r="U5002" i="1" s="1"/>
  <c r="C5001" i="1"/>
  <c r="U5001" i="1" s="1"/>
  <c r="U5000" i="1"/>
  <c r="C5000" i="1"/>
  <c r="C4999" i="1"/>
  <c r="U4999" i="1" s="1"/>
  <c r="U4998" i="1"/>
  <c r="C4998" i="1"/>
  <c r="C4997" i="1"/>
  <c r="U4997" i="1" s="1"/>
  <c r="C4996" i="1"/>
  <c r="U4996" i="1" s="1"/>
  <c r="C4995" i="1"/>
  <c r="U4995" i="1" s="1"/>
  <c r="C4994" i="1"/>
  <c r="U4994" i="1" s="1"/>
  <c r="C4993" i="1"/>
  <c r="U4993" i="1" s="1"/>
  <c r="C4992" i="1"/>
  <c r="U4992" i="1" s="1"/>
  <c r="C4991" i="1"/>
  <c r="U4991" i="1" s="1"/>
  <c r="C4990" i="1"/>
  <c r="U4990" i="1" s="1"/>
  <c r="C4989" i="1"/>
  <c r="U4989" i="1" s="1"/>
  <c r="C4988" i="1"/>
  <c r="U4988" i="1" s="1"/>
  <c r="C4987" i="1"/>
  <c r="U4987" i="1" s="1"/>
  <c r="C4986" i="1"/>
  <c r="U4986" i="1" s="1"/>
  <c r="C4985" i="1"/>
  <c r="U4985" i="1" s="1"/>
  <c r="U4984" i="1"/>
  <c r="C4984" i="1"/>
  <c r="C4983" i="1"/>
  <c r="U4983" i="1" s="1"/>
  <c r="U4982" i="1"/>
  <c r="C4982" i="1"/>
  <c r="C4981" i="1"/>
  <c r="U4981" i="1" s="1"/>
  <c r="C4980" i="1"/>
  <c r="U4980" i="1" s="1"/>
  <c r="C4979" i="1"/>
  <c r="U4979" i="1" s="1"/>
  <c r="C4978" i="1"/>
  <c r="U4978" i="1" s="1"/>
  <c r="C4977" i="1"/>
  <c r="U4977" i="1" s="1"/>
  <c r="C4976" i="1"/>
  <c r="U4976" i="1" s="1"/>
  <c r="C4975" i="1"/>
  <c r="U4975" i="1" s="1"/>
  <c r="C4974" i="1"/>
  <c r="U4974" i="1" s="1"/>
  <c r="C4973" i="1"/>
  <c r="U4973" i="1" s="1"/>
  <c r="C4972" i="1"/>
  <c r="U4972" i="1" s="1"/>
  <c r="C4971" i="1"/>
  <c r="U4971" i="1" s="1"/>
  <c r="C4970" i="1"/>
  <c r="U4970" i="1" s="1"/>
  <c r="C4969" i="1"/>
  <c r="U4969" i="1" s="1"/>
  <c r="U4968" i="1"/>
  <c r="C4968" i="1"/>
  <c r="C4967" i="1"/>
  <c r="U4967" i="1" s="1"/>
  <c r="U4966" i="1"/>
  <c r="C4966" i="1"/>
  <c r="C4965" i="1"/>
  <c r="U4965" i="1" s="1"/>
  <c r="C4964" i="1"/>
  <c r="U4964" i="1" s="1"/>
  <c r="C4963" i="1"/>
  <c r="U4963" i="1" s="1"/>
  <c r="C4962" i="1"/>
  <c r="U4962" i="1" s="1"/>
  <c r="C4961" i="1"/>
  <c r="U4961" i="1" s="1"/>
  <c r="C4960" i="1"/>
  <c r="U4960" i="1" s="1"/>
  <c r="C4959" i="1"/>
  <c r="U4959" i="1" s="1"/>
  <c r="C4958" i="1"/>
  <c r="U4958" i="1" s="1"/>
  <c r="C4957" i="1"/>
  <c r="U4957" i="1" s="1"/>
  <c r="C4956" i="1"/>
  <c r="U4956" i="1" s="1"/>
  <c r="C4955" i="1"/>
  <c r="U4955" i="1" s="1"/>
  <c r="C4954" i="1"/>
  <c r="U4954" i="1" s="1"/>
  <c r="C4953" i="1"/>
  <c r="U4953" i="1" s="1"/>
  <c r="U4952" i="1"/>
  <c r="C4952" i="1"/>
  <c r="C4951" i="1"/>
  <c r="U4951" i="1" s="1"/>
  <c r="U4950" i="1"/>
  <c r="C4950" i="1"/>
  <c r="C4949" i="1"/>
  <c r="U4949" i="1" s="1"/>
  <c r="C4948" i="1"/>
  <c r="U4948" i="1" s="1"/>
  <c r="C4947" i="1"/>
  <c r="U4947" i="1" s="1"/>
  <c r="C4946" i="1"/>
  <c r="U4946" i="1" s="1"/>
  <c r="C4945" i="1"/>
  <c r="U4945" i="1" s="1"/>
  <c r="C4944" i="1"/>
  <c r="U4944" i="1" s="1"/>
  <c r="C4943" i="1"/>
  <c r="U4943" i="1" s="1"/>
  <c r="C4942" i="1"/>
  <c r="U4942" i="1" s="1"/>
  <c r="C4941" i="1"/>
  <c r="U4941" i="1" s="1"/>
  <c r="C4940" i="1"/>
  <c r="U4940" i="1" s="1"/>
  <c r="C4939" i="1"/>
  <c r="U4939" i="1" s="1"/>
  <c r="C4938" i="1"/>
  <c r="U4938" i="1" s="1"/>
  <c r="C4937" i="1"/>
  <c r="U4937" i="1" s="1"/>
  <c r="U4936" i="1"/>
  <c r="C4936" i="1"/>
  <c r="C4935" i="1"/>
  <c r="U4935" i="1" s="1"/>
  <c r="U4934" i="1"/>
  <c r="C4934" i="1"/>
  <c r="C4933" i="1"/>
  <c r="U4933" i="1" s="1"/>
  <c r="C4932" i="1"/>
  <c r="U4932" i="1" s="1"/>
  <c r="C4931" i="1"/>
  <c r="U4931" i="1" s="1"/>
  <c r="C4930" i="1"/>
  <c r="U4930" i="1" s="1"/>
  <c r="C4929" i="1"/>
  <c r="U4929" i="1" s="1"/>
  <c r="C4928" i="1"/>
  <c r="U4928" i="1" s="1"/>
  <c r="C4927" i="1"/>
  <c r="U4927" i="1" s="1"/>
  <c r="C4926" i="1"/>
  <c r="U4926" i="1" s="1"/>
  <c r="C4925" i="1"/>
  <c r="U4925" i="1" s="1"/>
  <c r="C4924" i="1"/>
  <c r="U4924" i="1" s="1"/>
  <c r="C4923" i="1"/>
  <c r="U4923" i="1" s="1"/>
  <c r="C4922" i="1"/>
  <c r="U4922" i="1" s="1"/>
  <c r="C4921" i="1"/>
  <c r="U4921" i="1" s="1"/>
  <c r="U4920" i="1"/>
  <c r="C4920" i="1"/>
  <c r="C4919" i="1"/>
  <c r="U4919" i="1" s="1"/>
  <c r="U4918" i="1"/>
  <c r="C4918" i="1"/>
  <c r="C4917" i="1"/>
  <c r="U4917" i="1" s="1"/>
  <c r="C4916" i="1"/>
  <c r="U4916" i="1" s="1"/>
  <c r="C4915" i="1"/>
  <c r="U4915" i="1" s="1"/>
  <c r="C4914" i="1"/>
  <c r="U4914" i="1" s="1"/>
  <c r="C4913" i="1"/>
  <c r="U4913" i="1" s="1"/>
  <c r="C4912" i="1"/>
  <c r="U4912" i="1" s="1"/>
  <c r="C4911" i="1"/>
  <c r="U4911" i="1" s="1"/>
  <c r="C4910" i="1"/>
  <c r="U4910" i="1" s="1"/>
  <c r="C4909" i="1"/>
  <c r="U4909" i="1" s="1"/>
  <c r="C4908" i="1"/>
  <c r="U4908" i="1" s="1"/>
  <c r="C4907" i="1"/>
  <c r="U4907" i="1" s="1"/>
  <c r="C4906" i="1"/>
  <c r="U4906" i="1" s="1"/>
  <c r="C4905" i="1"/>
  <c r="U4905" i="1" s="1"/>
  <c r="U4904" i="1"/>
  <c r="C4904" i="1"/>
  <c r="C4903" i="1"/>
  <c r="U4903" i="1" s="1"/>
  <c r="U4902" i="1"/>
  <c r="C4902" i="1"/>
  <c r="C4901" i="1"/>
  <c r="U4901" i="1" s="1"/>
  <c r="C4900" i="1"/>
  <c r="U4900" i="1" s="1"/>
  <c r="C4899" i="1"/>
  <c r="U4899" i="1" s="1"/>
  <c r="C4898" i="1"/>
  <c r="U4898" i="1" s="1"/>
  <c r="C4897" i="1"/>
  <c r="U4897" i="1" s="1"/>
  <c r="C4896" i="1"/>
  <c r="U4896" i="1" s="1"/>
  <c r="C4895" i="1"/>
  <c r="U4895" i="1" s="1"/>
  <c r="C4894" i="1"/>
  <c r="U4894" i="1" s="1"/>
  <c r="C4893" i="1"/>
  <c r="U4893" i="1" s="1"/>
  <c r="C4892" i="1"/>
  <c r="U4892" i="1" s="1"/>
  <c r="C4891" i="1"/>
  <c r="U4891" i="1" s="1"/>
  <c r="C4890" i="1"/>
  <c r="U4890" i="1" s="1"/>
  <c r="C4889" i="1"/>
  <c r="U4889" i="1" s="1"/>
  <c r="U4888" i="1"/>
  <c r="C4888" i="1"/>
  <c r="C4887" i="1"/>
  <c r="U4887" i="1" s="1"/>
  <c r="U4886" i="1"/>
  <c r="C4886" i="1"/>
  <c r="C4885" i="1"/>
  <c r="U4885" i="1" s="1"/>
  <c r="C4884" i="1"/>
  <c r="U4884" i="1" s="1"/>
  <c r="C4883" i="1"/>
  <c r="U4883" i="1" s="1"/>
  <c r="C4882" i="1"/>
  <c r="U4882" i="1" s="1"/>
  <c r="C4881" i="1"/>
  <c r="U4881" i="1" s="1"/>
  <c r="C4880" i="1"/>
  <c r="U4880" i="1" s="1"/>
  <c r="C4879" i="1"/>
  <c r="U4879" i="1" s="1"/>
  <c r="C4878" i="1"/>
  <c r="U4878" i="1" s="1"/>
  <c r="C4877" i="1"/>
  <c r="U4877" i="1" s="1"/>
  <c r="C4876" i="1"/>
  <c r="U4876" i="1" s="1"/>
  <c r="C4875" i="1"/>
  <c r="U4875" i="1" s="1"/>
  <c r="C4874" i="1"/>
  <c r="U4874" i="1" s="1"/>
  <c r="C4873" i="1"/>
  <c r="U4873" i="1" s="1"/>
  <c r="U4872" i="1"/>
  <c r="C4872" i="1"/>
  <c r="C4871" i="1"/>
  <c r="U4871" i="1" s="1"/>
  <c r="U4870" i="1"/>
  <c r="C4870" i="1"/>
  <c r="C4869" i="1"/>
  <c r="U4869" i="1" s="1"/>
  <c r="C4868" i="1"/>
  <c r="U4868" i="1" s="1"/>
  <c r="C4867" i="1"/>
  <c r="U4867" i="1" s="1"/>
  <c r="C4866" i="1"/>
  <c r="U4866" i="1" s="1"/>
  <c r="C4865" i="1"/>
  <c r="U4865" i="1" s="1"/>
  <c r="C4864" i="1"/>
  <c r="U4864" i="1" s="1"/>
  <c r="C4863" i="1"/>
  <c r="U4863" i="1" s="1"/>
  <c r="U4862" i="1"/>
  <c r="C4862" i="1"/>
  <c r="C4861" i="1"/>
  <c r="U4861" i="1" s="1"/>
  <c r="C4860" i="1"/>
  <c r="U4860" i="1" s="1"/>
  <c r="C4859" i="1"/>
  <c r="U4859" i="1" s="1"/>
  <c r="C4858" i="1"/>
  <c r="U4858" i="1" s="1"/>
  <c r="C4857" i="1"/>
  <c r="U4857" i="1" s="1"/>
  <c r="U4856" i="1"/>
  <c r="C4856" i="1"/>
  <c r="C4855" i="1"/>
  <c r="U4855" i="1" s="1"/>
  <c r="U4854" i="1"/>
  <c r="C4854" i="1"/>
  <c r="C4853" i="1"/>
  <c r="U4853" i="1" s="1"/>
  <c r="C4852" i="1"/>
  <c r="U4852" i="1" s="1"/>
  <c r="C4851" i="1"/>
  <c r="U4851" i="1" s="1"/>
  <c r="C4850" i="1"/>
  <c r="U4850" i="1" s="1"/>
  <c r="C4849" i="1"/>
  <c r="U4849" i="1" s="1"/>
  <c r="C4848" i="1"/>
  <c r="U4848" i="1" s="1"/>
  <c r="C4847" i="1"/>
  <c r="U4847" i="1" s="1"/>
  <c r="U4846" i="1"/>
  <c r="C4846" i="1"/>
  <c r="C4845" i="1"/>
  <c r="U4845" i="1" s="1"/>
  <c r="C4844" i="1"/>
  <c r="U4844" i="1" s="1"/>
  <c r="C4843" i="1"/>
  <c r="U4843" i="1" s="1"/>
  <c r="C4842" i="1"/>
  <c r="U4842" i="1" s="1"/>
  <c r="C4841" i="1"/>
  <c r="U4841" i="1" s="1"/>
  <c r="U4840" i="1"/>
  <c r="C4840" i="1"/>
  <c r="C4839" i="1"/>
  <c r="U4839" i="1" s="1"/>
  <c r="U4838" i="1"/>
  <c r="C4838" i="1"/>
  <c r="C4837" i="1"/>
  <c r="U4837" i="1" s="1"/>
  <c r="C4836" i="1"/>
  <c r="U4836" i="1" s="1"/>
  <c r="C4835" i="1"/>
  <c r="U4835" i="1" s="1"/>
  <c r="C4834" i="1"/>
  <c r="U4834" i="1" s="1"/>
  <c r="C4833" i="1"/>
  <c r="U4833" i="1" s="1"/>
  <c r="C4832" i="1"/>
  <c r="U4832" i="1" s="1"/>
  <c r="C4831" i="1"/>
  <c r="U4831" i="1" s="1"/>
  <c r="C4830" i="1"/>
  <c r="U4830" i="1" s="1"/>
  <c r="C4829" i="1"/>
  <c r="U4829" i="1" s="1"/>
  <c r="C4828" i="1"/>
  <c r="U4828" i="1" s="1"/>
  <c r="C4827" i="1"/>
  <c r="U4827" i="1" s="1"/>
  <c r="C4826" i="1"/>
  <c r="U4826" i="1" s="1"/>
  <c r="C4825" i="1"/>
  <c r="U4825" i="1" s="1"/>
  <c r="U4824" i="1"/>
  <c r="C4824" i="1"/>
  <c r="C4823" i="1"/>
  <c r="U4823" i="1" s="1"/>
  <c r="U4822" i="1"/>
  <c r="C4822" i="1"/>
  <c r="C4821" i="1"/>
  <c r="U4821" i="1" s="1"/>
  <c r="C4820" i="1"/>
  <c r="U4820" i="1" s="1"/>
  <c r="C4819" i="1"/>
  <c r="U4819" i="1" s="1"/>
  <c r="C4818" i="1"/>
  <c r="U4818" i="1" s="1"/>
  <c r="C4817" i="1"/>
  <c r="U4817" i="1" s="1"/>
  <c r="C4816" i="1"/>
  <c r="U4816" i="1" s="1"/>
  <c r="C4815" i="1"/>
  <c r="U4815" i="1" s="1"/>
  <c r="C4814" i="1"/>
  <c r="U4814" i="1" s="1"/>
  <c r="C4813" i="1"/>
  <c r="U4813" i="1" s="1"/>
  <c r="C4812" i="1"/>
  <c r="U4812" i="1" s="1"/>
  <c r="C4811" i="1"/>
  <c r="U4811" i="1" s="1"/>
  <c r="C4810" i="1"/>
  <c r="U4810" i="1" s="1"/>
  <c r="C4809" i="1"/>
  <c r="U4809" i="1" s="1"/>
  <c r="U4808" i="1"/>
  <c r="C4808" i="1"/>
  <c r="C4807" i="1"/>
  <c r="U4807" i="1" s="1"/>
  <c r="U4806" i="1"/>
  <c r="C4806" i="1"/>
  <c r="C4805" i="1"/>
  <c r="U4805" i="1" s="1"/>
  <c r="C4804" i="1"/>
  <c r="U4804" i="1" s="1"/>
  <c r="C4803" i="1"/>
  <c r="U4803" i="1" s="1"/>
  <c r="C4802" i="1"/>
  <c r="U4802" i="1" s="1"/>
  <c r="C4801" i="1"/>
  <c r="U4801" i="1" s="1"/>
  <c r="C4800" i="1"/>
  <c r="U4800" i="1" s="1"/>
  <c r="C4799" i="1"/>
  <c r="U4799" i="1" s="1"/>
  <c r="C4798" i="1"/>
  <c r="U4798" i="1" s="1"/>
  <c r="C4797" i="1"/>
  <c r="U4797" i="1" s="1"/>
  <c r="C4796" i="1"/>
  <c r="U4796" i="1" s="1"/>
  <c r="C4795" i="1"/>
  <c r="U4795" i="1" s="1"/>
  <c r="C4794" i="1"/>
  <c r="U4794" i="1" s="1"/>
  <c r="C4793" i="1"/>
  <c r="U4793" i="1" s="1"/>
  <c r="U4792" i="1"/>
  <c r="C4792" i="1"/>
  <c r="C4791" i="1"/>
  <c r="U4791" i="1" s="1"/>
  <c r="U4790" i="1"/>
  <c r="C4790" i="1"/>
  <c r="C4789" i="1"/>
  <c r="U4789" i="1" s="1"/>
  <c r="C4788" i="1"/>
  <c r="U4788" i="1" s="1"/>
  <c r="C4787" i="1"/>
  <c r="U4787" i="1" s="1"/>
  <c r="C4786" i="1"/>
  <c r="U4786" i="1" s="1"/>
  <c r="C4785" i="1"/>
  <c r="U4785" i="1" s="1"/>
  <c r="C4784" i="1"/>
  <c r="U4784" i="1" s="1"/>
  <c r="C4783" i="1"/>
  <c r="U4783" i="1" s="1"/>
  <c r="C4782" i="1"/>
  <c r="U4782" i="1" s="1"/>
  <c r="C4781" i="1"/>
  <c r="U4781" i="1" s="1"/>
  <c r="C4780" i="1"/>
  <c r="U4780" i="1" s="1"/>
  <c r="C4779" i="1"/>
  <c r="U4779" i="1" s="1"/>
  <c r="C4778" i="1"/>
  <c r="U4778" i="1" s="1"/>
  <c r="C4777" i="1"/>
  <c r="U4777" i="1" s="1"/>
  <c r="U4776" i="1"/>
  <c r="C4776" i="1"/>
  <c r="C4775" i="1"/>
  <c r="U4775" i="1" s="1"/>
  <c r="U4774" i="1"/>
  <c r="C4774" i="1"/>
  <c r="C4773" i="1"/>
  <c r="U4773" i="1" s="1"/>
  <c r="C4772" i="1"/>
  <c r="U4772" i="1" s="1"/>
  <c r="C4771" i="1"/>
  <c r="U4771" i="1" s="1"/>
  <c r="C4770" i="1"/>
  <c r="U4770" i="1" s="1"/>
  <c r="C4769" i="1"/>
  <c r="U4769" i="1" s="1"/>
  <c r="C4768" i="1"/>
  <c r="U4768" i="1" s="1"/>
  <c r="C4767" i="1"/>
  <c r="U4767" i="1" s="1"/>
  <c r="C4766" i="1"/>
  <c r="U4766" i="1" s="1"/>
  <c r="C4765" i="1"/>
  <c r="U4765" i="1" s="1"/>
  <c r="C4764" i="1"/>
  <c r="U4764" i="1" s="1"/>
  <c r="C4763" i="1"/>
  <c r="U4763" i="1" s="1"/>
  <c r="C4762" i="1"/>
  <c r="U4762" i="1" s="1"/>
  <c r="C4761" i="1"/>
  <c r="U4761" i="1" s="1"/>
  <c r="U4760" i="1"/>
  <c r="C4760" i="1"/>
  <c r="C4759" i="1"/>
  <c r="U4759" i="1" s="1"/>
  <c r="U4758" i="1"/>
  <c r="C4758" i="1"/>
  <c r="C4757" i="1"/>
  <c r="U4757" i="1" s="1"/>
  <c r="C4756" i="1"/>
  <c r="U4756" i="1" s="1"/>
  <c r="C4755" i="1"/>
  <c r="U4755" i="1" s="1"/>
  <c r="C4754" i="1"/>
  <c r="U4754" i="1" s="1"/>
  <c r="C4753" i="1"/>
  <c r="U4753" i="1" s="1"/>
  <c r="C4752" i="1"/>
  <c r="U4752" i="1" s="1"/>
  <c r="C4751" i="1"/>
  <c r="U4751" i="1" s="1"/>
  <c r="U4750" i="1"/>
  <c r="C4750" i="1"/>
  <c r="C4749" i="1"/>
  <c r="U4749" i="1" s="1"/>
  <c r="C4748" i="1"/>
  <c r="U4748" i="1" s="1"/>
  <c r="C4747" i="1"/>
  <c r="U4747" i="1" s="1"/>
  <c r="C4746" i="1"/>
  <c r="U4746" i="1" s="1"/>
  <c r="C4745" i="1"/>
  <c r="U4745" i="1" s="1"/>
  <c r="C4744" i="1"/>
  <c r="U4744" i="1" s="1"/>
  <c r="C4743" i="1"/>
  <c r="U4743" i="1" s="1"/>
  <c r="C4742" i="1"/>
  <c r="U4742" i="1" s="1"/>
  <c r="C4741" i="1"/>
  <c r="U4741" i="1" s="1"/>
  <c r="C4740" i="1"/>
  <c r="U4740" i="1" s="1"/>
  <c r="C4739" i="1"/>
  <c r="U4739" i="1" s="1"/>
  <c r="C4738" i="1"/>
  <c r="U4738" i="1" s="1"/>
  <c r="C4737" i="1"/>
  <c r="U4737" i="1" s="1"/>
  <c r="U4736" i="1"/>
  <c r="C4736" i="1"/>
  <c r="C4735" i="1"/>
  <c r="U4735" i="1" s="1"/>
  <c r="U4734" i="1"/>
  <c r="C4734" i="1"/>
  <c r="C4733" i="1"/>
  <c r="U4733" i="1" s="1"/>
  <c r="C4732" i="1"/>
  <c r="U4732" i="1" s="1"/>
  <c r="C4731" i="1"/>
  <c r="U4731" i="1" s="1"/>
  <c r="C4730" i="1"/>
  <c r="U4730" i="1" s="1"/>
  <c r="C4729" i="1"/>
  <c r="U4729" i="1" s="1"/>
  <c r="U4728" i="1"/>
  <c r="C4728" i="1"/>
  <c r="C4727" i="1"/>
  <c r="U4727" i="1" s="1"/>
  <c r="C4726" i="1"/>
  <c r="U4726" i="1" s="1"/>
  <c r="C4725" i="1"/>
  <c r="U4725" i="1" s="1"/>
  <c r="C4724" i="1"/>
  <c r="U4724" i="1" s="1"/>
  <c r="C4723" i="1"/>
  <c r="U4723" i="1" s="1"/>
  <c r="C4722" i="1"/>
  <c r="U4722" i="1" s="1"/>
  <c r="C4721" i="1"/>
  <c r="U4721" i="1" s="1"/>
  <c r="U4720" i="1"/>
  <c r="C4720" i="1"/>
  <c r="C4719" i="1"/>
  <c r="U4719" i="1" s="1"/>
  <c r="U4718" i="1"/>
  <c r="C4718" i="1"/>
  <c r="C4717" i="1"/>
  <c r="U4717" i="1" s="1"/>
  <c r="C4716" i="1"/>
  <c r="U4716" i="1" s="1"/>
  <c r="C4715" i="1"/>
  <c r="U4715" i="1" s="1"/>
  <c r="C4714" i="1"/>
  <c r="U4714" i="1" s="1"/>
  <c r="C4713" i="1"/>
  <c r="U4713" i="1" s="1"/>
  <c r="U4712" i="1"/>
  <c r="C4712" i="1"/>
  <c r="C4711" i="1"/>
  <c r="U4711" i="1" s="1"/>
  <c r="C4710" i="1"/>
  <c r="U4710" i="1" s="1"/>
  <c r="C4709" i="1"/>
  <c r="U4709" i="1" s="1"/>
  <c r="C4708" i="1"/>
  <c r="U4708" i="1" s="1"/>
  <c r="C4707" i="1"/>
  <c r="U4707" i="1" s="1"/>
  <c r="C4706" i="1"/>
  <c r="U4706" i="1" s="1"/>
  <c r="C4705" i="1"/>
  <c r="U4705" i="1" s="1"/>
  <c r="U4704" i="1"/>
  <c r="C4704" i="1"/>
  <c r="C4703" i="1"/>
  <c r="U4703" i="1" s="1"/>
  <c r="U4702" i="1"/>
  <c r="C4702" i="1"/>
  <c r="C4701" i="1"/>
  <c r="U4701" i="1" s="1"/>
  <c r="C4700" i="1"/>
  <c r="U4700" i="1" s="1"/>
  <c r="C4699" i="1"/>
  <c r="U4699" i="1" s="1"/>
  <c r="C4698" i="1"/>
  <c r="U4698" i="1" s="1"/>
  <c r="C4697" i="1"/>
  <c r="U4697" i="1" s="1"/>
  <c r="U4696" i="1"/>
  <c r="C4696" i="1"/>
  <c r="C4695" i="1"/>
  <c r="U4695" i="1" s="1"/>
  <c r="C4694" i="1"/>
  <c r="U4694" i="1" s="1"/>
  <c r="C4693" i="1"/>
  <c r="U4693" i="1" s="1"/>
  <c r="C4692" i="1"/>
  <c r="U4692" i="1" s="1"/>
  <c r="C4691" i="1"/>
  <c r="U4691" i="1" s="1"/>
  <c r="C4690" i="1"/>
  <c r="U4690" i="1" s="1"/>
  <c r="C4689" i="1"/>
  <c r="U4689" i="1" s="1"/>
  <c r="U4688" i="1"/>
  <c r="C4688" i="1"/>
  <c r="C4687" i="1"/>
  <c r="U4687" i="1" s="1"/>
  <c r="U4686" i="1"/>
  <c r="C4686" i="1"/>
  <c r="C4685" i="1"/>
  <c r="U4685" i="1" s="1"/>
  <c r="C4684" i="1"/>
  <c r="U4684" i="1" s="1"/>
  <c r="C4683" i="1"/>
  <c r="U4683" i="1" s="1"/>
  <c r="C4682" i="1"/>
  <c r="U4682" i="1" s="1"/>
  <c r="C4681" i="1"/>
  <c r="U4681" i="1" s="1"/>
  <c r="U4680" i="1"/>
  <c r="C4680" i="1"/>
  <c r="C4679" i="1"/>
  <c r="U4679" i="1" s="1"/>
  <c r="C4678" i="1"/>
  <c r="U4678" i="1" s="1"/>
  <c r="C4677" i="1"/>
  <c r="U4677" i="1" s="1"/>
  <c r="C4676" i="1"/>
  <c r="U4676" i="1" s="1"/>
  <c r="C4675" i="1"/>
  <c r="U4675" i="1" s="1"/>
  <c r="C4674" i="1"/>
  <c r="U4674" i="1" s="1"/>
  <c r="C4673" i="1"/>
  <c r="U4673" i="1" s="1"/>
  <c r="U4672" i="1"/>
  <c r="C4672" i="1"/>
  <c r="C4671" i="1"/>
  <c r="U4671" i="1" s="1"/>
  <c r="U4670" i="1"/>
  <c r="C4670" i="1"/>
  <c r="C4669" i="1"/>
  <c r="U4669" i="1" s="1"/>
  <c r="C4668" i="1"/>
  <c r="U4668" i="1" s="1"/>
  <c r="C4667" i="1"/>
  <c r="U4667" i="1" s="1"/>
  <c r="C4666" i="1"/>
  <c r="U4666" i="1" s="1"/>
  <c r="C4665" i="1"/>
  <c r="U4665" i="1" s="1"/>
  <c r="U4664" i="1"/>
  <c r="C4664" i="1"/>
  <c r="C4663" i="1"/>
  <c r="U4663" i="1" s="1"/>
  <c r="C4662" i="1"/>
  <c r="U4662" i="1" s="1"/>
  <c r="C4661" i="1"/>
  <c r="U4661" i="1" s="1"/>
  <c r="C4660" i="1"/>
  <c r="U4660" i="1" s="1"/>
  <c r="C4659" i="1"/>
  <c r="U4659" i="1" s="1"/>
  <c r="C4658" i="1"/>
  <c r="U4658" i="1" s="1"/>
  <c r="C4657" i="1"/>
  <c r="U4657" i="1" s="1"/>
  <c r="U4656" i="1"/>
  <c r="C4656" i="1"/>
  <c r="C4655" i="1"/>
  <c r="U4655" i="1" s="1"/>
  <c r="U4654" i="1"/>
  <c r="C4654" i="1"/>
  <c r="C4653" i="1"/>
  <c r="U4653" i="1" s="1"/>
  <c r="C4652" i="1"/>
  <c r="U4652" i="1" s="1"/>
  <c r="C4651" i="1"/>
  <c r="U4651" i="1" s="1"/>
  <c r="C4650" i="1"/>
  <c r="U4650" i="1" s="1"/>
  <c r="C4649" i="1"/>
  <c r="U4649" i="1" s="1"/>
  <c r="U4648" i="1"/>
  <c r="C4648" i="1"/>
  <c r="C4647" i="1"/>
  <c r="U4647" i="1" s="1"/>
  <c r="C4646" i="1"/>
  <c r="U4646" i="1" s="1"/>
  <c r="C4645" i="1"/>
  <c r="U4645" i="1" s="1"/>
  <c r="C4644" i="1"/>
  <c r="U4644" i="1" s="1"/>
  <c r="C4643" i="1"/>
  <c r="U4643" i="1" s="1"/>
  <c r="C4642" i="1"/>
  <c r="U4642" i="1" s="1"/>
  <c r="C4641" i="1"/>
  <c r="U4641" i="1" s="1"/>
  <c r="C4640" i="1"/>
  <c r="U4640" i="1" s="1"/>
  <c r="C4639" i="1"/>
  <c r="U4639" i="1" s="1"/>
  <c r="U4638" i="1"/>
  <c r="C4638" i="1"/>
  <c r="C4637" i="1"/>
  <c r="U4637" i="1" s="1"/>
  <c r="C4636" i="1"/>
  <c r="U4636" i="1" s="1"/>
  <c r="C4635" i="1"/>
  <c r="U4635" i="1" s="1"/>
  <c r="C4634" i="1"/>
  <c r="U4634" i="1" s="1"/>
  <c r="C4633" i="1"/>
  <c r="U4633" i="1" s="1"/>
  <c r="U4632" i="1"/>
  <c r="C4632" i="1"/>
  <c r="C4631" i="1"/>
  <c r="U4631" i="1" s="1"/>
  <c r="C4630" i="1"/>
  <c r="U4630" i="1" s="1"/>
  <c r="C4629" i="1"/>
  <c r="U4629" i="1" s="1"/>
  <c r="C4628" i="1"/>
  <c r="U4628" i="1" s="1"/>
  <c r="C4627" i="1"/>
  <c r="U4627" i="1" s="1"/>
  <c r="C4626" i="1"/>
  <c r="U4626" i="1" s="1"/>
  <c r="C4625" i="1"/>
  <c r="U4625" i="1" s="1"/>
  <c r="C4624" i="1"/>
  <c r="U4624" i="1" s="1"/>
  <c r="C4623" i="1"/>
  <c r="U4623" i="1" s="1"/>
  <c r="U4622" i="1"/>
  <c r="C4622" i="1"/>
  <c r="C4621" i="1"/>
  <c r="U4621" i="1" s="1"/>
  <c r="C4620" i="1"/>
  <c r="U4620" i="1" s="1"/>
  <c r="C4619" i="1"/>
  <c r="U4619" i="1" s="1"/>
  <c r="C4618" i="1"/>
  <c r="U4618" i="1" s="1"/>
  <c r="C4617" i="1"/>
  <c r="U4617" i="1" s="1"/>
  <c r="U4616" i="1"/>
  <c r="C4616" i="1"/>
  <c r="C4615" i="1"/>
  <c r="U4615" i="1" s="1"/>
  <c r="C4614" i="1"/>
  <c r="U4614" i="1" s="1"/>
  <c r="C4613" i="1"/>
  <c r="U4613" i="1" s="1"/>
  <c r="C4612" i="1"/>
  <c r="U4612" i="1" s="1"/>
  <c r="C4611" i="1"/>
  <c r="U4611" i="1" s="1"/>
  <c r="C4610" i="1"/>
  <c r="U4610" i="1" s="1"/>
  <c r="C4609" i="1"/>
  <c r="U4609" i="1" s="1"/>
  <c r="C4608" i="1"/>
  <c r="U4608" i="1" s="1"/>
  <c r="C4607" i="1"/>
  <c r="U4607" i="1" s="1"/>
  <c r="U4606" i="1"/>
  <c r="C4606" i="1"/>
  <c r="C4605" i="1"/>
  <c r="U4605" i="1" s="1"/>
  <c r="C4604" i="1"/>
  <c r="U4604" i="1" s="1"/>
  <c r="C4603" i="1"/>
  <c r="U4603" i="1" s="1"/>
  <c r="C4602" i="1"/>
  <c r="U4602" i="1" s="1"/>
  <c r="C4601" i="1"/>
  <c r="U4601" i="1" s="1"/>
  <c r="U4600" i="1"/>
  <c r="C4600" i="1"/>
  <c r="C4599" i="1"/>
  <c r="U4599" i="1" s="1"/>
  <c r="C4598" i="1"/>
  <c r="U4598" i="1" s="1"/>
  <c r="C4597" i="1"/>
  <c r="U4597" i="1" s="1"/>
  <c r="C4596" i="1"/>
  <c r="U4596" i="1" s="1"/>
  <c r="C4595" i="1"/>
  <c r="U4595" i="1" s="1"/>
  <c r="C4594" i="1"/>
  <c r="U4594" i="1" s="1"/>
  <c r="C4593" i="1"/>
  <c r="U4593" i="1" s="1"/>
  <c r="C4592" i="1"/>
  <c r="U4592" i="1" s="1"/>
  <c r="C4591" i="1"/>
  <c r="U4591" i="1" s="1"/>
  <c r="U4590" i="1"/>
  <c r="C4590" i="1"/>
  <c r="C4589" i="1"/>
  <c r="U4589" i="1" s="1"/>
  <c r="C4588" i="1"/>
  <c r="U4588" i="1" s="1"/>
  <c r="C4587" i="1"/>
  <c r="U4587" i="1" s="1"/>
  <c r="C4586" i="1"/>
  <c r="U4586" i="1" s="1"/>
  <c r="C4585" i="1"/>
  <c r="U4585" i="1" s="1"/>
  <c r="U4584" i="1"/>
  <c r="C4584" i="1"/>
  <c r="C4583" i="1"/>
  <c r="U4583" i="1" s="1"/>
  <c r="C4582" i="1"/>
  <c r="U4582" i="1" s="1"/>
  <c r="C4581" i="1"/>
  <c r="U4581" i="1" s="1"/>
  <c r="C4580" i="1"/>
  <c r="U4580" i="1" s="1"/>
  <c r="C4579" i="1"/>
  <c r="U4579" i="1" s="1"/>
  <c r="C4578" i="1"/>
  <c r="U4578" i="1" s="1"/>
  <c r="C4577" i="1"/>
  <c r="U4577" i="1" s="1"/>
  <c r="C4576" i="1"/>
  <c r="U4576" i="1" s="1"/>
  <c r="C4575" i="1"/>
  <c r="U4575" i="1" s="1"/>
  <c r="U4574" i="1"/>
  <c r="C4574" i="1"/>
  <c r="C4573" i="1"/>
  <c r="U4573" i="1" s="1"/>
  <c r="C4572" i="1"/>
  <c r="U4572" i="1" s="1"/>
  <c r="C4571" i="1"/>
  <c r="U4571" i="1" s="1"/>
  <c r="C4570" i="1"/>
  <c r="U4570" i="1" s="1"/>
  <c r="C4569" i="1"/>
  <c r="U4569" i="1" s="1"/>
  <c r="U4568" i="1"/>
  <c r="C4568" i="1"/>
  <c r="C4567" i="1"/>
  <c r="U4567" i="1" s="1"/>
  <c r="C4566" i="1"/>
  <c r="U4566" i="1" s="1"/>
  <c r="C4565" i="1"/>
  <c r="U4565" i="1" s="1"/>
  <c r="C4564" i="1"/>
  <c r="U4564" i="1" s="1"/>
  <c r="C4563" i="1"/>
  <c r="U4563" i="1" s="1"/>
  <c r="C4562" i="1"/>
  <c r="U4562" i="1" s="1"/>
  <c r="C4561" i="1"/>
  <c r="U4561" i="1" s="1"/>
  <c r="C4560" i="1"/>
  <c r="U4560" i="1" s="1"/>
  <c r="C4559" i="1"/>
  <c r="U4559" i="1" s="1"/>
  <c r="U4558" i="1"/>
  <c r="C4558" i="1"/>
  <c r="C4557" i="1"/>
  <c r="U4557" i="1" s="1"/>
  <c r="C4556" i="1"/>
  <c r="U4556" i="1" s="1"/>
  <c r="C4555" i="1"/>
  <c r="U4555" i="1" s="1"/>
  <c r="C4554" i="1"/>
  <c r="U4554" i="1" s="1"/>
  <c r="C4553" i="1"/>
  <c r="U4553" i="1" s="1"/>
  <c r="U4552" i="1"/>
  <c r="C4552" i="1"/>
  <c r="C4551" i="1"/>
  <c r="U4551" i="1" s="1"/>
  <c r="C4550" i="1"/>
  <c r="U4550" i="1" s="1"/>
  <c r="C4549" i="1"/>
  <c r="U4549" i="1" s="1"/>
  <c r="C4548" i="1"/>
  <c r="U4548" i="1" s="1"/>
  <c r="C4547" i="1"/>
  <c r="U4547" i="1" s="1"/>
  <c r="C4546" i="1"/>
  <c r="U4546" i="1" s="1"/>
  <c r="C4545" i="1"/>
  <c r="U4545" i="1" s="1"/>
  <c r="U4544" i="1"/>
  <c r="C4544" i="1"/>
  <c r="C4543" i="1"/>
  <c r="U4543" i="1" s="1"/>
  <c r="U4542" i="1"/>
  <c r="C4542" i="1"/>
  <c r="C4541" i="1"/>
  <c r="U4541" i="1" s="1"/>
  <c r="C4540" i="1"/>
  <c r="U4540" i="1" s="1"/>
  <c r="C4539" i="1"/>
  <c r="U4539" i="1" s="1"/>
  <c r="C4538" i="1"/>
  <c r="U4538" i="1" s="1"/>
  <c r="C4537" i="1"/>
  <c r="U4537" i="1" s="1"/>
  <c r="U4536" i="1"/>
  <c r="C4536" i="1"/>
  <c r="C4535" i="1"/>
  <c r="U4535" i="1" s="1"/>
  <c r="C4534" i="1"/>
  <c r="U4534" i="1" s="1"/>
  <c r="C4533" i="1"/>
  <c r="U4533" i="1" s="1"/>
  <c r="C4532" i="1"/>
  <c r="U4532" i="1" s="1"/>
  <c r="C4531" i="1"/>
  <c r="U4531" i="1" s="1"/>
  <c r="C4530" i="1"/>
  <c r="U4530" i="1" s="1"/>
  <c r="C4529" i="1"/>
  <c r="U4529" i="1" s="1"/>
  <c r="U4528" i="1"/>
  <c r="C4528" i="1"/>
  <c r="C4527" i="1"/>
  <c r="U4527" i="1" s="1"/>
  <c r="U4526" i="1"/>
  <c r="C4526" i="1"/>
  <c r="C4525" i="1"/>
  <c r="U4525" i="1" s="1"/>
  <c r="C4524" i="1"/>
  <c r="U4524" i="1" s="1"/>
  <c r="C4523" i="1"/>
  <c r="U4523" i="1" s="1"/>
  <c r="C4522" i="1"/>
  <c r="U4522" i="1" s="1"/>
  <c r="C4521" i="1"/>
  <c r="U4521" i="1" s="1"/>
  <c r="U4520" i="1"/>
  <c r="C4520" i="1"/>
  <c r="C4519" i="1"/>
  <c r="U4519" i="1" s="1"/>
  <c r="C4518" i="1"/>
  <c r="U4518" i="1" s="1"/>
  <c r="C4517" i="1"/>
  <c r="U4517" i="1" s="1"/>
  <c r="C4516" i="1"/>
  <c r="U4516" i="1" s="1"/>
  <c r="C4515" i="1"/>
  <c r="U4515" i="1" s="1"/>
  <c r="C4514" i="1"/>
  <c r="U4514" i="1" s="1"/>
  <c r="C4513" i="1"/>
  <c r="U4513" i="1" s="1"/>
  <c r="U4512" i="1"/>
  <c r="C4512" i="1"/>
  <c r="C4511" i="1"/>
  <c r="U4511" i="1" s="1"/>
  <c r="U4510" i="1"/>
  <c r="C4510" i="1"/>
  <c r="C4509" i="1"/>
  <c r="U4509" i="1" s="1"/>
  <c r="C4508" i="1"/>
  <c r="U4508" i="1" s="1"/>
  <c r="C4507" i="1"/>
  <c r="U4507" i="1" s="1"/>
  <c r="C4506" i="1"/>
  <c r="U4506" i="1" s="1"/>
  <c r="C4505" i="1"/>
  <c r="U4505" i="1" s="1"/>
  <c r="U4504" i="1"/>
  <c r="C4504" i="1"/>
  <c r="C4503" i="1"/>
  <c r="U4503" i="1" s="1"/>
  <c r="C4502" i="1"/>
  <c r="U4502" i="1" s="1"/>
  <c r="C4501" i="1"/>
  <c r="U4501" i="1" s="1"/>
  <c r="C4500" i="1"/>
  <c r="U4500" i="1" s="1"/>
  <c r="C4499" i="1"/>
  <c r="U4499" i="1" s="1"/>
  <c r="C4498" i="1"/>
  <c r="U4498" i="1" s="1"/>
  <c r="C4497" i="1"/>
  <c r="U4497" i="1" s="1"/>
  <c r="U4496" i="1"/>
  <c r="C4496" i="1"/>
  <c r="C4495" i="1"/>
  <c r="U4495" i="1" s="1"/>
  <c r="U4494" i="1"/>
  <c r="C4494" i="1"/>
  <c r="C4493" i="1"/>
  <c r="U4493" i="1" s="1"/>
  <c r="C4492" i="1"/>
  <c r="U4492" i="1" s="1"/>
  <c r="C4491" i="1"/>
  <c r="U4491" i="1" s="1"/>
  <c r="C4490" i="1"/>
  <c r="U4490" i="1" s="1"/>
  <c r="C4489" i="1"/>
  <c r="U4489" i="1" s="1"/>
  <c r="U4488" i="1"/>
  <c r="C4488" i="1"/>
  <c r="C4487" i="1"/>
  <c r="U4487" i="1" s="1"/>
  <c r="C4486" i="1"/>
  <c r="U4486" i="1" s="1"/>
  <c r="C4485" i="1"/>
  <c r="U4485" i="1" s="1"/>
  <c r="C4484" i="1"/>
  <c r="U4484" i="1" s="1"/>
  <c r="C4483" i="1"/>
  <c r="U4483" i="1" s="1"/>
  <c r="C4482" i="1"/>
  <c r="U4482" i="1" s="1"/>
  <c r="C4481" i="1"/>
  <c r="U4481" i="1" s="1"/>
  <c r="C4480" i="1"/>
  <c r="U4480" i="1" s="1"/>
  <c r="C4479" i="1"/>
  <c r="U4479" i="1" s="1"/>
  <c r="U4478" i="1"/>
  <c r="C4478" i="1"/>
  <c r="C4477" i="1"/>
  <c r="U4477" i="1" s="1"/>
  <c r="C4476" i="1"/>
  <c r="U4476" i="1" s="1"/>
  <c r="C4475" i="1"/>
  <c r="U4475" i="1" s="1"/>
  <c r="C4474" i="1"/>
  <c r="U4474" i="1" s="1"/>
  <c r="C4473" i="1"/>
  <c r="U4473" i="1" s="1"/>
  <c r="U4472" i="1"/>
  <c r="C4472" i="1"/>
  <c r="C4471" i="1"/>
  <c r="U4471" i="1" s="1"/>
  <c r="C4470" i="1"/>
  <c r="U4470" i="1" s="1"/>
  <c r="C4469" i="1"/>
  <c r="U4469" i="1" s="1"/>
  <c r="C4468" i="1"/>
  <c r="U4468" i="1" s="1"/>
  <c r="C4467" i="1"/>
  <c r="U4467" i="1" s="1"/>
  <c r="C4466" i="1"/>
  <c r="U4466" i="1" s="1"/>
  <c r="C4465" i="1"/>
  <c r="U4465" i="1" s="1"/>
  <c r="U4464" i="1"/>
  <c r="C4464" i="1"/>
  <c r="C4463" i="1"/>
  <c r="U4463" i="1" s="1"/>
  <c r="U4462" i="1"/>
  <c r="C4462" i="1"/>
  <c r="C4461" i="1"/>
  <c r="U4461" i="1" s="1"/>
  <c r="C4460" i="1"/>
  <c r="U4460" i="1" s="1"/>
  <c r="C4459" i="1"/>
  <c r="U4459" i="1" s="1"/>
  <c r="C4458" i="1"/>
  <c r="U4458" i="1" s="1"/>
  <c r="C4457" i="1"/>
  <c r="U4457" i="1" s="1"/>
  <c r="U4456" i="1"/>
  <c r="C4456" i="1"/>
  <c r="C4455" i="1"/>
  <c r="U4455" i="1" s="1"/>
  <c r="C4454" i="1"/>
  <c r="U4454" i="1" s="1"/>
  <c r="C4453" i="1"/>
  <c r="U4453" i="1" s="1"/>
  <c r="C4452" i="1"/>
  <c r="U4452" i="1" s="1"/>
  <c r="C4451" i="1"/>
  <c r="U4451" i="1" s="1"/>
  <c r="C4450" i="1"/>
  <c r="U4450" i="1" s="1"/>
  <c r="C4449" i="1"/>
  <c r="U4449" i="1" s="1"/>
  <c r="U4448" i="1"/>
  <c r="C4448" i="1"/>
  <c r="C4447" i="1"/>
  <c r="U4447" i="1" s="1"/>
  <c r="U4446" i="1"/>
  <c r="C4446" i="1"/>
  <c r="C4445" i="1"/>
  <c r="U4445" i="1" s="1"/>
  <c r="C4444" i="1"/>
  <c r="U4444" i="1" s="1"/>
  <c r="C4443" i="1"/>
  <c r="U4443" i="1" s="1"/>
  <c r="C4442" i="1"/>
  <c r="U4442" i="1" s="1"/>
  <c r="C4441" i="1"/>
  <c r="U4441" i="1" s="1"/>
  <c r="U4440" i="1"/>
  <c r="C4440" i="1"/>
  <c r="C4439" i="1"/>
  <c r="U4439" i="1" s="1"/>
  <c r="C4438" i="1"/>
  <c r="U4438" i="1" s="1"/>
  <c r="C4437" i="1"/>
  <c r="U4437" i="1" s="1"/>
  <c r="C4436" i="1"/>
  <c r="U4436" i="1" s="1"/>
  <c r="C4435" i="1"/>
  <c r="U4435" i="1" s="1"/>
  <c r="C4434" i="1"/>
  <c r="U4434" i="1" s="1"/>
  <c r="C4433" i="1"/>
  <c r="U4433" i="1" s="1"/>
  <c r="C4432" i="1"/>
  <c r="U4432" i="1" s="1"/>
  <c r="C4431" i="1"/>
  <c r="U4431" i="1" s="1"/>
  <c r="U4430" i="1"/>
  <c r="C4430" i="1"/>
  <c r="C4429" i="1"/>
  <c r="U4429" i="1" s="1"/>
  <c r="C4428" i="1"/>
  <c r="U4428" i="1" s="1"/>
  <c r="C4427" i="1"/>
  <c r="U4427" i="1" s="1"/>
  <c r="C4426" i="1"/>
  <c r="U4426" i="1" s="1"/>
  <c r="C4425" i="1"/>
  <c r="U4425" i="1" s="1"/>
  <c r="U4424" i="1"/>
  <c r="C4424" i="1"/>
  <c r="C4423" i="1"/>
  <c r="U4423" i="1" s="1"/>
  <c r="C4422" i="1"/>
  <c r="U4422" i="1" s="1"/>
  <c r="C4421" i="1"/>
  <c r="U4421" i="1" s="1"/>
  <c r="C4420" i="1"/>
  <c r="U4420" i="1" s="1"/>
  <c r="C4419" i="1"/>
  <c r="U4419" i="1" s="1"/>
  <c r="C4418" i="1"/>
  <c r="U4418" i="1" s="1"/>
  <c r="C4417" i="1"/>
  <c r="U4417" i="1" s="1"/>
  <c r="C4416" i="1"/>
  <c r="U4416" i="1" s="1"/>
  <c r="C4415" i="1"/>
  <c r="U4415" i="1" s="1"/>
  <c r="U4414" i="1"/>
  <c r="C4414" i="1"/>
  <c r="C4413" i="1"/>
  <c r="U4413" i="1" s="1"/>
  <c r="C4412" i="1"/>
  <c r="U4412" i="1" s="1"/>
  <c r="C4411" i="1"/>
  <c r="U4411" i="1" s="1"/>
  <c r="C4410" i="1"/>
  <c r="U4410" i="1" s="1"/>
  <c r="C4409" i="1"/>
  <c r="U4409" i="1" s="1"/>
  <c r="U4408" i="1"/>
  <c r="C4408" i="1"/>
  <c r="C4407" i="1"/>
  <c r="U4407" i="1" s="1"/>
  <c r="C4406" i="1"/>
  <c r="U4406" i="1" s="1"/>
  <c r="C4405" i="1"/>
  <c r="U4405" i="1" s="1"/>
  <c r="C4404" i="1"/>
  <c r="U4404" i="1" s="1"/>
  <c r="C4403" i="1"/>
  <c r="U4403" i="1" s="1"/>
  <c r="C4402" i="1"/>
  <c r="U4402" i="1" s="1"/>
  <c r="C4401" i="1"/>
  <c r="U4401" i="1" s="1"/>
  <c r="C4400" i="1"/>
  <c r="U4400" i="1" s="1"/>
  <c r="C4399" i="1"/>
  <c r="U4399" i="1" s="1"/>
  <c r="U4398" i="1"/>
  <c r="C4398" i="1"/>
  <c r="C4397" i="1"/>
  <c r="U4397" i="1" s="1"/>
  <c r="C4396" i="1"/>
  <c r="U4396" i="1" s="1"/>
  <c r="C4395" i="1"/>
  <c r="U4395" i="1" s="1"/>
  <c r="C4394" i="1"/>
  <c r="U4394" i="1" s="1"/>
  <c r="C4393" i="1"/>
  <c r="U4393" i="1" s="1"/>
  <c r="U4392" i="1"/>
  <c r="C4392" i="1"/>
  <c r="C4391" i="1"/>
  <c r="U4391" i="1" s="1"/>
  <c r="C4390" i="1"/>
  <c r="U4390" i="1" s="1"/>
  <c r="C4389" i="1"/>
  <c r="U4389" i="1" s="1"/>
  <c r="C4388" i="1"/>
  <c r="U4388" i="1" s="1"/>
  <c r="C4387" i="1"/>
  <c r="U4387" i="1" s="1"/>
  <c r="C4386" i="1"/>
  <c r="U4386" i="1" s="1"/>
  <c r="C4385" i="1"/>
  <c r="U4385" i="1" s="1"/>
  <c r="C4384" i="1"/>
  <c r="U4384" i="1" s="1"/>
  <c r="C4383" i="1"/>
  <c r="U4383" i="1" s="1"/>
  <c r="U4382" i="1"/>
  <c r="C4382" i="1"/>
  <c r="C4381" i="1"/>
  <c r="U4381" i="1" s="1"/>
  <c r="C4380" i="1"/>
  <c r="U4380" i="1" s="1"/>
  <c r="C4379" i="1"/>
  <c r="U4379" i="1" s="1"/>
  <c r="C4378" i="1"/>
  <c r="U4378" i="1" s="1"/>
  <c r="C4377" i="1"/>
  <c r="U4377" i="1" s="1"/>
  <c r="U4376" i="1"/>
  <c r="C4376" i="1"/>
  <c r="C4375" i="1"/>
  <c r="U4375" i="1" s="1"/>
  <c r="C4374" i="1"/>
  <c r="U4374" i="1" s="1"/>
  <c r="C4373" i="1"/>
  <c r="U4373" i="1" s="1"/>
  <c r="C4372" i="1"/>
  <c r="U4372" i="1" s="1"/>
  <c r="C4371" i="1"/>
  <c r="U4371" i="1" s="1"/>
  <c r="C4370" i="1"/>
  <c r="U4370" i="1" s="1"/>
  <c r="C4369" i="1"/>
  <c r="U4369" i="1" s="1"/>
  <c r="U4368" i="1"/>
  <c r="C4368" i="1"/>
  <c r="C4367" i="1"/>
  <c r="U4367" i="1" s="1"/>
  <c r="U4366" i="1"/>
  <c r="C4366" i="1"/>
  <c r="C4365" i="1"/>
  <c r="U4365" i="1" s="1"/>
  <c r="C4364" i="1"/>
  <c r="U4364" i="1" s="1"/>
  <c r="C4363" i="1"/>
  <c r="U4363" i="1" s="1"/>
  <c r="C4362" i="1"/>
  <c r="U4362" i="1" s="1"/>
  <c r="C4361" i="1"/>
  <c r="U4361" i="1" s="1"/>
  <c r="U4360" i="1"/>
  <c r="C4360" i="1"/>
  <c r="C4359" i="1"/>
  <c r="U4359" i="1" s="1"/>
  <c r="C4358" i="1"/>
  <c r="U4358" i="1" s="1"/>
  <c r="C4357" i="1"/>
  <c r="U4357" i="1" s="1"/>
  <c r="C4356" i="1"/>
  <c r="U4356" i="1" s="1"/>
  <c r="C4355" i="1"/>
  <c r="U4355" i="1" s="1"/>
  <c r="C4354" i="1"/>
  <c r="U4354" i="1" s="1"/>
  <c r="C4353" i="1"/>
  <c r="U4353" i="1" s="1"/>
  <c r="U4352" i="1"/>
  <c r="C4352" i="1"/>
  <c r="C4351" i="1"/>
  <c r="U4351" i="1" s="1"/>
  <c r="U4350" i="1"/>
  <c r="C4350" i="1"/>
  <c r="C4349" i="1"/>
  <c r="U4349" i="1" s="1"/>
  <c r="C4348" i="1"/>
  <c r="U4348" i="1" s="1"/>
  <c r="C4347" i="1"/>
  <c r="U4347" i="1" s="1"/>
  <c r="C4346" i="1"/>
  <c r="U4346" i="1" s="1"/>
  <c r="C4345" i="1"/>
  <c r="U4345" i="1" s="1"/>
  <c r="U4344" i="1"/>
  <c r="C4344" i="1"/>
  <c r="C4343" i="1"/>
  <c r="U4343" i="1" s="1"/>
  <c r="C4342" i="1"/>
  <c r="U4342" i="1" s="1"/>
  <c r="C4341" i="1"/>
  <c r="U4341" i="1" s="1"/>
  <c r="C4340" i="1"/>
  <c r="U4340" i="1" s="1"/>
  <c r="C4339" i="1"/>
  <c r="U4339" i="1" s="1"/>
  <c r="C4338" i="1"/>
  <c r="U4338" i="1" s="1"/>
  <c r="C4337" i="1"/>
  <c r="U4337" i="1" s="1"/>
  <c r="U4336" i="1"/>
  <c r="C4336" i="1"/>
  <c r="C4335" i="1"/>
  <c r="U4335" i="1" s="1"/>
  <c r="U4334" i="1"/>
  <c r="C4334" i="1"/>
  <c r="C4333" i="1"/>
  <c r="U4333" i="1" s="1"/>
  <c r="C4332" i="1"/>
  <c r="U4332" i="1" s="1"/>
  <c r="C4331" i="1"/>
  <c r="U4331" i="1" s="1"/>
  <c r="C4330" i="1"/>
  <c r="U4330" i="1" s="1"/>
  <c r="C4329" i="1"/>
  <c r="U4329" i="1" s="1"/>
  <c r="U4328" i="1"/>
  <c r="C4328" i="1"/>
  <c r="C4327" i="1"/>
  <c r="U4327" i="1" s="1"/>
  <c r="C4326" i="1"/>
  <c r="U4326" i="1" s="1"/>
  <c r="C4325" i="1"/>
  <c r="U4325" i="1" s="1"/>
  <c r="C4324" i="1"/>
  <c r="U4324" i="1" s="1"/>
  <c r="C4323" i="1"/>
  <c r="U4323" i="1" s="1"/>
  <c r="C4322" i="1"/>
  <c r="U4322" i="1" s="1"/>
  <c r="C4321" i="1"/>
  <c r="U4321" i="1" s="1"/>
  <c r="U4320" i="1"/>
  <c r="C4320" i="1"/>
  <c r="C4319" i="1"/>
  <c r="U4319" i="1" s="1"/>
  <c r="U4318" i="1"/>
  <c r="C4318" i="1"/>
  <c r="C4317" i="1"/>
  <c r="U4317" i="1" s="1"/>
  <c r="C4316" i="1"/>
  <c r="U4316" i="1" s="1"/>
  <c r="C4315" i="1"/>
  <c r="U4315" i="1" s="1"/>
  <c r="C4314" i="1"/>
  <c r="U4314" i="1" s="1"/>
  <c r="C4313" i="1"/>
  <c r="U4313" i="1" s="1"/>
  <c r="U4312" i="1"/>
  <c r="C4312" i="1"/>
  <c r="C4311" i="1"/>
  <c r="U4311" i="1" s="1"/>
  <c r="C4310" i="1"/>
  <c r="U4310" i="1" s="1"/>
  <c r="C4309" i="1"/>
  <c r="U4309" i="1" s="1"/>
  <c r="C4308" i="1"/>
  <c r="U4308" i="1" s="1"/>
  <c r="C4307" i="1"/>
  <c r="U4307" i="1" s="1"/>
  <c r="C4306" i="1"/>
  <c r="U4306" i="1" s="1"/>
  <c r="C4305" i="1"/>
  <c r="U4305" i="1" s="1"/>
  <c r="U4304" i="1"/>
  <c r="C4304" i="1"/>
  <c r="C4303" i="1"/>
  <c r="U4303" i="1" s="1"/>
  <c r="U4302" i="1"/>
  <c r="C4302" i="1"/>
  <c r="C4301" i="1"/>
  <c r="U4301" i="1" s="1"/>
  <c r="C4300" i="1"/>
  <c r="U4300" i="1" s="1"/>
  <c r="C4299" i="1"/>
  <c r="U4299" i="1" s="1"/>
  <c r="C4298" i="1"/>
  <c r="U4298" i="1" s="1"/>
  <c r="C4297" i="1"/>
  <c r="U4297" i="1" s="1"/>
  <c r="U4296" i="1"/>
  <c r="C4296" i="1"/>
  <c r="C4295" i="1"/>
  <c r="U4295" i="1" s="1"/>
  <c r="C4294" i="1"/>
  <c r="U4294" i="1" s="1"/>
  <c r="C4293" i="1"/>
  <c r="U4293" i="1" s="1"/>
  <c r="C4292" i="1"/>
  <c r="U4292" i="1" s="1"/>
  <c r="C4291" i="1"/>
  <c r="U4291" i="1" s="1"/>
  <c r="C4290" i="1"/>
  <c r="U4290" i="1" s="1"/>
  <c r="C4289" i="1"/>
  <c r="U4289" i="1" s="1"/>
  <c r="U4288" i="1"/>
  <c r="C4288" i="1"/>
  <c r="C4287" i="1"/>
  <c r="U4287" i="1" s="1"/>
  <c r="U4286" i="1"/>
  <c r="C4286" i="1"/>
  <c r="C4285" i="1"/>
  <c r="U4285" i="1" s="1"/>
  <c r="C4284" i="1"/>
  <c r="U4284" i="1" s="1"/>
  <c r="C4283" i="1"/>
  <c r="U4283" i="1" s="1"/>
  <c r="C4282" i="1"/>
  <c r="U4282" i="1" s="1"/>
  <c r="C4281" i="1"/>
  <c r="U4281" i="1" s="1"/>
  <c r="U4280" i="1"/>
  <c r="C4280" i="1"/>
  <c r="C4279" i="1"/>
  <c r="U4279" i="1" s="1"/>
  <c r="C4278" i="1"/>
  <c r="U4278" i="1" s="1"/>
  <c r="C4277" i="1"/>
  <c r="U4277" i="1" s="1"/>
  <c r="C4276" i="1"/>
  <c r="U4276" i="1" s="1"/>
  <c r="C4275" i="1"/>
  <c r="U4275" i="1" s="1"/>
  <c r="C4274" i="1"/>
  <c r="U4274" i="1" s="1"/>
  <c r="C4273" i="1"/>
  <c r="U4273" i="1" s="1"/>
  <c r="U4272" i="1"/>
  <c r="C4272" i="1"/>
  <c r="C4271" i="1"/>
  <c r="U4271" i="1" s="1"/>
  <c r="U4270" i="1"/>
  <c r="C4270" i="1"/>
  <c r="C4269" i="1"/>
  <c r="U4269" i="1" s="1"/>
  <c r="C4268" i="1"/>
  <c r="U4268" i="1" s="1"/>
  <c r="C4267" i="1"/>
  <c r="U4267" i="1" s="1"/>
  <c r="C4266" i="1"/>
  <c r="U4266" i="1" s="1"/>
  <c r="C4265" i="1"/>
  <c r="U4265" i="1" s="1"/>
  <c r="U4264" i="1"/>
  <c r="C4264" i="1"/>
  <c r="C4263" i="1"/>
  <c r="U4263" i="1" s="1"/>
  <c r="C4262" i="1"/>
  <c r="U4262" i="1" s="1"/>
  <c r="C4261" i="1"/>
  <c r="U4261" i="1" s="1"/>
  <c r="C4260" i="1"/>
  <c r="U4260" i="1" s="1"/>
  <c r="C4259" i="1"/>
  <c r="U4259" i="1" s="1"/>
  <c r="C4258" i="1"/>
  <c r="U4258" i="1" s="1"/>
  <c r="C4257" i="1"/>
  <c r="U4257" i="1" s="1"/>
  <c r="U4256" i="1"/>
  <c r="C4256" i="1"/>
  <c r="C4255" i="1"/>
  <c r="U4255" i="1" s="1"/>
  <c r="U4254" i="1"/>
  <c r="C4254" i="1"/>
  <c r="C4253" i="1"/>
  <c r="U4253" i="1" s="1"/>
  <c r="C4252" i="1"/>
  <c r="U4252" i="1" s="1"/>
  <c r="C4251" i="1"/>
  <c r="U4251" i="1" s="1"/>
  <c r="C4250" i="1"/>
  <c r="U4250" i="1" s="1"/>
  <c r="C4249" i="1"/>
  <c r="U4249" i="1" s="1"/>
  <c r="U4248" i="1"/>
  <c r="C4248" i="1"/>
  <c r="C4247" i="1"/>
  <c r="U4247" i="1" s="1"/>
  <c r="C4246" i="1"/>
  <c r="U4246" i="1" s="1"/>
  <c r="C4245" i="1"/>
  <c r="U4245" i="1" s="1"/>
  <c r="C4244" i="1"/>
  <c r="U4244" i="1" s="1"/>
  <c r="C4243" i="1"/>
  <c r="U4243" i="1" s="1"/>
  <c r="C4242" i="1"/>
  <c r="U4242" i="1" s="1"/>
  <c r="C4241" i="1"/>
  <c r="U4241" i="1" s="1"/>
  <c r="U4240" i="1"/>
  <c r="C4240" i="1"/>
  <c r="C4239" i="1"/>
  <c r="U4239" i="1" s="1"/>
  <c r="U4238" i="1"/>
  <c r="C4238" i="1"/>
  <c r="C4237" i="1"/>
  <c r="U4237" i="1" s="1"/>
  <c r="C4236" i="1"/>
  <c r="U4236" i="1" s="1"/>
  <c r="C4235" i="1"/>
  <c r="U4235" i="1" s="1"/>
  <c r="C4234" i="1"/>
  <c r="U4234" i="1" s="1"/>
  <c r="C4233" i="1"/>
  <c r="U4233" i="1" s="1"/>
  <c r="U4232" i="1"/>
  <c r="C4232" i="1"/>
  <c r="C4231" i="1"/>
  <c r="U4231" i="1" s="1"/>
  <c r="C4230" i="1"/>
  <c r="U4230" i="1" s="1"/>
  <c r="C4229" i="1"/>
  <c r="U4229" i="1" s="1"/>
  <c r="C4228" i="1"/>
  <c r="U4228" i="1" s="1"/>
  <c r="C4227" i="1"/>
  <c r="U4227" i="1" s="1"/>
  <c r="C4226" i="1"/>
  <c r="U4226" i="1" s="1"/>
  <c r="C4225" i="1"/>
  <c r="U4225" i="1" s="1"/>
  <c r="U4224" i="1"/>
  <c r="C4224" i="1"/>
  <c r="C4223" i="1"/>
  <c r="U4223" i="1" s="1"/>
  <c r="U4222" i="1"/>
  <c r="C4222" i="1"/>
  <c r="C4221" i="1"/>
  <c r="U4221" i="1" s="1"/>
  <c r="C4220" i="1"/>
  <c r="U4220" i="1" s="1"/>
  <c r="C4219" i="1"/>
  <c r="U4219" i="1" s="1"/>
  <c r="C4218" i="1"/>
  <c r="U4218" i="1" s="1"/>
  <c r="C4217" i="1"/>
  <c r="U4217" i="1" s="1"/>
  <c r="U4216" i="1"/>
  <c r="C4216" i="1"/>
  <c r="C4215" i="1"/>
  <c r="U4215" i="1" s="1"/>
  <c r="C4214" i="1"/>
  <c r="U4214" i="1" s="1"/>
  <c r="C4213" i="1"/>
  <c r="U4213" i="1" s="1"/>
  <c r="C4212" i="1"/>
  <c r="U4212" i="1" s="1"/>
  <c r="C4211" i="1"/>
  <c r="U4211" i="1" s="1"/>
  <c r="C4210" i="1"/>
  <c r="U4210" i="1" s="1"/>
  <c r="C4209" i="1"/>
  <c r="U4209" i="1" s="1"/>
  <c r="U4208" i="1"/>
  <c r="C4208" i="1"/>
  <c r="C4207" i="1"/>
  <c r="U4207" i="1" s="1"/>
  <c r="U4206" i="1"/>
  <c r="C4206" i="1"/>
  <c r="C4205" i="1"/>
  <c r="U4205" i="1" s="1"/>
  <c r="C4204" i="1"/>
  <c r="U4204" i="1" s="1"/>
  <c r="C4203" i="1"/>
  <c r="U4203" i="1" s="1"/>
  <c r="C4202" i="1"/>
  <c r="U4202" i="1" s="1"/>
  <c r="C4201" i="1"/>
  <c r="U4201" i="1" s="1"/>
  <c r="U4200" i="1"/>
  <c r="C4200" i="1"/>
  <c r="C4199" i="1"/>
  <c r="U4199" i="1" s="1"/>
  <c r="C4198" i="1"/>
  <c r="U4198" i="1" s="1"/>
  <c r="C4197" i="1"/>
  <c r="U4197" i="1" s="1"/>
  <c r="C4196" i="1"/>
  <c r="U4196" i="1" s="1"/>
  <c r="C4195" i="1"/>
  <c r="U4195" i="1" s="1"/>
  <c r="C4194" i="1"/>
  <c r="U4194" i="1" s="1"/>
  <c r="C4193" i="1"/>
  <c r="U4193" i="1" s="1"/>
  <c r="U4192" i="1"/>
  <c r="C4192" i="1"/>
  <c r="C4191" i="1"/>
  <c r="U4191" i="1" s="1"/>
  <c r="U4190" i="1"/>
  <c r="C4190" i="1"/>
  <c r="C4189" i="1"/>
  <c r="U4189" i="1" s="1"/>
  <c r="C4188" i="1"/>
  <c r="U4188" i="1" s="1"/>
  <c r="C4187" i="1"/>
  <c r="U4187" i="1" s="1"/>
  <c r="C4186" i="1"/>
  <c r="U4186" i="1" s="1"/>
  <c r="C4185" i="1"/>
  <c r="U4185" i="1" s="1"/>
  <c r="U4184" i="1"/>
  <c r="C4184" i="1"/>
  <c r="C4183" i="1"/>
  <c r="U4183" i="1" s="1"/>
  <c r="C4182" i="1"/>
  <c r="U4182" i="1" s="1"/>
  <c r="C4181" i="1"/>
  <c r="U4181" i="1" s="1"/>
  <c r="C4180" i="1"/>
  <c r="U4180" i="1" s="1"/>
  <c r="C4179" i="1"/>
  <c r="U4179" i="1" s="1"/>
  <c r="C4178" i="1"/>
  <c r="U4178" i="1" s="1"/>
  <c r="C4177" i="1"/>
  <c r="U4177" i="1" s="1"/>
  <c r="U4176" i="1"/>
  <c r="C4176" i="1"/>
  <c r="C4175" i="1"/>
  <c r="U4175" i="1" s="1"/>
  <c r="U4174" i="1"/>
  <c r="C4174" i="1"/>
  <c r="C4173" i="1"/>
  <c r="U4173" i="1" s="1"/>
  <c r="C4172" i="1"/>
  <c r="U4172" i="1" s="1"/>
  <c r="C4171" i="1"/>
  <c r="U4171" i="1" s="1"/>
  <c r="C4170" i="1"/>
  <c r="U4170" i="1" s="1"/>
  <c r="C4169" i="1"/>
  <c r="U4169" i="1" s="1"/>
  <c r="U4168" i="1"/>
  <c r="C4168" i="1"/>
  <c r="C4167" i="1"/>
  <c r="U4167" i="1" s="1"/>
  <c r="C4166" i="1"/>
  <c r="U4166" i="1" s="1"/>
  <c r="C4165" i="1"/>
  <c r="U4165" i="1" s="1"/>
  <c r="C4164" i="1"/>
  <c r="U4164" i="1" s="1"/>
  <c r="C4163" i="1"/>
  <c r="U4163" i="1" s="1"/>
  <c r="C4162" i="1"/>
  <c r="U4162" i="1" s="1"/>
  <c r="C4161" i="1"/>
  <c r="U4161" i="1" s="1"/>
  <c r="U4160" i="1"/>
  <c r="C4160" i="1"/>
  <c r="C4159" i="1"/>
  <c r="U4159" i="1" s="1"/>
  <c r="U4158" i="1"/>
  <c r="C4158" i="1"/>
  <c r="C4157" i="1"/>
  <c r="U4157" i="1" s="1"/>
  <c r="C4156" i="1"/>
  <c r="U4156" i="1" s="1"/>
  <c r="C4155" i="1"/>
  <c r="U4155" i="1" s="1"/>
  <c r="C4154" i="1"/>
  <c r="U4154" i="1" s="1"/>
  <c r="C4153" i="1"/>
  <c r="U4153" i="1" s="1"/>
  <c r="U4152" i="1"/>
  <c r="C4152" i="1"/>
  <c r="C4151" i="1"/>
  <c r="U4151" i="1" s="1"/>
  <c r="C4150" i="1"/>
  <c r="U4150" i="1" s="1"/>
  <c r="C4149" i="1"/>
  <c r="U4149" i="1" s="1"/>
  <c r="C4148" i="1"/>
  <c r="U4148" i="1" s="1"/>
  <c r="C4147" i="1"/>
  <c r="U4147" i="1" s="1"/>
  <c r="C4146" i="1"/>
  <c r="U4146" i="1" s="1"/>
  <c r="C4145" i="1"/>
  <c r="U4145" i="1" s="1"/>
  <c r="U4144" i="1"/>
  <c r="C4144" i="1"/>
  <c r="C4143" i="1"/>
  <c r="U4143" i="1" s="1"/>
  <c r="U4142" i="1"/>
  <c r="C4142" i="1"/>
  <c r="C4141" i="1"/>
  <c r="U4141" i="1" s="1"/>
  <c r="C4140" i="1"/>
  <c r="U4140" i="1" s="1"/>
  <c r="C4139" i="1"/>
  <c r="U4139" i="1" s="1"/>
  <c r="C4138" i="1"/>
  <c r="U4138" i="1" s="1"/>
  <c r="C4137" i="1"/>
  <c r="U4137" i="1" s="1"/>
  <c r="U4136" i="1"/>
  <c r="C4136" i="1"/>
  <c r="C4135" i="1"/>
  <c r="U4135" i="1" s="1"/>
  <c r="C4134" i="1"/>
  <c r="U4134" i="1" s="1"/>
  <c r="C4133" i="1"/>
  <c r="U4133" i="1" s="1"/>
  <c r="C4132" i="1"/>
  <c r="U4132" i="1" s="1"/>
  <c r="C4131" i="1"/>
  <c r="U4131" i="1" s="1"/>
  <c r="C4130" i="1"/>
  <c r="U4130" i="1" s="1"/>
  <c r="C4129" i="1"/>
  <c r="U4129" i="1" s="1"/>
  <c r="U4128" i="1"/>
  <c r="C4128" i="1"/>
  <c r="C4127" i="1"/>
  <c r="U4127" i="1" s="1"/>
  <c r="U4126" i="1"/>
  <c r="C4126" i="1"/>
  <c r="C4125" i="1"/>
  <c r="U4125" i="1" s="1"/>
  <c r="C4124" i="1"/>
  <c r="U4124" i="1" s="1"/>
  <c r="C4123" i="1"/>
  <c r="U4123" i="1" s="1"/>
  <c r="C4122" i="1"/>
  <c r="U4122" i="1" s="1"/>
  <c r="C4121" i="1"/>
  <c r="U4121" i="1" s="1"/>
  <c r="U4120" i="1"/>
  <c r="C4120" i="1"/>
  <c r="C4119" i="1"/>
  <c r="U4119" i="1" s="1"/>
  <c r="C4118" i="1"/>
  <c r="U4118" i="1" s="1"/>
  <c r="C4117" i="1"/>
  <c r="U4117" i="1" s="1"/>
  <c r="C4116" i="1"/>
  <c r="U4116" i="1" s="1"/>
  <c r="C4115" i="1"/>
  <c r="U4115" i="1" s="1"/>
  <c r="C4114" i="1"/>
  <c r="U4114" i="1" s="1"/>
  <c r="C4113" i="1"/>
  <c r="U4113" i="1" s="1"/>
  <c r="U4112" i="1"/>
  <c r="C4112" i="1"/>
  <c r="C4111" i="1"/>
  <c r="U4111" i="1" s="1"/>
  <c r="U4110" i="1"/>
  <c r="C4110" i="1"/>
  <c r="C4109" i="1"/>
  <c r="U4109" i="1" s="1"/>
  <c r="C4108" i="1"/>
  <c r="U4108" i="1" s="1"/>
  <c r="C4107" i="1"/>
  <c r="U4107" i="1" s="1"/>
  <c r="C4106" i="1"/>
  <c r="U4106" i="1" s="1"/>
  <c r="C4105" i="1"/>
  <c r="U4105" i="1" s="1"/>
  <c r="U4104" i="1"/>
  <c r="C4104" i="1"/>
  <c r="C4103" i="1"/>
  <c r="U4103" i="1" s="1"/>
  <c r="C4102" i="1"/>
  <c r="U4102" i="1" s="1"/>
  <c r="C4101" i="1"/>
  <c r="U4101" i="1" s="1"/>
  <c r="C4100" i="1"/>
  <c r="U4100" i="1" s="1"/>
  <c r="C4099" i="1"/>
  <c r="U4099" i="1" s="1"/>
  <c r="C4098" i="1"/>
  <c r="U4098" i="1" s="1"/>
  <c r="C4097" i="1"/>
  <c r="U4097" i="1" s="1"/>
  <c r="U4096" i="1"/>
  <c r="C4096" i="1"/>
  <c r="C4095" i="1"/>
  <c r="U4095" i="1" s="1"/>
  <c r="U4094" i="1"/>
  <c r="C4094" i="1"/>
  <c r="C4093" i="1"/>
  <c r="U4093" i="1" s="1"/>
  <c r="C4092" i="1"/>
  <c r="U4092" i="1" s="1"/>
  <c r="C4091" i="1"/>
  <c r="U4091" i="1" s="1"/>
  <c r="C4090" i="1"/>
  <c r="U4090" i="1" s="1"/>
  <c r="C4089" i="1"/>
  <c r="U4089" i="1" s="1"/>
  <c r="U4088" i="1"/>
  <c r="C4088" i="1"/>
  <c r="C4087" i="1"/>
  <c r="U4087" i="1" s="1"/>
  <c r="C4086" i="1"/>
  <c r="U4086" i="1" s="1"/>
  <c r="C4085" i="1"/>
  <c r="U4085" i="1" s="1"/>
  <c r="C4084" i="1"/>
  <c r="U4084" i="1" s="1"/>
  <c r="C4083" i="1"/>
  <c r="U4083" i="1" s="1"/>
  <c r="C4082" i="1"/>
  <c r="U4082" i="1" s="1"/>
  <c r="C4081" i="1"/>
  <c r="U4081" i="1" s="1"/>
  <c r="U4080" i="1"/>
  <c r="C4080" i="1"/>
  <c r="C4079" i="1"/>
  <c r="U4079" i="1" s="1"/>
  <c r="U4078" i="1"/>
  <c r="C4078" i="1"/>
  <c r="C4077" i="1"/>
  <c r="U4077" i="1" s="1"/>
  <c r="C4076" i="1"/>
  <c r="U4076" i="1" s="1"/>
  <c r="C4075" i="1"/>
  <c r="U4075" i="1" s="1"/>
  <c r="C4074" i="1"/>
  <c r="U4074" i="1" s="1"/>
  <c r="C4073" i="1"/>
  <c r="U4073" i="1" s="1"/>
  <c r="U4072" i="1"/>
  <c r="C4072" i="1"/>
  <c r="C4071" i="1"/>
  <c r="U4071" i="1" s="1"/>
  <c r="C4070" i="1"/>
  <c r="U4070" i="1" s="1"/>
  <c r="C4069" i="1"/>
  <c r="U4069" i="1" s="1"/>
  <c r="C4068" i="1"/>
  <c r="U4068" i="1" s="1"/>
  <c r="C4067" i="1"/>
  <c r="U4067" i="1" s="1"/>
  <c r="C4066" i="1"/>
  <c r="U4066" i="1" s="1"/>
  <c r="C4065" i="1"/>
  <c r="U4065" i="1" s="1"/>
  <c r="U4064" i="1"/>
  <c r="C4064" i="1"/>
  <c r="C4063" i="1"/>
  <c r="U4063" i="1" s="1"/>
  <c r="U4062" i="1"/>
  <c r="C4062" i="1"/>
  <c r="C4061" i="1"/>
  <c r="U4061" i="1" s="1"/>
  <c r="C4060" i="1"/>
  <c r="U4060" i="1" s="1"/>
  <c r="C4059" i="1"/>
  <c r="U4059" i="1" s="1"/>
  <c r="C4058" i="1"/>
  <c r="U4058" i="1" s="1"/>
  <c r="C4057" i="1"/>
  <c r="U4057" i="1" s="1"/>
  <c r="U4056" i="1"/>
  <c r="C4056" i="1"/>
  <c r="C4055" i="1"/>
  <c r="U4055" i="1" s="1"/>
  <c r="C4054" i="1"/>
  <c r="U4054" i="1" s="1"/>
  <c r="C4053" i="1"/>
  <c r="U4053" i="1" s="1"/>
  <c r="C4052" i="1"/>
  <c r="U4052" i="1" s="1"/>
  <c r="C4051" i="1"/>
  <c r="U4051" i="1" s="1"/>
  <c r="C4050" i="1"/>
  <c r="U4050" i="1" s="1"/>
  <c r="C4049" i="1"/>
  <c r="U4049" i="1" s="1"/>
  <c r="U4048" i="1"/>
  <c r="C4048" i="1"/>
  <c r="C4047" i="1"/>
  <c r="U4047" i="1" s="1"/>
  <c r="U4046" i="1"/>
  <c r="C4046" i="1"/>
  <c r="C4045" i="1"/>
  <c r="U4045" i="1" s="1"/>
  <c r="C4044" i="1"/>
  <c r="U4044" i="1" s="1"/>
  <c r="C4043" i="1"/>
  <c r="U4043" i="1" s="1"/>
  <c r="C4042" i="1"/>
  <c r="U4042" i="1" s="1"/>
  <c r="C4041" i="1"/>
  <c r="U4041" i="1" s="1"/>
  <c r="U4040" i="1"/>
  <c r="C4040" i="1"/>
  <c r="C4039" i="1"/>
  <c r="U4039" i="1" s="1"/>
  <c r="C4038" i="1"/>
  <c r="U4038" i="1" s="1"/>
  <c r="C4037" i="1"/>
  <c r="U4037" i="1" s="1"/>
  <c r="C4036" i="1"/>
  <c r="U4036" i="1" s="1"/>
  <c r="C4035" i="1"/>
  <c r="U4035" i="1" s="1"/>
  <c r="C4034" i="1"/>
  <c r="U4034" i="1" s="1"/>
  <c r="C4033" i="1"/>
  <c r="U4033" i="1" s="1"/>
  <c r="U4032" i="1"/>
  <c r="C4032" i="1"/>
  <c r="C4031" i="1"/>
  <c r="U4031" i="1" s="1"/>
  <c r="U4030" i="1"/>
  <c r="C4030" i="1"/>
  <c r="C4029" i="1"/>
  <c r="U4029" i="1" s="1"/>
  <c r="C4028" i="1"/>
  <c r="U4028" i="1" s="1"/>
  <c r="C4027" i="1"/>
  <c r="U4027" i="1" s="1"/>
  <c r="C4026" i="1"/>
  <c r="U4026" i="1" s="1"/>
  <c r="C4025" i="1"/>
  <c r="U4025" i="1" s="1"/>
  <c r="U4024" i="1"/>
  <c r="C4024" i="1"/>
  <c r="C4023" i="1"/>
  <c r="U4023" i="1" s="1"/>
  <c r="C4022" i="1"/>
  <c r="U4022" i="1" s="1"/>
  <c r="C4021" i="1"/>
  <c r="U4021" i="1" s="1"/>
  <c r="C4020" i="1"/>
  <c r="U4020" i="1" s="1"/>
  <c r="C4019" i="1"/>
  <c r="U4019" i="1" s="1"/>
  <c r="C4018" i="1"/>
  <c r="U4018" i="1" s="1"/>
  <c r="C4017" i="1"/>
  <c r="U4017" i="1" s="1"/>
  <c r="U4016" i="1"/>
  <c r="C4016" i="1"/>
  <c r="C4015" i="1"/>
  <c r="U4015" i="1" s="1"/>
  <c r="U4014" i="1"/>
  <c r="C4014" i="1"/>
  <c r="C4013" i="1"/>
  <c r="U4013" i="1" s="1"/>
  <c r="C4012" i="1"/>
  <c r="U4012" i="1" s="1"/>
  <c r="C4011" i="1"/>
  <c r="U4011" i="1" s="1"/>
  <c r="C4010" i="1"/>
  <c r="U4010" i="1" s="1"/>
  <c r="C4009" i="1"/>
  <c r="U4009" i="1" s="1"/>
  <c r="U4008" i="1"/>
  <c r="C4008" i="1"/>
  <c r="C4007" i="1"/>
  <c r="U4007" i="1" s="1"/>
  <c r="C4006" i="1"/>
  <c r="U4006" i="1" s="1"/>
  <c r="C4005" i="1"/>
  <c r="U4005" i="1" s="1"/>
  <c r="C4004" i="1"/>
  <c r="U4004" i="1" s="1"/>
  <c r="C4003" i="1"/>
  <c r="U4003" i="1" s="1"/>
  <c r="C4002" i="1"/>
  <c r="U4002" i="1" s="1"/>
  <c r="C4001" i="1"/>
  <c r="U4001" i="1" s="1"/>
  <c r="U4000" i="1"/>
  <c r="C4000" i="1"/>
  <c r="C3999" i="1"/>
  <c r="U3999" i="1" s="1"/>
  <c r="U3998" i="1"/>
  <c r="C3998" i="1"/>
  <c r="C3997" i="1"/>
  <c r="U3997" i="1" s="1"/>
  <c r="C3996" i="1"/>
  <c r="U3996" i="1" s="1"/>
  <c r="C3995" i="1"/>
  <c r="U3995" i="1" s="1"/>
  <c r="C3994" i="1"/>
  <c r="U3994" i="1" s="1"/>
  <c r="C3993" i="1"/>
  <c r="U3993" i="1" s="1"/>
  <c r="U3992" i="1"/>
  <c r="C3992" i="1"/>
  <c r="C3991" i="1"/>
  <c r="U3991" i="1" s="1"/>
  <c r="C3990" i="1"/>
  <c r="U3990" i="1" s="1"/>
  <c r="C3989" i="1"/>
  <c r="U3989" i="1" s="1"/>
  <c r="C3988" i="1"/>
  <c r="U3988" i="1" s="1"/>
  <c r="C3987" i="1"/>
  <c r="U3987" i="1" s="1"/>
  <c r="C3986" i="1"/>
  <c r="U3986" i="1" s="1"/>
  <c r="C3985" i="1"/>
  <c r="U3985" i="1" s="1"/>
  <c r="U3984" i="1"/>
  <c r="C3984" i="1"/>
  <c r="C3983" i="1"/>
  <c r="U3983" i="1" s="1"/>
  <c r="U3982" i="1"/>
  <c r="C3982" i="1"/>
  <c r="C3981" i="1"/>
  <c r="U3981" i="1" s="1"/>
  <c r="C3980" i="1"/>
  <c r="U3980" i="1" s="1"/>
  <c r="C3979" i="1"/>
  <c r="U3979" i="1" s="1"/>
  <c r="C3978" i="1"/>
  <c r="U3978" i="1" s="1"/>
  <c r="C3977" i="1"/>
  <c r="U3977" i="1" s="1"/>
  <c r="U3976" i="1"/>
  <c r="C3976" i="1"/>
  <c r="C3975" i="1"/>
  <c r="U3975" i="1" s="1"/>
  <c r="C3974" i="1"/>
  <c r="U3974" i="1" s="1"/>
  <c r="C3973" i="1"/>
  <c r="U3973" i="1" s="1"/>
  <c r="C3972" i="1"/>
  <c r="U3972" i="1" s="1"/>
  <c r="C3971" i="1"/>
  <c r="U3971" i="1" s="1"/>
  <c r="C3970" i="1"/>
  <c r="U3970" i="1" s="1"/>
  <c r="C3969" i="1"/>
  <c r="U3969" i="1" s="1"/>
  <c r="U3968" i="1"/>
  <c r="C3968" i="1"/>
  <c r="C3967" i="1"/>
  <c r="U3967" i="1" s="1"/>
  <c r="U3966" i="1"/>
  <c r="C3966" i="1"/>
  <c r="C3965" i="1"/>
  <c r="U3965" i="1" s="1"/>
  <c r="C3964" i="1"/>
  <c r="U3964" i="1" s="1"/>
  <c r="C3963" i="1"/>
  <c r="U3963" i="1" s="1"/>
  <c r="C3962" i="1"/>
  <c r="U3962" i="1" s="1"/>
  <c r="C3961" i="1"/>
  <c r="U3961" i="1" s="1"/>
  <c r="U3960" i="1"/>
  <c r="C3960" i="1"/>
  <c r="C3959" i="1"/>
  <c r="U3959" i="1" s="1"/>
  <c r="C3958" i="1"/>
  <c r="U3958" i="1" s="1"/>
  <c r="C3957" i="1"/>
  <c r="U3957" i="1" s="1"/>
  <c r="C3956" i="1"/>
  <c r="U3956" i="1" s="1"/>
  <c r="C3955" i="1"/>
  <c r="U3955" i="1" s="1"/>
  <c r="C3954" i="1"/>
  <c r="U3954" i="1" s="1"/>
  <c r="C3953" i="1"/>
  <c r="U3953" i="1" s="1"/>
  <c r="U3952" i="1"/>
  <c r="C3952" i="1"/>
  <c r="C3951" i="1"/>
  <c r="U3951" i="1" s="1"/>
  <c r="U3950" i="1"/>
  <c r="C3950" i="1"/>
  <c r="C3949" i="1"/>
  <c r="U3949" i="1" s="1"/>
  <c r="C3948" i="1"/>
  <c r="U3948" i="1" s="1"/>
  <c r="C3947" i="1"/>
  <c r="U3947" i="1" s="1"/>
  <c r="C3946" i="1"/>
  <c r="U3946" i="1" s="1"/>
  <c r="C3945" i="1"/>
  <c r="U3945" i="1" s="1"/>
  <c r="U3944" i="1"/>
  <c r="C3944" i="1"/>
  <c r="C3943" i="1"/>
  <c r="U3943" i="1" s="1"/>
  <c r="C3942" i="1"/>
  <c r="U3942" i="1" s="1"/>
  <c r="C3941" i="1"/>
  <c r="U3941" i="1" s="1"/>
  <c r="C3940" i="1"/>
  <c r="U3940" i="1" s="1"/>
  <c r="C3939" i="1"/>
  <c r="U3939" i="1" s="1"/>
  <c r="C3938" i="1"/>
  <c r="U3938" i="1" s="1"/>
  <c r="C3937" i="1"/>
  <c r="U3937" i="1" s="1"/>
  <c r="U3936" i="1"/>
  <c r="C3936" i="1"/>
  <c r="C3935" i="1"/>
  <c r="U3935" i="1" s="1"/>
  <c r="U3934" i="1"/>
  <c r="C3934" i="1"/>
  <c r="C3933" i="1"/>
  <c r="U3933" i="1" s="1"/>
  <c r="C3932" i="1"/>
  <c r="U3932" i="1" s="1"/>
  <c r="C3931" i="1"/>
  <c r="U3931" i="1" s="1"/>
  <c r="C3930" i="1"/>
  <c r="U3930" i="1" s="1"/>
  <c r="C3929" i="1"/>
  <c r="U3929" i="1" s="1"/>
  <c r="U3928" i="1"/>
  <c r="C3928" i="1"/>
  <c r="C3927" i="1"/>
  <c r="U3927" i="1" s="1"/>
  <c r="C3926" i="1"/>
  <c r="U3926" i="1" s="1"/>
  <c r="C3925" i="1"/>
  <c r="U3925" i="1" s="1"/>
  <c r="C3924" i="1"/>
  <c r="U3924" i="1" s="1"/>
  <c r="C3923" i="1"/>
  <c r="U3923" i="1" s="1"/>
  <c r="C3922" i="1"/>
  <c r="U3922" i="1" s="1"/>
  <c r="C3921" i="1"/>
  <c r="U3921" i="1" s="1"/>
  <c r="U3920" i="1"/>
  <c r="C3920" i="1"/>
  <c r="C3919" i="1"/>
  <c r="U3919" i="1" s="1"/>
  <c r="U3918" i="1"/>
  <c r="C3918" i="1"/>
  <c r="C3917" i="1"/>
  <c r="U3917" i="1" s="1"/>
  <c r="C3916" i="1"/>
  <c r="U3916" i="1" s="1"/>
  <c r="C3915" i="1"/>
  <c r="U3915" i="1" s="1"/>
  <c r="C3914" i="1"/>
  <c r="U3914" i="1" s="1"/>
  <c r="C3913" i="1"/>
  <c r="U3913" i="1" s="1"/>
  <c r="U3912" i="1"/>
  <c r="C3912" i="1"/>
  <c r="C3911" i="1"/>
  <c r="U3911" i="1" s="1"/>
  <c r="C3910" i="1"/>
  <c r="U3910" i="1" s="1"/>
  <c r="C3909" i="1"/>
  <c r="U3909" i="1" s="1"/>
  <c r="C3908" i="1"/>
  <c r="U3908" i="1" s="1"/>
  <c r="C3907" i="1"/>
  <c r="U3907" i="1" s="1"/>
  <c r="C3906" i="1"/>
  <c r="U3906" i="1" s="1"/>
  <c r="C3905" i="1"/>
  <c r="U3905" i="1" s="1"/>
  <c r="U3904" i="1"/>
  <c r="C3904" i="1"/>
  <c r="C3903" i="1"/>
  <c r="U3903" i="1" s="1"/>
  <c r="U3902" i="1"/>
  <c r="C3902" i="1"/>
  <c r="C3901" i="1"/>
  <c r="U3901" i="1" s="1"/>
  <c r="C3900" i="1"/>
  <c r="U3900" i="1" s="1"/>
  <c r="C3899" i="1"/>
  <c r="U3899" i="1" s="1"/>
  <c r="C3898" i="1"/>
  <c r="U3898" i="1" s="1"/>
  <c r="C3897" i="1"/>
  <c r="U3897" i="1" s="1"/>
  <c r="U3896" i="1"/>
  <c r="C3896" i="1"/>
  <c r="C3895" i="1"/>
  <c r="U3895" i="1" s="1"/>
  <c r="C3894" i="1"/>
  <c r="U3894" i="1" s="1"/>
  <c r="C3893" i="1"/>
  <c r="U3893" i="1" s="1"/>
  <c r="C3892" i="1"/>
  <c r="U3892" i="1" s="1"/>
  <c r="C3891" i="1"/>
  <c r="U3891" i="1" s="1"/>
  <c r="C3890" i="1"/>
  <c r="U3890" i="1" s="1"/>
  <c r="C3889" i="1"/>
  <c r="U3889" i="1" s="1"/>
  <c r="U3888" i="1"/>
  <c r="C3888" i="1"/>
  <c r="C3887" i="1"/>
  <c r="U3887" i="1" s="1"/>
  <c r="U3886" i="1"/>
  <c r="C3886" i="1"/>
  <c r="C3885" i="1"/>
  <c r="U3885" i="1" s="1"/>
  <c r="C3884" i="1"/>
  <c r="U3884" i="1" s="1"/>
  <c r="C3883" i="1"/>
  <c r="U3883" i="1" s="1"/>
  <c r="C3882" i="1"/>
  <c r="U3882" i="1" s="1"/>
  <c r="C3881" i="1"/>
  <c r="U3881" i="1" s="1"/>
  <c r="U3880" i="1"/>
  <c r="C3880" i="1"/>
  <c r="C3879" i="1"/>
  <c r="U3879" i="1" s="1"/>
  <c r="C3878" i="1"/>
  <c r="U3878" i="1" s="1"/>
  <c r="C3877" i="1"/>
  <c r="U3877" i="1" s="1"/>
  <c r="C3876" i="1"/>
  <c r="U3876" i="1" s="1"/>
  <c r="C3875" i="1"/>
  <c r="U3875" i="1" s="1"/>
  <c r="C3874" i="1"/>
  <c r="U3874" i="1" s="1"/>
  <c r="C3873" i="1"/>
  <c r="U3873" i="1" s="1"/>
  <c r="U3872" i="1"/>
  <c r="C3872" i="1"/>
  <c r="C3871" i="1"/>
  <c r="U3871" i="1" s="1"/>
  <c r="U3870" i="1"/>
  <c r="C3870" i="1"/>
  <c r="C3869" i="1"/>
  <c r="U3869" i="1" s="1"/>
  <c r="C3868" i="1"/>
  <c r="U3868" i="1" s="1"/>
  <c r="C3867" i="1"/>
  <c r="U3867" i="1" s="1"/>
  <c r="C3866" i="1"/>
  <c r="U3866" i="1" s="1"/>
  <c r="C3865" i="1"/>
  <c r="U3865" i="1" s="1"/>
  <c r="U3864" i="1"/>
  <c r="C3864" i="1"/>
  <c r="C3863" i="1"/>
  <c r="U3863" i="1" s="1"/>
  <c r="C3862" i="1"/>
  <c r="U3862" i="1" s="1"/>
  <c r="C3861" i="1"/>
  <c r="U3861" i="1" s="1"/>
  <c r="C3860" i="1"/>
  <c r="U3860" i="1" s="1"/>
  <c r="C3859" i="1"/>
  <c r="U3859" i="1" s="1"/>
  <c r="C3858" i="1"/>
  <c r="U3858" i="1" s="1"/>
  <c r="C3857" i="1"/>
  <c r="U3857" i="1" s="1"/>
  <c r="U3856" i="1"/>
  <c r="C3856" i="1"/>
  <c r="C3855" i="1"/>
  <c r="U3855" i="1" s="1"/>
  <c r="U3854" i="1"/>
  <c r="C3854" i="1"/>
  <c r="C3853" i="1"/>
  <c r="U3853" i="1" s="1"/>
  <c r="C3852" i="1"/>
  <c r="U3852" i="1" s="1"/>
  <c r="C3851" i="1"/>
  <c r="U3851" i="1" s="1"/>
  <c r="C3850" i="1"/>
  <c r="U3850" i="1" s="1"/>
  <c r="C3849" i="1"/>
  <c r="U3849" i="1" s="1"/>
  <c r="U3848" i="1"/>
  <c r="C3848" i="1"/>
  <c r="C3847" i="1"/>
  <c r="U3847" i="1" s="1"/>
  <c r="C3846" i="1"/>
  <c r="U3846" i="1" s="1"/>
  <c r="C3845" i="1"/>
  <c r="U3845" i="1" s="1"/>
  <c r="C3844" i="1"/>
  <c r="U3844" i="1" s="1"/>
  <c r="C3843" i="1"/>
  <c r="U3843" i="1" s="1"/>
  <c r="C3842" i="1"/>
  <c r="U3842" i="1" s="1"/>
  <c r="C3841" i="1"/>
  <c r="U3841" i="1" s="1"/>
  <c r="U3840" i="1"/>
  <c r="C3840" i="1"/>
  <c r="C3839" i="1"/>
  <c r="U3839" i="1" s="1"/>
  <c r="U3838" i="1"/>
  <c r="C3838" i="1"/>
  <c r="C3837" i="1"/>
  <c r="U3837" i="1" s="1"/>
  <c r="C3836" i="1"/>
  <c r="U3836" i="1" s="1"/>
  <c r="C3835" i="1"/>
  <c r="U3835" i="1" s="1"/>
  <c r="C3834" i="1"/>
  <c r="U3834" i="1" s="1"/>
  <c r="C3833" i="1"/>
  <c r="U3833" i="1" s="1"/>
  <c r="U3832" i="1"/>
  <c r="C3832" i="1"/>
  <c r="C3831" i="1"/>
  <c r="U3831" i="1" s="1"/>
  <c r="C3830" i="1"/>
  <c r="U3830" i="1" s="1"/>
  <c r="C3829" i="1"/>
  <c r="U3829" i="1" s="1"/>
  <c r="C3828" i="1"/>
  <c r="U3828" i="1" s="1"/>
  <c r="C3827" i="1"/>
  <c r="U3827" i="1" s="1"/>
  <c r="C3826" i="1"/>
  <c r="U3826" i="1" s="1"/>
  <c r="C3825" i="1"/>
  <c r="U3825" i="1" s="1"/>
  <c r="U3824" i="1"/>
  <c r="C3824" i="1"/>
  <c r="C3823" i="1"/>
  <c r="U3823" i="1" s="1"/>
  <c r="U3822" i="1"/>
  <c r="C3822" i="1"/>
  <c r="C3821" i="1"/>
  <c r="U3821" i="1" s="1"/>
  <c r="C3820" i="1"/>
  <c r="U3820" i="1" s="1"/>
  <c r="C3819" i="1"/>
  <c r="U3819" i="1" s="1"/>
  <c r="C3818" i="1"/>
  <c r="U3818" i="1" s="1"/>
  <c r="C3817" i="1"/>
  <c r="U3817" i="1" s="1"/>
  <c r="U3816" i="1"/>
  <c r="C3816" i="1"/>
  <c r="C3815" i="1"/>
  <c r="U3815" i="1" s="1"/>
  <c r="C3814" i="1"/>
  <c r="U3814" i="1" s="1"/>
  <c r="C3813" i="1"/>
  <c r="U3813" i="1" s="1"/>
  <c r="C3812" i="1"/>
  <c r="U3812" i="1" s="1"/>
  <c r="C3811" i="1"/>
  <c r="U3811" i="1" s="1"/>
  <c r="C3810" i="1"/>
  <c r="U3810" i="1" s="1"/>
  <c r="C3809" i="1"/>
  <c r="U3809" i="1" s="1"/>
  <c r="U3808" i="1"/>
  <c r="C3808" i="1"/>
  <c r="C3807" i="1"/>
  <c r="U3807" i="1" s="1"/>
  <c r="U3806" i="1"/>
  <c r="C3806" i="1"/>
  <c r="C3805" i="1"/>
  <c r="U3805" i="1" s="1"/>
  <c r="C3804" i="1"/>
  <c r="U3804" i="1" s="1"/>
  <c r="C3803" i="1"/>
  <c r="U3803" i="1" s="1"/>
  <c r="C3802" i="1"/>
  <c r="U3802" i="1" s="1"/>
  <c r="C3801" i="1"/>
  <c r="U3801" i="1" s="1"/>
  <c r="U3800" i="1"/>
  <c r="C3800" i="1"/>
  <c r="C3799" i="1"/>
  <c r="U3799" i="1" s="1"/>
  <c r="C3798" i="1"/>
  <c r="U3798" i="1" s="1"/>
  <c r="C3797" i="1"/>
  <c r="U3797" i="1" s="1"/>
  <c r="C3796" i="1"/>
  <c r="U3796" i="1" s="1"/>
  <c r="C3795" i="1"/>
  <c r="U3795" i="1" s="1"/>
  <c r="C3794" i="1"/>
  <c r="U3794" i="1" s="1"/>
  <c r="C3793" i="1"/>
  <c r="U3793" i="1" s="1"/>
  <c r="U3792" i="1"/>
  <c r="C3792" i="1"/>
  <c r="C3791" i="1"/>
  <c r="U3791" i="1" s="1"/>
  <c r="U3790" i="1"/>
  <c r="C3790" i="1"/>
  <c r="C3789" i="1"/>
  <c r="U3789" i="1" s="1"/>
  <c r="C3788" i="1"/>
  <c r="U3788" i="1" s="1"/>
  <c r="C3787" i="1"/>
  <c r="U3787" i="1" s="1"/>
  <c r="C3786" i="1"/>
  <c r="U3786" i="1" s="1"/>
  <c r="C3785" i="1"/>
  <c r="U3785" i="1" s="1"/>
  <c r="U3784" i="1"/>
  <c r="C3784" i="1"/>
  <c r="C3783" i="1"/>
  <c r="U3783" i="1" s="1"/>
  <c r="C3782" i="1"/>
  <c r="U3782" i="1" s="1"/>
  <c r="C3781" i="1"/>
  <c r="U3781" i="1" s="1"/>
  <c r="C3780" i="1"/>
  <c r="U3780" i="1" s="1"/>
  <c r="C3779" i="1"/>
  <c r="U3779" i="1" s="1"/>
  <c r="C3778" i="1"/>
  <c r="U3778" i="1" s="1"/>
  <c r="C3777" i="1"/>
  <c r="U3777" i="1" s="1"/>
  <c r="U3776" i="1"/>
  <c r="C3776" i="1"/>
  <c r="C3775" i="1"/>
  <c r="U3775" i="1" s="1"/>
  <c r="U3774" i="1"/>
  <c r="C3774" i="1"/>
  <c r="C3773" i="1"/>
  <c r="U3773" i="1" s="1"/>
  <c r="C3772" i="1"/>
  <c r="U3772" i="1" s="1"/>
  <c r="C3771" i="1"/>
  <c r="U3771" i="1" s="1"/>
  <c r="C3770" i="1"/>
  <c r="U3770" i="1" s="1"/>
  <c r="C3769" i="1"/>
  <c r="U3769" i="1" s="1"/>
  <c r="U3768" i="1"/>
  <c r="C3768" i="1"/>
  <c r="C3767" i="1"/>
  <c r="U3767" i="1" s="1"/>
  <c r="C3766" i="1"/>
  <c r="U3766" i="1" s="1"/>
  <c r="C3765" i="1"/>
  <c r="U3765" i="1" s="1"/>
  <c r="C3764" i="1"/>
  <c r="U3764" i="1" s="1"/>
  <c r="C3763" i="1"/>
  <c r="U3763" i="1" s="1"/>
  <c r="C3762" i="1"/>
  <c r="U3762" i="1" s="1"/>
  <c r="C3761" i="1"/>
  <c r="U3761" i="1" s="1"/>
  <c r="U3760" i="1"/>
  <c r="C3760" i="1"/>
  <c r="C3759" i="1"/>
  <c r="U3759" i="1" s="1"/>
  <c r="U3758" i="1"/>
  <c r="C3758" i="1"/>
  <c r="C3757" i="1"/>
  <c r="U3757" i="1" s="1"/>
  <c r="C3756" i="1"/>
  <c r="U3756" i="1" s="1"/>
  <c r="C3755" i="1"/>
  <c r="U3755" i="1" s="1"/>
  <c r="C3754" i="1"/>
  <c r="U3754" i="1" s="1"/>
  <c r="C3753" i="1"/>
  <c r="U3753" i="1" s="1"/>
  <c r="U3752" i="1"/>
  <c r="C3752" i="1"/>
  <c r="C3751" i="1"/>
  <c r="U3751" i="1" s="1"/>
  <c r="C3750" i="1"/>
  <c r="U3750" i="1" s="1"/>
  <c r="C3749" i="1"/>
  <c r="U3749" i="1" s="1"/>
  <c r="C3748" i="1"/>
  <c r="U3748" i="1" s="1"/>
  <c r="C3747" i="1"/>
  <c r="U3747" i="1" s="1"/>
  <c r="C3746" i="1"/>
  <c r="U3746" i="1" s="1"/>
  <c r="C3745" i="1"/>
  <c r="U3745" i="1" s="1"/>
  <c r="U3744" i="1"/>
  <c r="C3744" i="1"/>
  <c r="C3743" i="1"/>
  <c r="U3743" i="1" s="1"/>
  <c r="U3742" i="1"/>
  <c r="C3742" i="1"/>
  <c r="C3741" i="1"/>
  <c r="U3741" i="1" s="1"/>
  <c r="C3740" i="1"/>
  <c r="U3740" i="1" s="1"/>
  <c r="C3739" i="1"/>
  <c r="U3739" i="1" s="1"/>
  <c r="C3738" i="1"/>
  <c r="U3738" i="1" s="1"/>
  <c r="C3737" i="1"/>
  <c r="U3737" i="1" s="1"/>
  <c r="U3736" i="1"/>
  <c r="C3736" i="1"/>
  <c r="C3735" i="1"/>
  <c r="U3735" i="1" s="1"/>
  <c r="C3734" i="1"/>
  <c r="U3734" i="1" s="1"/>
  <c r="C3733" i="1"/>
  <c r="U3733" i="1" s="1"/>
  <c r="C3732" i="1"/>
  <c r="U3732" i="1" s="1"/>
  <c r="C3731" i="1"/>
  <c r="U3731" i="1" s="1"/>
  <c r="C3730" i="1"/>
  <c r="U3730" i="1" s="1"/>
  <c r="C3729" i="1"/>
  <c r="U3729" i="1" s="1"/>
  <c r="U3728" i="1"/>
  <c r="C3728" i="1"/>
  <c r="C3727" i="1"/>
  <c r="U3727" i="1" s="1"/>
  <c r="U3726" i="1"/>
  <c r="C3726" i="1"/>
  <c r="C3725" i="1"/>
  <c r="U3725" i="1" s="1"/>
  <c r="C3724" i="1"/>
  <c r="U3724" i="1" s="1"/>
  <c r="C3723" i="1"/>
  <c r="U3723" i="1" s="1"/>
  <c r="C3722" i="1"/>
  <c r="U3722" i="1" s="1"/>
  <c r="C3721" i="1"/>
  <c r="U3721" i="1" s="1"/>
  <c r="U3720" i="1"/>
  <c r="C3720" i="1"/>
  <c r="C3719" i="1"/>
  <c r="U3719" i="1" s="1"/>
  <c r="C3718" i="1"/>
  <c r="U3718" i="1" s="1"/>
  <c r="C3717" i="1"/>
  <c r="U3717" i="1" s="1"/>
  <c r="C3716" i="1"/>
  <c r="U3716" i="1" s="1"/>
  <c r="C3715" i="1"/>
  <c r="U3715" i="1" s="1"/>
  <c r="C3714" i="1"/>
  <c r="U3714" i="1" s="1"/>
  <c r="C3713" i="1"/>
  <c r="U3713" i="1" s="1"/>
  <c r="U3712" i="1"/>
  <c r="C3712" i="1"/>
  <c r="C3711" i="1"/>
  <c r="U3711" i="1" s="1"/>
  <c r="U3710" i="1"/>
  <c r="C3710" i="1"/>
  <c r="C3709" i="1"/>
  <c r="U3709" i="1" s="1"/>
  <c r="C3708" i="1"/>
  <c r="U3708" i="1" s="1"/>
  <c r="C3707" i="1"/>
  <c r="U3707" i="1" s="1"/>
  <c r="C3706" i="1"/>
  <c r="U3706" i="1" s="1"/>
  <c r="C3705" i="1"/>
  <c r="U3705" i="1" s="1"/>
  <c r="U3704" i="1"/>
  <c r="C3704" i="1"/>
  <c r="C3703" i="1"/>
  <c r="U3703" i="1" s="1"/>
  <c r="C3702" i="1"/>
  <c r="U3702" i="1" s="1"/>
  <c r="C3701" i="1"/>
  <c r="U3701" i="1" s="1"/>
  <c r="C3700" i="1"/>
  <c r="U3700" i="1" s="1"/>
  <c r="C3699" i="1"/>
  <c r="U3699" i="1" s="1"/>
  <c r="C3698" i="1"/>
  <c r="U3698" i="1" s="1"/>
  <c r="C3697" i="1"/>
  <c r="U3697" i="1" s="1"/>
  <c r="C3696" i="1"/>
  <c r="U3696" i="1" s="1"/>
  <c r="C3695" i="1"/>
  <c r="U3695" i="1" s="1"/>
  <c r="U3694" i="1"/>
  <c r="C3694" i="1"/>
  <c r="C3693" i="1"/>
  <c r="U3693" i="1" s="1"/>
  <c r="C3692" i="1"/>
  <c r="U3692" i="1" s="1"/>
  <c r="C3691" i="1"/>
  <c r="U3691" i="1" s="1"/>
  <c r="C3690" i="1"/>
  <c r="U3690" i="1" s="1"/>
  <c r="C3689" i="1"/>
  <c r="U3689" i="1" s="1"/>
  <c r="C3688" i="1"/>
  <c r="U3688" i="1" s="1"/>
  <c r="C3687" i="1"/>
  <c r="U3687" i="1" s="1"/>
  <c r="C3686" i="1"/>
  <c r="U3686" i="1" s="1"/>
  <c r="C3685" i="1"/>
  <c r="U3685" i="1" s="1"/>
  <c r="C3684" i="1"/>
  <c r="U3684" i="1" s="1"/>
  <c r="C3683" i="1"/>
  <c r="U3683" i="1" s="1"/>
  <c r="C3682" i="1"/>
  <c r="U3682" i="1" s="1"/>
  <c r="C3681" i="1"/>
  <c r="U3681" i="1" s="1"/>
  <c r="C3680" i="1"/>
  <c r="U3680" i="1" s="1"/>
  <c r="C3679" i="1"/>
  <c r="U3679" i="1" s="1"/>
  <c r="C3678" i="1"/>
  <c r="U3678" i="1" s="1"/>
  <c r="C3677" i="1"/>
  <c r="U3677" i="1" s="1"/>
  <c r="C3676" i="1"/>
  <c r="U3676" i="1" s="1"/>
  <c r="C3675" i="1"/>
  <c r="U3675" i="1" s="1"/>
  <c r="C3674" i="1"/>
  <c r="U3674" i="1" s="1"/>
  <c r="C3673" i="1"/>
  <c r="U3673" i="1" s="1"/>
  <c r="C3672" i="1"/>
  <c r="U3672" i="1" s="1"/>
  <c r="C3671" i="1"/>
  <c r="U3671" i="1" s="1"/>
  <c r="U3670" i="1"/>
  <c r="C3670" i="1"/>
  <c r="C3669" i="1"/>
  <c r="U3669" i="1" s="1"/>
  <c r="C3668" i="1"/>
  <c r="U3668" i="1" s="1"/>
  <c r="C3667" i="1"/>
  <c r="U3667" i="1" s="1"/>
  <c r="C3666" i="1"/>
  <c r="U3666" i="1" s="1"/>
  <c r="C3665" i="1"/>
  <c r="U3665" i="1" s="1"/>
  <c r="C3664" i="1"/>
  <c r="U3664" i="1" s="1"/>
  <c r="C3663" i="1"/>
  <c r="U3663" i="1" s="1"/>
  <c r="U3662" i="1"/>
  <c r="C3662" i="1"/>
  <c r="C3661" i="1"/>
  <c r="U3661" i="1" s="1"/>
  <c r="C3660" i="1"/>
  <c r="U3660" i="1" s="1"/>
  <c r="C3659" i="1"/>
  <c r="U3659" i="1" s="1"/>
  <c r="C3658" i="1"/>
  <c r="U3658" i="1" s="1"/>
  <c r="C3657" i="1"/>
  <c r="U3657" i="1" s="1"/>
  <c r="C3656" i="1"/>
  <c r="U3656" i="1" s="1"/>
  <c r="C3655" i="1"/>
  <c r="U3655" i="1" s="1"/>
  <c r="C3654" i="1"/>
  <c r="U3654" i="1" s="1"/>
  <c r="C3653" i="1"/>
  <c r="U3653" i="1" s="1"/>
  <c r="C3652" i="1"/>
  <c r="U3652" i="1" s="1"/>
  <c r="C3651" i="1"/>
  <c r="U3651" i="1" s="1"/>
  <c r="C3650" i="1"/>
  <c r="U3650" i="1" s="1"/>
  <c r="C3649" i="1"/>
  <c r="U3649" i="1" s="1"/>
  <c r="C3648" i="1"/>
  <c r="U3648" i="1" s="1"/>
  <c r="C3647" i="1"/>
  <c r="U3647" i="1" s="1"/>
  <c r="C3646" i="1"/>
  <c r="U3646" i="1" s="1"/>
  <c r="C3645" i="1"/>
  <c r="U3645" i="1" s="1"/>
  <c r="C3644" i="1"/>
  <c r="U3644" i="1" s="1"/>
  <c r="C3643" i="1"/>
  <c r="U3643" i="1" s="1"/>
  <c r="C3642" i="1"/>
  <c r="U3642" i="1" s="1"/>
  <c r="C3641" i="1"/>
  <c r="U3641" i="1" s="1"/>
  <c r="C3640" i="1"/>
  <c r="U3640" i="1" s="1"/>
  <c r="C3639" i="1"/>
  <c r="U3639" i="1" s="1"/>
  <c r="U3638" i="1"/>
  <c r="C3638" i="1"/>
  <c r="C3637" i="1"/>
  <c r="U3637" i="1" s="1"/>
  <c r="C3636" i="1"/>
  <c r="U3636" i="1" s="1"/>
  <c r="C3635" i="1"/>
  <c r="U3635" i="1" s="1"/>
  <c r="C3634" i="1"/>
  <c r="U3634" i="1" s="1"/>
  <c r="C3633" i="1"/>
  <c r="U3633" i="1" s="1"/>
  <c r="U3632" i="1"/>
  <c r="C3632" i="1"/>
  <c r="C3631" i="1"/>
  <c r="U3631" i="1" s="1"/>
  <c r="C3630" i="1"/>
  <c r="U3630" i="1" s="1"/>
  <c r="C3629" i="1"/>
  <c r="U3629" i="1" s="1"/>
  <c r="C3628" i="1"/>
  <c r="U3628" i="1" s="1"/>
  <c r="C3627" i="1"/>
  <c r="U3627" i="1" s="1"/>
  <c r="C3626" i="1"/>
  <c r="U3626" i="1" s="1"/>
  <c r="C3625" i="1"/>
  <c r="U3625" i="1" s="1"/>
  <c r="C3624" i="1"/>
  <c r="U3624" i="1" s="1"/>
  <c r="C3623" i="1"/>
  <c r="U3623" i="1" s="1"/>
  <c r="U3622" i="1"/>
  <c r="C3622" i="1"/>
  <c r="C3621" i="1"/>
  <c r="U3621" i="1" s="1"/>
  <c r="C3620" i="1"/>
  <c r="U3620" i="1" s="1"/>
  <c r="C3619" i="1"/>
  <c r="U3619" i="1" s="1"/>
  <c r="C3618" i="1"/>
  <c r="U3618" i="1" s="1"/>
  <c r="C3617" i="1"/>
  <c r="U3617" i="1" s="1"/>
  <c r="U3616" i="1"/>
  <c r="C3616" i="1"/>
  <c r="C3615" i="1"/>
  <c r="U3615" i="1" s="1"/>
  <c r="C3614" i="1"/>
  <c r="U3614" i="1" s="1"/>
  <c r="C3613" i="1"/>
  <c r="U3613" i="1" s="1"/>
  <c r="C3612" i="1"/>
  <c r="U3612" i="1" s="1"/>
  <c r="C3611" i="1"/>
  <c r="U3611" i="1" s="1"/>
  <c r="C3610" i="1"/>
  <c r="U3610" i="1" s="1"/>
  <c r="C3609" i="1"/>
  <c r="U3609" i="1" s="1"/>
  <c r="C3608" i="1"/>
  <c r="U3608" i="1" s="1"/>
  <c r="C3607" i="1"/>
  <c r="U3607" i="1" s="1"/>
  <c r="U3606" i="1"/>
  <c r="C3606" i="1"/>
  <c r="C3605" i="1"/>
  <c r="U3605" i="1" s="1"/>
  <c r="C3604" i="1"/>
  <c r="U3604" i="1" s="1"/>
  <c r="C3603" i="1"/>
  <c r="U3603" i="1" s="1"/>
  <c r="C3602" i="1"/>
  <c r="U3602" i="1" s="1"/>
  <c r="C3601" i="1"/>
  <c r="U3601" i="1" s="1"/>
  <c r="U3600" i="1"/>
  <c r="C3600" i="1"/>
  <c r="C3599" i="1"/>
  <c r="U3599" i="1" s="1"/>
  <c r="C3598" i="1"/>
  <c r="U3598" i="1" s="1"/>
  <c r="C3597" i="1"/>
  <c r="U3597" i="1" s="1"/>
  <c r="C3596" i="1"/>
  <c r="U3596" i="1" s="1"/>
  <c r="C3595" i="1"/>
  <c r="U3595" i="1" s="1"/>
  <c r="C3594" i="1"/>
  <c r="U3594" i="1" s="1"/>
  <c r="C3593" i="1"/>
  <c r="U3593" i="1" s="1"/>
  <c r="C3592" i="1"/>
  <c r="U3592" i="1" s="1"/>
  <c r="C3591" i="1"/>
  <c r="U3591" i="1" s="1"/>
  <c r="U3590" i="1"/>
  <c r="C3590" i="1"/>
  <c r="C3589" i="1"/>
  <c r="U3589" i="1" s="1"/>
  <c r="C3588" i="1"/>
  <c r="U3588" i="1" s="1"/>
  <c r="C3587" i="1"/>
  <c r="U3587" i="1" s="1"/>
  <c r="C3586" i="1"/>
  <c r="U3586" i="1" s="1"/>
  <c r="C3585" i="1"/>
  <c r="U3585" i="1" s="1"/>
  <c r="U3584" i="1"/>
  <c r="C3584" i="1"/>
  <c r="C3583" i="1"/>
  <c r="U3583" i="1" s="1"/>
  <c r="C3582" i="1"/>
  <c r="U3582" i="1" s="1"/>
  <c r="C3581" i="1"/>
  <c r="U3581" i="1" s="1"/>
  <c r="C3580" i="1"/>
  <c r="U3580" i="1" s="1"/>
  <c r="C3579" i="1"/>
  <c r="U3579" i="1" s="1"/>
  <c r="C3578" i="1"/>
  <c r="U3578" i="1" s="1"/>
  <c r="C3577" i="1"/>
  <c r="U3577" i="1" s="1"/>
  <c r="C3576" i="1"/>
  <c r="U3576" i="1" s="1"/>
  <c r="C3575" i="1"/>
  <c r="U3575" i="1" s="1"/>
  <c r="U3574" i="1"/>
  <c r="C3574" i="1"/>
  <c r="C3573" i="1"/>
  <c r="U3573" i="1" s="1"/>
  <c r="C3572" i="1"/>
  <c r="U3572" i="1" s="1"/>
  <c r="C3571" i="1"/>
  <c r="U3571" i="1" s="1"/>
  <c r="C3570" i="1"/>
  <c r="U3570" i="1" s="1"/>
  <c r="C3569" i="1"/>
  <c r="U3569" i="1" s="1"/>
  <c r="U3568" i="1"/>
  <c r="C3568" i="1"/>
  <c r="C3567" i="1"/>
  <c r="U3567" i="1" s="1"/>
  <c r="C3566" i="1"/>
  <c r="U3566" i="1" s="1"/>
  <c r="C3565" i="1"/>
  <c r="U3565" i="1" s="1"/>
  <c r="C3564" i="1"/>
  <c r="U3564" i="1" s="1"/>
  <c r="C3563" i="1"/>
  <c r="U3563" i="1" s="1"/>
  <c r="C3562" i="1"/>
  <c r="U3562" i="1" s="1"/>
  <c r="C3561" i="1"/>
  <c r="U3561" i="1" s="1"/>
  <c r="C3560" i="1"/>
  <c r="U3560" i="1" s="1"/>
  <c r="C3559" i="1"/>
  <c r="U3559" i="1" s="1"/>
  <c r="U3558" i="1"/>
  <c r="C3558" i="1"/>
  <c r="C3557" i="1"/>
  <c r="U3557" i="1" s="1"/>
  <c r="C3556" i="1"/>
  <c r="U3556" i="1" s="1"/>
  <c r="C3555" i="1"/>
  <c r="U3555" i="1" s="1"/>
  <c r="C3554" i="1"/>
  <c r="U3554" i="1" s="1"/>
  <c r="C3553" i="1"/>
  <c r="U3553" i="1" s="1"/>
  <c r="U3552" i="1"/>
  <c r="C3552" i="1"/>
  <c r="C3551" i="1"/>
  <c r="U3551" i="1" s="1"/>
  <c r="C3550" i="1"/>
  <c r="U3550" i="1" s="1"/>
  <c r="C3549" i="1"/>
  <c r="U3549" i="1" s="1"/>
  <c r="C3548" i="1"/>
  <c r="U3548" i="1" s="1"/>
  <c r="C3547" i="1"/>
  <c r="U3547" i="1" s="1"/>
  <c r="C3546" i="1"/>
  <c r="U3546" i="1" s="1"/>
  <c r="C3545" i="1"/>
  <c r="U3545" i="1" s="1"/>
  <c r="U3544" i="1"/>
  <c r="C3544" i="1"/>
  <c r="C3543" i="1"/>
  <c r="U3543" i="1" s="1"/>
  <c r="U3542" i="1"/>
  <c r="C3542" i="1"/>
  <c r="C3541" i="1"/>
  <c r="U3541" i="1" s="1"/>
  <c r="C3540" i="1"/>
  <c r="U3540" i="1" s="1"/>
  <c r="C3539" i="1"/>
  <c r="U3539" i="1" s="1"/>
  <c r="C3538" i="1"/>
  <c r="U3538" i="1" s="1"/>
  <c r="C3537" i="1"/>
  <c r="U3537" i="1" s="1"/>
  <c r="U3536" i="1"/>
  <c r="C3536" i="1"/>
  <c r="C3535" i="1"/>
  <c r="U3535" i="1" s="1"/>
  <c r="C3534" i="1"/>
  <c r="U3534" i="1" s="1"/>
  <c r="C3533" i="1"/>
  <c r="U3533" i="1" s="1"/>
  <c r="C3532" i="1"/>
  <c r="U3532" i="1" s="1"/>
  <c r="C3531" i="1"/>
  <c r="U3531" i="1" s="1"/>
  <c r="C3530" i="1"/>
  <c r="U3530" i="1" s="1"/>
  <c r="C3529" i="1"/>
  <c r="U3529" i="1" s="1"/>
  <c r="C3528" i="1"/>
  <c r="U3528" i="1" s="1"/>
  <c r="C3527" i="1"/>
  <c r="U3527" i="1" s="1"/>
  <c r="U3526" i="1"/>
  <c r="C3526" i="1"/>
  <c r="C3525" i="1"/>
  <c r="U3525" i="1" s="1"/>
  <c r="C3524" i="1"/>
  <c r="U3524" i="1" s="1"/>
  <c r="C3523" i="1"/>
  <c r="U3523" i="1" s="1"/>
  <c r="C3522" i="1"/>
  <c r="U3522" i="1" s="1"/>
  <c r="C3521" i="1"/>
  <c r="U3521" i="1" s="1"/>
  <c r="U3520" i="1"/>
  <c r="C3520" i="1"/>
  <c r="C3519" i="1"/>
  <c r="U3519" i="1" s="1"/>
  <c r="C3518" i="1"/>
  <c r="U3518" i="1" s="1"/>
  <c r="C3517" i="1"/>
  <c r="U3517" i="1" s="1"/>
  <c r="C3516" i="1"/>
  <c r="U3516" i="1" s="1"/>
  <c r="C3515" i="1"/>
  <c r="U3515" i="1" s="1"/>
  <c r="C3514" i="1"/>
  <c r="U3514" i="1" s="1"/>
  <c r="C3513" i="1"/>
  <c r="U3513" i="1" s="1"/>
  <c r="U3512" i="1"/>
  <c r="C3512" i="1"/>
  <c r="C3511" i="1"/>
  <c r="U3511" i="1" s="1"/>
  <c r="U3510" i="1"/>
  <c r="C3510" i="1"/>
  <c r="C3509" i="1"/>
  <c r="U3509" i="1" s="1"/>
  <c r="C3508" i="1"/>
  <c r="U3508" i="1" s="1"/>
  <c r="C3507" i="1"/>
  <c r="U3507" i="1" s="1"/>
  <c r="C3506" i="1"/>
  <c r="U3506" i="1" s="1"/>
  <c r="C3505" i="1"/>
  <c r="U3505" i="1" s="1"/>
  <c r="U3504" i="1"/>
  <c r="C3504" i="1"/>
  <c r="C3503" i="1"/>
  <c r="U3503" i="1" s="1"/>
  <c r="C3502" i="1"/>
  <c r="U3502" i="1" s="1"/>
  <c r="C3501" i="1"/>
  <c r="U3501" i="1" s="1"/>
  <c r="C3500" i="1"/>
  <c r="U3500" i="1" s="1"/>
  <c r="C3499" i="1"/>
  <c r="U3499" i="1" s="1"/>
  <c r="C3498" i="1"/>
  <c r="U3498" i="1" s="1"/>
  <c r="C3497" i="1"/>
  <c r="U3497" i="1" s="1"/>
  <c r="C3496" i="1"/>
  <c r="U3496" i="1" s="1"/>
  <c r="C3495" i="1"/>
  <c r="U3495" i="1" s="1"/>
  <c r="U3494" i="1"/>
  <c r="C3494" i="1"/>
  <c r="C3493" i="1"/>
  <c r="U3493" i="1" s="1"/>
  <c r="C3492" i="1"/>
  <c r="U3492" i="1" s="1"/>
  <c r="C3491" i="1"/>
  <c r="U3491" i="1" s="1"/>
  <c r="C3490" i="1"/>
  <c r="U3490" i="1" s="1"/>
  <c r="C3489" i="1"/>
  <c r="U3489" i="1" s="1"/>
  <c r="U3488" i="1"/>
  <c r="C3488" i="1"/>
  <c r="C3487" i="1"/>
  <c r="U3487" i="1" s="1"/>
  <c r="C3486" i="1"/>
  <c r="U3486" i="1" s="1"/>
  <c r="C3485" i="1"/>
  <c r="U3485" i="1" s="1"/>
  <c r="C3484" i="1"/>
  <c r="U3484" i="1" s="1"/>
  <c r="C3483" i="1"/>
  <c r="U3483" i="1" s="1"/>
  <c r="C3482" i="1"/>
  <c r="U3482" i="1" s="1"/>
  <c r="C3481" i="1"/>
  <c r="U3481" i="1" s="1"/>
  <c r="U3480" i="1"/>
  <c r="C3480" i="1"/>
  <c r="C3479" i="1"/>
  <c r="U3479" i="1" s="1"/>
  <c r="U3478" i="1"/>
  <c r="C3478" i="1"/>
  <c r="C3477" i="1"/>
  <c r="U3477" i="1" s="1"/>
  <c r="C3476" i="1"/>
  <c r="U3476" i="1" s="1"/>
  <c r="C3475" i="1"/>
  <c r="U3475" i="1" s="1"/>
  <c r="C3474" i="1"/>
  <c r="U3474" i="1" s="1"/>
  <c r="C3473" i="1"/>
  <c r="U3473" i="1" s="1"/>
  <c r="U3472" i="1"/>
  <c r="C3472" i="1"/>
  <c r="C3471" i="1"/>
  <c r="U3471" i="1" s="1"/>
  <c r="C3470" i="1"/>
  <c r="U3470" i="1" s="1"/>
  <c r="C3469" i="1"/>
  <c r="U3469" i="1" s="1"/>
  <c r="C3468" i="1"/>
  <c r="U3468" i="1" s="1"/>
  <c r="C3467" i="1"/>
  <c r="U3467" i="1" s="1"/>
  <c r="C3466" i="1"/>
  <c r="U3466" i="1" s="1"/>
  <c r="C3465" i="1"/>
  <c r="U3465" i="1" s="1"/>
  <c r="U3464" i="1"/>
  <c r="C3464" i="1"/>
  <c r="C3463" i="1"/>
  <c r="U3463" i="1" s="1"/>
  <c r="U3462" i="1"/>
  <c r="C3462" i="1"/>
  <c r="C3461" i="1"/>
  <c r="U3461" i="1" s="1"/>
  <c r="C3460" i="1"/>
  <c r="U3460" i="1" s="1"/>
  <c r="C3459" i="1"/>
  <c r="U3459" i="1" s="1"/>
  <c r="C3458" i="1"/>
  <c r="U3458" i="1" s="1"/>
  <c r="C3457" i="1"/>
  <c r="U3457" i="1" s="1"/>
  <c r="U3456" i="1"/>
  <c r="C3456" i="1"/>
  <c r="C3455" i="1"/>
  <c r="U3455" i="1" s="1"/>
  <c r="C3454" i="1"/>
  <c r="U3454" i="1" s="1"/>
  <c r="C3453" i="1"/>
  <c r="U3453" i="1" s="1"/>
  <c r="C3452" i="1"/>
  <c r="U3452" i="1" s="1"/>
  <c r="C3451" i="1"/>
  <c r="U3451" i="1" s="1"/>
  <c r="C3450" i="1"/>
  <c r="U3450" i="1" s="1"/>
  <c r="C3449" i="1"/>
  <c r="U3449" i="1" s="1"/>
  <c r="U3448" i="1"/>
  <c r="C3448" i="1"/>
  <c r="C3447" i="1"/>
  <c r="U3447" i="1" s="1"/>
  <c r="U3446" i="1"/>
  <c r="C3446" i="1"/>
  <c r="C3445" i="1"/>
  <c r="U3445" i="1" s="1"/>
  <c r="C3444" i="1"/>
  <c r="U3444" i="1" s="1"/>
  <c r="C3443" i="1"/>
  <c r="U3443" i="1" s="1"/>
  <c r="C3442" i="1"/>
  <c r="U3442" i="1" s="1"/>
  <c r="C3441" i="1"/>
  <c r="U3441" i="1" s="1"/>
  <c r="U3440" i="1"/>
  <c r="C3440" i="1"/>
  <c r="C3439" i="1"/>
  <c r="U3439" i="1" s="1"/>
  <c r="C3438" i="1"/>
  <c r="U3438" i="1" s="1"/>
  <c r="C3437" i="1"/>
  <c r="U3437" i="1" s="1"/>
  <c r="C3436" i="1"/>
  <c r="U3436" i="1" s="1"/>
  <c r="C3435" i="1"/>
  <c r="U3435" i="1" s="1"/>
  <c r="C3434" i="1"/>
  <c r="U3434" i="1" s="1"/>
  <c r="C3433" i="1"/>
  <c r="U3433" i="1" s="1"/>
  <c r="C3432" i="1"/>
  <c r="U3432" i="1" s="1"/>
  <c r="C3431" i="1"/>
  <c r="U3431" i="1" s="1"/>
  <c r="U3430" i="1"/>
  <c r="C3430" i="1"/>
  <c r="C3429" i="1"/>
  <c r="U3429" i="1" s="1"/>
  <c r="C3428" i="1"/>
  <c r="U3428" i="1" s="1"/>
  <c r="C3427" i="1"/>
  <c r="U3427" i="1" s="1"/>
  <c r="C3426" i="1"/>
  <c r="U3426" i="1" s="1"/>
  <c r="C3425" i="1"/>
  <c r="U3425" i="1" s="1"/>
  <c r="U3424" i="1"/>
  <c r="C3424" i="1"/>
  <c r="C3423" i="1"/>
  <c r="U3423" i="1" s="1"/>
  <c r="C3422" i="1"/>
  <c r="U3422" i="1" s="1"/>
  <c r="C3421" i="1"/>
  <c r="U3421" i="1" s="1"/>
  <c r="C3420" i="1"/>
  <c r="U3420" i="1" s="1"/>
  <c r="C3419" i="1"/>
  <c r="U3419" i="1" s="1"/>
  <c r="C3418" i="1"/>
  <c r="U3418" i="1" s="1"/>
  <c r="C3417" i="1"/>
  <c r="U3417" i="1" s="1"/>
  <c r="C3416" i="1"/>
  <c r="U3416" i="1" s="1"/>
  <c r="C3415" i="1"/>
  <c r="U3415" i="1" s="1"/>
  <c r="U3414" i="1"/>
  <c r="C3414" i="1"/>
  <c r="C3413" i="1"/>
  <c r="U3413" i="1" s="1"/>
  <c r="C3412" i="1"/>
  <c r="U3412" i="1" s="1"/>
  <c r="C3411" i="1"/>
  <c r="U3411" i="1" s="1"/>
  <c r="C3410" i="1"/>
  <c r="U3410" i="1" s="1"/>
  <c r="C3409" i="1"/>
  <c r="U3409" i="1" s="1"/>
  <c r="U3408" i="1"/>
  <c r="C3408" i="1"/>
  <c r="C3407" i="1"/>
  <c r="U3407" i="1" s="1"/>
  <c r="C3406" i="1"/>
  <c r="U3406" i="1" s="1"/>
  <c r="C3405" i="1"/>
  <c r="U3405" i="1" s="1"/>
  <c r="C3404" i="1"/>
  <c r="U3404" i="1" s="1"/>
  <c r="C3403" i="1"/>
  <c r="U3403" i="1" s="1"/>
  <c r="C3402" i="1"/>
  <c r="U3402" i="1" s="1"/>
  <c r="C3401" i="1"/>
  <c r="U3401" i="1" s="1"/>
  <c r="C3400" i="1"/>
  <c r="U3400" i="1" s="1"/>
  <c r="C3399" i="1"/>
  <c r="U3399" i="1" s="1"/>
  <c r="U3398" i="1"/>
  <c r="C3398" i="1"/>
  <c r="C3397" i="1"/>
  <c r="U3397" i="1" s="1"/>
  <c r="C3396" i="1"/>
  <c r="U3396" i="1" s="1"/>
  <c r="C3395" i="1"/>
  <c r="U3395" i="1" s="1"/>
  <c r="C3394" i="1"/>
  <c r="U3394" i="1" s="1"/>
  <c r="C3393" i="1"/>
  <c r="U3393" i="1" s="1"/>
  <c r="U3392" i="1"/>
  <c r="C3392" i="1"/>
  <c r="C3391" i="1"/>
  <c r="U3391" i="1" s="1"/>
  <c r="C3390" i="1"/>
  <c r="U3390" i="1" s="1"/>
  <c r="C3389" i="1"/>
  <c r="U3389" i="1" s="1"/>
  <c r="C3388" i="1"/>
  <c r="U3388" i="1" s="1"/>
  <c r="C3387" i="1"/>
  <c r="U3387" i="1" s="1"/>
  <c r="C3386" i="1"/>
  <c r="U3386" i="1" s="1"/>
  <c r="C3385" i="1"/>
  <c r="U3385" i="1" s="1"/>
  <c r="C3384" i="1"/>
  <c r="U3384" i="1" s="1"/>
  <c r="C3383" i="1"/>
  <c r="U3383" i="1" s="1"/>
  <c r="U3382" i="1"/>
  <c r="C3382" i="1"/>
  <c r="C3381" i="1"/>
  <c r="U3381" i="1" s="1"/>
  <c r="C3380" i="1"/>
  <c r="U3380" i="1" s="1"/>
  <c r="C3379" i="1"/>
  <c r="U3379" i="1" s="1"/>
  <c r="C3378" i="1"/>
  <c r="U3378" i="1" s="1"/>
  <c r="C3377" i="1"/>
  <c r="U3377" i="1" s="1"/>
  <c r="U3376" i="1"/>
  <c r="C3376" i="1"/>
  <c r="C3375" i="1"/>
  <c r="U3375" i="1" s="1"/>
  <c r="C3374" i="1"/>
  <c r="U3374" i="1" s="1"/>
  <c r="C3373" i="1"/>
  <c r="U3373" i="1" s="1"/>
  <c r="C3372" i="1"/>
  <c r="U3372" i="1" s="1"/>
  <c r="C3371" i="1"/>
  <c r="U3371" i="1" s="1"/>
  <c r="C3370" i="1"/>
  <c r="U3370" i="1" s="1"/>
  <c r="C3369" i="1"/>
  <c r="U3369" i="1" s="1"/>
  <c r="C3368" i="1"/>
  <c r="U3368" i="1" s="1"/>
  <c r="C3367" i="1"/>
  <c r="U3367" i="1" s="1"/>
  <c r="C3366" i="1"/>
  <c r="U3366" i="1" s="1"/>
  <c r="C3365" i="1"/>
  <c r="U3365" i="1" s="1"/>
  <c r="C3364" i="1"/>
  <c r="U3364" i="1" s="1"/>
  <c r="C3363" i="1"/>
  <c r="U3363" i="1" s="1"/>
  <c r="C3362" i="1"/>
  <c r="U3362" i="1" s="1"/>
  <c r="C3361" i="1"/>
  <c r="U3361" i="1" s="1"/>
  <c r="U3360" i="1"/>
  <c r="C3360" i="1"/>
  <c r="C3359" i="1"/>
  <c r="U3359" i="1" s="1"/>
  <c r="C3358" i="1"/>
  <c r="U3358" i="1" s="1"/>
  <c r="C3357" i="1"/>
  <c r="U3357" i="1" s="1"/>
  <c r="C3356" i="1"/>
  <c r="U3356" i="1" s="1"/>
  <c r="C3355" i="1"/>
  <c r="U3355" i="1" s="1"/>
  <c r="C3354" i="1"/>
  <c r="U3354" i="1" s="1"/>
  <c r="C3353" i="1"/>
  <c r="U3353" i="1" s="1"/>
  <c r="U3352" i="1"/>
  <c r="C3352" i="1"/>
  <c r="C3351" i="1"/>
  <c r="U3351" i="1" s="1"/>
  <c r="C3350" i="1"/>
  <c r="U3350" i="1" s="1"/>
  <c r="C3349" i="1"/>
  <c r="U3349" i="1" s="1"/>
  <c r="C3348" i="1"/>
  <c r="U3348" i="1" s="1"/>
  <c r="C3347" i="1"/>
  <c r="U3347" i="1" s="1"/>
  <c r="C3346" i="1"/>
  <c r="U3346" i="1" s="1"/>
  <c r="C3345" i="1"/>
  <c r="U3345" i="1" s="1"/>
  <c r="C3344" i="1"/>
  <c r="U3344" i="1" s="1"/>
  <c r="C3343" i="1"/>
  <c r="U3343" i="1" s="1"/>
  <c r="C3342" i="1"/>
  <c r="U3342" i="1" s="1"/>
  <c r="C3341" i="1"/>
  <c r="U3341" i="1" s="1"/>
  <c r="C3340" i="1"/>
  <c r="U3340" i="1" s="1"/>
  <c r="C3339" i="1"/>
  <c r="U3339" i="1" s="1"/>
  <c r="C3338" i="1"/>
  <c r="U3338" i="1" s="1"/>
  <c r="C3337" i="1"/>
  <c r="U3337" i="1" s="1"/>
  <c r="C3336" i="1"/>
  <c r="U3336" i="1" s="1"/>
  <c r="C3335" i="1"/>
  <c r="U3335" i="1" s="1"/>
  <c r="C3334" i="1"/>
  <c r="U3334" i="1" s="1"/>
  <c r="C3333" i="1"/>
  <c r="U3333" i="1" s="1"/>
  <c r="C3332" i="1"/>
  <c r="U3332" i="1" s="1"/>
  <c r="C3331" i="1"/>
  <c r="U3331" i="1" s="1"/>
  <c r="C3330" i="1"/>
  <c r="U3330" i="1" s="1"/>
  <c r="C3329" i="1"/>
  <c r="U3329" i="1" s="1"/>
  <c r="C3328" i="1"/>
  <c r="U3328" i="1" s="1"/>
  <c r="C3327" i="1"/>
  <c r="U3327" i="1" s="1"/>
  <c r="U3326" i="1"/>
  <c r="C3326" i="1"/>
  <c r="C3325" i="1"/>
  <c r="U3325" i="1" s="1"/>
  <c r="C3324" i="1"/>
  <c r="U3324" i="1" s="1"/>
  <c r="C3323" i="1"/>
  <c r="U3323" i="1" s="1"/>
  <c r="C3322" i="1"/>
  <c r="U3322" i="1" s="1"/>
  <c r="C3321" i="1"/>
  <c r="U3321" i="1" s="1"/>
  <c r="C3320" i="1"/>
  <c r="U3320" i="1" s="1"/>
  <c r="C3319" i="1"/>
  <c r="U3319" i="1" s="1"/>
  <c r="C3318" i="1"/>
  <c r="U3318" i="1" s="1"/>
  <c r="C3317" i="1"/>
  <c r="U3317" i="1" s="1"/>
  <c r="C3316" i="1"/>
  <c r="U3316" i="1" s="1"/>
  <c r="C3315" i="1"/>
  <c r="U3315" i="1" s="1"/>
  <c r="C3314" i="1"/>
  <c r="U3314" i="1" s="1"/>
  <c r="C3313" i="1"/>
  <c r="U3313" i="1" s="1"/>
  <c r="C3312" i="1"/>
  <c r="U3312" i="1" s="1"/>
  <c r="C3311" i="1"/>
  <c r="U3311" i="1" s="1"/>
  <c r="C3310" i="1"/>
  <c r="U3310" i="1" s="1"/>
  <c r="C3309" i="1"/>
  <c r="U3309" i="1" s="1"/>
  <c r="C3308" i="1"/>
  <c r="U3308" i="1" s="1"/>
  <c r="C3307" i="1"/>
  <c r="U3307" i="1" s="1"/>
  <c r="C3306" i="1"/>
  <c r="U3306" i="1" s="1"/>
  <c r="C3305" i="1"/>
  <c r="U3305" i="1" s="1"/>
  <c r="C3304" i="1"/>
  <c r="U3304" i="1" s="1"/>
  <c r="C3303" i="1"/>
  <c r="U3303" i="1" s="1"/>
  <c r="C3302" i="1"/>
  <c r="U3302" i="1" s="1"/>
  <c r="C3301" i="1"/>
  <c r="U3301" i="1" s="1"/>
  <c r="C3300" i="1"/>
  <c r="U3300" i="1" s="1"/>
  <c r="C3299" i="1"/>
  <c r="U3299" i="1" s="1"/>
  <c r="C3298" i="1"/>
  <c r="U3298" i="1" s="1"/>
  <c r="C3297" i="1"/>
  <c r="U3297" i="1" s="1"/>
  <c r="C3296" i="1"/>
  <c r="U3296" i="1" s="1"/>
  <c r="C3295" i="1"/>
  <c r="U3295" i="1" s="1"/>
  <c r="U3294" i="1"/>
  <c r="C3294" i="1"/>
  <c r="C3293" i="1"/>
  <c r="U3293" i="1" s="1"/>
  <c r="C3292" i="1"/>
  <c r="U3292" i="1" s="1"/>
  <c r="C3291" i="1"/>
  <c r="U3291" i="1" s="1"/>
  <c r="C3290" i="1"/>
  <c r="U3290" i="1" s="1"/>
  <c r="C3289" i="1"/>
  <c r="U3289" i="1" s="1"/>
  <c r="C3288" i="1"/>
  <c r="U3288" i="1" s="1"/>
  <c r="C3287" i="1"/>
  <c r="U3287" i="1" s="1"/>
  <c r="C3286" i="1"/>
  <c r="U3286" i="1" s="1"/>
  <c r="C3285" i="1"/>
  <c r="U3285" i="1" s="1"/>
  <c r="C3284" i="1"/>
  <c r="U3284" i="1" s="1"/>
  <c r="C3283" i="1"/>
  <c r="U3283" i="1" s="1"/>
  <c r="C3282" i="1"/>
  <c r="U3282" i="1" s="1"/>
  <c r="C3281" i="1"/>
  <c r="U3281" i="1" s="1"/>
  <c r="C3280" i="1"/>
  <c r="U3280" i="1" s="1"/>
  <c r="C3279" i="1"/>
  <c r="U3279" i="1" s="1"/>
  <c r="C3278" i="1"/>
  <c r="U3278" i="1" s="1"/>
  <c r="C3277" i="1"/>
  <c r="U3277" i="1" s="1"/>
  <c r="C3276" i="1"/>
  <c r="U3276" i="1" s="1"/>
  <c r="C3275" i="1"/>
  <c r="U3275" i="1" s="1"/>
  <c r="C3274" i="1"/>
  <c r="U3274" i="1" s="1"/>
  <c r="C3273" i="1"/>
  <c r="U3273" i="1" s="1"/>
  <c r="C3272" i="1"/>
  <c r="U3272" i="1" s="1"/>
  <c r="C3271" i="1"/>
  <c r="U3271" i="1" s="1"/>
  <c r="C3270" i="1"/>
  <c r="U3270" i="1" s="1"/>
  <c r="C3269" i="1"/>
  <c r="U3269" i="1" s="1"/>
  <c r="C3268" i="1"/>
  <c r="U3268" i="1" s="1"/>
  <c r="C3267" i="1"/>
  <c r="U3267" i="1" s="1"/>
  <c r="C3266" i="1"/>
  <c r="U3266" i="1" s="1"/>
  <c r="C3265" i="1"/>
  <c r="U3265" i="1" s="1"/>
  <c r="C3264" i="1"/>
  <c r="U3264" i="1" s="1"/>
  <c r="C3263" i="1"/>
  <c r="U3263" i="1" s="1"/>
  <c r="U3262" i="1"/>
  <c r="C3262" i="1"/>
  <c r="C3261" i="1"/>
  <c r="U3261" i="1" s="1"/>
  <c r="C3260" i="1"/>
  <c r="U3260" i="1" s="1"/>
  <c r="C3259" i="1"/>
  <c r="U3259" i="1" s="1"/>
  <c r="C3258" i="1"/>
  <c r="U3258" i="1" s="1"/>
  <c r="C3257" i="1"/>
  <c r="U3257" i="1" s="1"/>
  <c r="C3256" i="1"/>
  <c r="U3256" i="1" s="1"/>
  <c r="C3255" i="1"/>
  <c r="U3255" i="1" s="1"/>
  <c r="C3254" i="1"/>
  <c r="U3254" i="1" s="1"/>
  <c r="C3253" i="1"/>
  <c r="U3253" i="1" s="1"/>
  <c r="C3252" i="1"/>
  <c r="U3252" i="1" s="1"/>
  <c r="C3251" i="1"/>
  <c r="U3251" i="1" s="1"/>
  <c r="C3250" i="1"/>
  <c r="U3250" i="1" s="1"/>
  <c r="C3249" i="1"/>
  <c r="U3249" i="1" s="1"/>
  <c r="C3248" i="1"/>
  <c r="U3248" i="1" s="1"/>
  <c r="C3247" i="1"/>
  <c r="U3247" i="1" s="1"/>
  <c r="C3246" i="1"/>
  <c r="U3246" i="1" s="1"/>
  <c r="C3245" i="1"/>
  <c r="U3245" i="1" s="1"/>
  <c r="C3244" i="1"/>
  <c r="U3244" i="1" s="1"/>
  <c r="C3243" i="1"/>
  <c r="U3243" i="1" s="1"/>
  <c r="C3242" i="1"/>
  <c r="U3242" i="1" s="1"/>
  <c r="C3241" i="1"/>
  <c r="U3241" i="1" s="1"/>
  <c r="C3240" i="1"/>
  <c r="U3240" i="1" s="1"/>
  <c r="C3239" i="1"/>
  <c r="U3239" i="1" s="1"/>
  <c r="C3238" i="1"/>
  <c r="U3238" i="1" s="1"/>
  <c r="C3237" i="1"/>
  <c r="U3237" i="1" s="1"/>
  <c r="C3236" i="1"/>
  <c r="U3236" i="1" s="1"/>
  <c r="C3235" i="1"/>
  <c r="U3235" i="1" s="1"/>
  <c r="C3234" i="1"/>
  <c r="U3234" i="1" s="1"/>
  <c r="C3233" i="1"/>
  <c r="U3233" i="1" s="1"/>
  <c r="C3232" i="1"/>
  <c r="U3232" i="1" s="1"/>
  <c r="C3231" i="1"/>
  <c r="U3231" i="1" s="1"/>
  <c r="U3230" i="1"/>
  <c r="C3230" i="1"/>
  <c r="C3229" i="1"/>
  <c r="U3229" i="1" s="1"/>
  <c r="C3228" i="1"/>
  <c r="U3228" i="1" s="1"/>
  <c r="C3227" i="1"/>
  <c r="U3227" i="1" s="1"/>
  <c r="C3226" i="1"/>
  <c r="U3226" i="1" s="1"/>
  <c r="C3225" i="1"/>
  <c r="U3225" i="1" s="1"/>
  <c r="C3224" i="1"/>
  <c r="U3224" i="1" s="1"/>
  <c r="C3223" i="1"/>
  <c r="U3223" i="1" s="1"/>
  <c r="C3222" i="1"/>
  <c r="U3222" i="1" s="1"/>
  <c r="C3221" i="1"/>
  <c r="U3221" i="1" s="1"/>
  <c r="C3220" i="1"/>
  <c r="U3220" i="1" s="1"/>
  <c r="C3219" i="1"/>
  <c r="U3219" i="1" s="1"/>
  <c r="C3218" i="1"/>
  <c r="U3218" i="1" s="1"/>
  <c r="C3217" i="1"/>
  <c r="U3217" i="1" s="1"/>
  <c r="C3216" i="1"/>
  <c r="U3216" i="1" s="1"/>
  <c r="C3215" i="1"/>
  <c r="U3215" i="1" s="1"/>
  <c r="C3214" i="1"/>
  <c r="U3214" i="1" s="1"/>
  <c r="C3213" i="1"/>
  <c r="U3213" i="1" s="1"/>
  <c r="C3212" i="1"/>
  <c r="U3212" i="1" s="1"/>
  <c r="C3211" i="1"/>
  <c r="U3211" i="1" s="1"/>
  <c r="C3210" i="1"/>
  <c r="U3210" i="1" s="1"/>
  <c r="C3209" i="1"/>
  <c r="U3209" i="1" s="1"/>
  <c r="C3208" i="1"/>
  <c r="U3208" i="1" s="1"/>
  <c r="C3207" i="1"/>
  <c r="U3207" i="1" s="1"/>
  <c r="C3206" i="1"/>
  <c r="U3206" i="1" s="1"/>
  <c r="C3205" i="1"/>
  <c r="U3205" i="1" s="1"/>
  <c r="C3204" i="1"/>
  <c r="U3204" i="1" s="1"/>
  <c r="C3203" i="1"/>
  <c r="U3203" i="1" s="1"/>
  <c r="C3202" i="1"/>
  <c r="U3202" i="1" s="1"/>
  <c r="C3201" i="1"/>
  <c r="U3201" i="1" s="1"/>
  <c r="C3200" i="1"/>
  <c r="U3200" i="1" s="1"/>
  <c r="C3199" i="1"/>
  <c r="U3199" i="1" s="1"/>
  <c r="U3198" i="1"/>
  <c r="C3198" i="1"/>
  <c r="C3197" i="1"/>
  <c r="U3197" i="1" s="1"/>
  <c r="C3196" i="1"/>
  <c r="U3196" i="1" s="1"/>
  <c r="C3195" i="1"/>
  <c r="U3195" i="1" s="1"/>
  <c r="C3194" i="1"/>
  <c r="U3194" i="1" s="1"/>
  <c r="C3193" i="1"/>
  <c r="U3193" i="1" s="1"/>
  <c r="C3192" i="1"/>
  <c r="U3192" i="1" s="1"/>
  <c r="C3191" i="1"/>
  <c r="U3191" i="1" s="1"/>
  <c r="C3190" i="1"/>
  <c r="U3190" i="1" s="1"/>
  <c r="C3189" i="1"/>
  <c r="U3189" i="1" s="1"/>
  <c r="C3188" i="1"/>
  <c r="U3188" i="1" s="1"/>
  <c r="C3187" i="1"/>
  <c r="U3187" i="1" s="1"/>
  <c r="C3186" i="1"/>
  <c r="U3186" i="1" s="1"/>
  <c r="C3185" i="1"/>
  <c r="U3185" i="1" s="1"/>
  <c r="C3184" i="1"/>
  <c r="U3184" i="1" s="1"/>
  <c r="C3183" i="1"/>
  <c r="U3183" i="1" s="1"/>
  <c r="C3182" i="1"/>
  <c r="U3182" i="1" s="1"/>
  <c r="C3181" i="1"/>
  <c r="U3181" i="1" s="1"/>
  <c r="C3180" i="1"/>
  <c r="U3180" i="1" s="1"/>
  <c r="C3179" i="1"/>
  <c r="U3179" i="1" s="1"/>
  <c r="C3178" i="1"/>
  <c r="U3178" i="1" s="1"/>
  <c r="C3177" i="1"/>
  <c r="U3177" i="1" s="1"/>
  <c r="C3176" i="1"/>
  <c r="U3176" i="1" s="1"/>
  <c r="C3175" i="1"/>
  <c r="U3175" i="1" s="1"/>
  <c r="C3174" i="1"/>
  <c r="U3174" i="1" s="1"/>
  <c r="C3173" i="1"/>
  <c r="U3173" i="1" s="1"/>
  <c r="C3172" i="1"/>
  <c r="U3172" i="1" s="1"/>
  <c r="C3171" i="1"/>
  <c r="U3171" i="1" s="1"/>
  <c r="C3170" i="1"/>
  <c r="U3170" i="1" s="1"/>
  <c r="C3169" i="1"/>
  <c r="U3169" i="1" s="1"/>
  <c r="C3168" i="1"/>
  <c r="U3168" i="1" s="1"/>
  <c r="C3167" i="1"/>
  <c r="U3167" i="1" s="1"/>
  <c r="U3166" i="1"/>
  <c r="C3166" i="1"/>
  <c r="C3165" i="1"/>
  <c r="U3165" i="1" s="1"/>
  <c r="C3164" i="1"/>
  <c r="U3164" i="1" s="1"/>
  <c r="C3163" i="1"/>
  <c r="U3163" i="1" s="1"/>
  <c r="C3162" i="1"/>
  <c r="U3162" i="1" s="1"/>
  <c r="C3161" i="1"/>
  <c r="U3161" i="1" s="1"/>
  <c r="C3160" i="1"/>
  <c r="U3160" i="1" s="1"/>
  <c r="C3159" i="1"/>
  <c r="U3159" i="1" s="1"/>
  <c r="C3158" i="1"/>
  <c r="U3158" i="1" s="1"/>
  <c r="C3157" i="1"/>
  <c r="U3157" i="1" s="1"/>
  <c r="C3156" i="1"/>
  <c r="U3156" i="1" s="1"/>
  <c r="C3155" i="1"/>
  <c r="U3155" i="1" s="1"/>
  <c r="C3154" i="1"/>
  <c r="U3154" i="1" s="1"/>
  <c r="C3153" i="1"/>
  <c r="U3153" i="1" s="1"/>
  <c r="C3152" i="1"/>
  <c r="U3152" i="1" s="1"/>
  <c r="C3151" i="1"/>
  <c r="U3151" i="1" s="1"/>
  <c r="C3150" i="1"/>
  <c r="U3150" i="1" s="1"/>
  <c r="C3149" i="1"/>
  <c r="U3149" i="1" s="1"/>
  <c r="C3148" i="1"/>
  <c r="U3148" i="1" s="1"/>
  <c r="C3147" i="1"/>
  <c r="U3147" i="1" s="1"/>
  <c r="C3146" i="1"/>
  <c r="U3146" i="1" s="1"/>
  <c r="C3145" i="1"/>
  <c r="U3145" i="1" s="1"/>
  <c r="C3144" i="1"/>
  <c r="U3144" i="1" s="1"/>
  <c r="C3143" i="1"/>
  <c r="U3143" i="1" s="1"/>
  <c r="C3142" i="1"/>
  <c r="U3142" i="1" s="1"/>
  <c r="C3141" i="1"/>
  <c r="U3141" i="1" s="1"/>
  <c r="C3140" i="1"/>
  <c r="U3140" i="1" s="1"/>
  <c r="C3139" i="1"/>
  <c r="U3139" i="1" s="1"/>
  <c r="C3138" i="1"/>
  <c r="U3138" i="1" s="1"/>
  <c r="C3137" i="1"/>
  <c r="U3137" i="1" s="1"/>
  <c r="C3136" i="1"/>
  <c r="U3136" i="1" s="1"/>
  <c r="C3135" i="1"/>
  <c r="U3135" i="1" s="1"/>
  <c r="U3134" i="1"/>
  <c r="C3134" i="1"/>
  <c r="C3133" i="1"/>
  <c r="U3133" i="1" s="1"/>
  <c r="C3132" i="1"/>
  <c r="U3132" i="1" s="1"/>
  <c r="C3131" i="1"/>
  <c r="U3131" i="1" s="1"/>
  <c r="C3130" i="1"/>
  <c r="U3130" i="1" s="1"/>
  <c r="C3129" i="1"/>
  <c r="U3129" i="1" s="1"/>
  <c r="C3128" i="1"/>
  <c r="U3128" i="1" s="1"/>
  <c r="C3127" i="1"/>
  <c r="U3127" i="1" s="1"/>
  <c r="C3126" i="1"/>
  <c r="U3126" i="1" s="1"/>
  <c r="C3125" i="1"/>
  <c r="U3125" i="1" s="1"/>
  <c r="C3124" i="1"/>
  <c r="U3124" i="1" s="1"/>
  <c r="C3123" i="1"/>
  <c r="U3123" i="1" s="1"/>
  <c r="C3122" i="1"/>
  <c r="U3122" i="1" s="1"/>
  <c r="C3121" i="1"/>
  <c r="U3121" i="1" s="1"/>
  <c r="C3120" i="1"/>
  <c r="U3120" i="1" s="1"/>
  <c r="C3119" i="1"/>
  <c r="U3119" i="1" s="1"/>
  <c r="C3118" i="1"/>
  <c r="U3118" i="1" s="1"/>
  <c r="C3117" i="1"/>
  <c r="U3117" i="1" s="1"/>
  <c r="C3116" i="1"/>
  <c r="U3116" i="1" s="1"/>
  <c r="C3115" i="1"/>
  <c r="U3115" i="1" s="1"/>
  <c r="C3114" i="1"/>
  <c r="U3114" i="1" s="1"/>
  <c r="C3113" i="1"/>
  <c r="U3113" i="1" s="1"/>
  <c r="C3112" i="1"/>
  <c r="U3112" i="1" s="1"/>
  <c r="C3111" i="1"/>
  <c r="U3111" i="1" s="1"/>
  <c r="C3110" i="1"/>
  <c r="U3110" i="1" s="1"/>
  <c r="C3109" i="1"/>
  <c r="U3109" i="1" s="1"/>
  <c r="C3108" i="1"/>
  <c r="U3108" i="1" s="1"/>
  <c r="C3107" i="1"/>
  <c r="U3107" i="1" s="1"/>
  <c r="C3106" i="1"/>
  <c r="U3106" i="1" s="1"/>
  <c r="C3105" i="1"/>
  <c r="U3105" i="1" s="1"/>
  <c r="C3104" i="1"/>
  <c r="U3104" i="1" s="1"/>
  <c r="C3103" i="1"/>
  <c r="U3103" i="1" s="1"/>
  <c r="U3102" i="1"/>
  <c r="C3102" i="1"/>
  <c r="C3101" i="1"/>
  <c r="U3101" i="1" s="1"/>
  <c r="C3100" i="1"/>
  <c r="U3100" i="1" s="1"/>
  <c r="C3099" i="1"/>
  <c r="U3099" i="1" s="1"/>
  <c r="C3098" i="1"/>
  <c r="U3098" i="1" s="1"/>
  <c r="C3097" i="1"/>
  <c r="U3097" i="1" s="1"/>
  <c r="C3096" i="1"/>
  <c r="U3096" i="1" s="1"/>
  <c r="C3095" i="1"/>
  <c r="U3095" i="1" s="1"/>
  <c r="C3094" i="1"/>
  <c r="U3094" i="1" s="1"/>
  <c r="C3093" i="1"/>
  <c r="U3093" i="1" s="1"/>
  <c r="C3092" i="1"/>
  <c r="U3092" i="1" s="1"/>
  <c r="C3091" i="1"/>
  <c r="U3091" i="1" s="1"/>
  <c r="C3090" i="1"/>
  <c r="U3090" i="1" s="1"/>
  <c r="C3089" i="1"/>
  <c r="U3089" i="1" s="1"/>
  <c r="C3088" i="1"/>
  <c r="U3088" i="1" s="1"/>
  <c r="C3087" i="1"/>
  <c r="U3087" i="1" s="1"/>
  <c r="C3086" i="1"/>
  <c r="U3086" i="1" s="1"/>
  <c r="C3085" i="1"/>
  <c r="U3085" i="1" s="1"/>
  <c r="C3084" i="1"/>
  <c r="U3084" i="1" s="1"/>
  <c r="C3083" i="1"/>
  <c r="U3083" i="1" s="1"/>
  <c r="C3082" i="1"/>
  <c r="U3082" i="1" s="1"/>
  <c r="C3081" i="1"/>
  <c r="U3081" i="1" s="1"/>
  <c r="C3080" i="1"/>
  <c r="U3080" i="1" s="1"/>
  <c r="C3079" i="1"/>
  <c r="U3079" i="1" s="1"/>
  <c r="C3078" i="1"/>
  <c r="U3078" i="1" s="1"/>
  <c r="C3077" i="1"/>
  <c r="U3077" i="1" s="1"/>
  <c r="C3076" i="1"/>
  <c r="U3076" i="1" s="1"/>
  <c r="C3075" i="1"/>
  <c r="U3075" i="1" s="1"/>
  <c r="C3074" i="1"/>
  <c r="U3074" i="1" s="1"/>
  <c r="C3073" i="1"/>
  <c r="U3073" i="1" s="1"/>
  <c r="C3072" i="1"/>
  <c r="U3072" i="1" s="1"/>
  <c r="C3071" i="1"/>
  <c r="U3071" i="1" s="1"/>
  <c r="U3070" i="1"/>
  <c r="C3070" i="1"/>
  <c r="C3069" i="1"/>
  <c r="U3069" i="1" s="1"/>
  <c r="C3068" i="1"/>
  <c r="U3068" i="1" s="1"/>
  <c r="C3067" i="1"/>
  <c r="U3067" i="1" s="1"/>
  <c r="C3066" i="1"/>
  <c r="U3066" i="1" s="1"/>
  <c r="C3065" i="1"/>
  <c r="U3065" i="1" s="1"/>
  <c r="C3064" i="1"/>
  <c r="U3064" i="1" s="1"/>
  <c r="C3063" i="1"/>
  <c r="U3063" i="1" s="1"/>
  <c r="C3062" i="1"/>
  <c r="U3062" i="1" s="1"/>
  <c r="C3061" i="1"/>
  <c r="U3061" i="1" s="1"/>
  <c r="C3060" i="1"/>
  <c r="U3060" i="1" s="1"/>
  <c r="C3059" i="1"/>
  <c r="U3059" i="1" s="1"/>
  <c r="C3058" i="1"/>
  <c r="U3058" i="1" s="1"/>
  <c r="C3057" i="1"/>
  <c r="U3057" i="1" s="1"/>
  <c r="C3056" i="1"/>
  <c r="U3056" i="1" s="1"/>
  <c r="C3055" i="1"/>
  <c r="U3055" i="1" s="1"/>
  <c r="C3054" i="1"/>
  <c r="U3054" i="1" s="1"/>
  <c r="C3053" i="1"/>
  <c r="U3053" i="1" s="1"/>
  <c r="C3052" i="1"/>
  <c r="U3052" i="1" s="1"/>
  <c r="C3051" i="1"/>
  <c r="U3051" i="1" s="1"/>
  <c r="C3050" i="1"/>
  <c r="U3050" i="1" s="1"/>
  <c r="C3049" i="1"/>
  <c r="U3049" i="1" s="1"/>
  <c r="C3048" i="1"/>
  <c r="U3048" i="1" s="1"/>
  <c r="C3047" i="1"/>
  <c r="U3047" i="1" s="1"/>
  <c r="C3046" i="1"/>
  <c r="U3046" i="1" s="1"/>
  <c r="C3045" i="1"/>
  <c r="U3045" i="1" s="1"/>
  <c r="C3044" i="1"/>
  <c r="U3044" i="1" s="1"/>
  <c r="C3043" i="1"/>
  <c r="U3043" i="1" s="1"/>
  <c r="C3042" i="1"/>
  <c r="U3042" i="1" s="1"/>
  <c r="C3041" i="1"/>
  <c r="U3041" i="1" s="1"/>
  <c r="C3040" i="1"/>
  <c r="U3040" i="1" s="1"/>
  <c r="C3039" i="1"/>
  <c r="U3039" i="1" s="1"/>
  <c r="U3038" i="1"/>
  <c r="C3038" i="1"/>
  <c r="C3037" i="1"/>
  <c r="U3037" i="1" s="1"/>
  <c r="C3036" i="1"/>
  <c r="U3036" i="1" s="1"/>
  <c r="C3035" i="1"/>
  <c r="U3035" i="1" s="1"/>
  <c r="C3034" i="1"/>
  <c r="U3034" i="1" s="1"/>
  <c r="C3033" i="1"/>
  <c r="U3033" i="1" s="1"/>
  <c r="C3032" i="1"/>
  <c r="U3032" i="1" s="1"/>
  <c r="C3031" i="1"/>
  <c r="U3031" i="1" s="1"/>
  <c r="C3030" i="1"/>
  <c r="U3030" i="1" s="1"/>
  <c r="C3029" i="1"/>
  <c r="U3029" i="1" s="1"/>
  <c r="C3028" i="1"/>
  <c r="U3028" i="1" s="1"/>
  <c r="C3027" i="1"/>
  <c r="U3027" i="1" s="1"/>
  <c r="C3026" i="1"/>
  <c r="U3026" i="1" s="1"/>
  <c r="C3025" i="1"/>
  <c r="U3025" i="1" s="1"/>
  <c r="C3024" i="1"/>
  <c r="U3024" i="1" s="1"/>
  <c r="C3023" i="1"/>
  <c r="U3023" i="1" s="1"/>
  <c r="C3022" i="1"/>
  <c r="U3022" i="1" s="1"/>
  <c r="C3021" i="1"/>
  <c r="U3021" i="1" s="1"/>
  <c r="C3020" i="1"/>
  <c r="U3020" i="1" s="1"/>
  <c r="C3019" i="1"/>
  <c r="U3019" i="1" s="1"/>
  <c r="C3018" i="1"/>
  <c r="U3018" i="1" s="1"/>
  <c r="C3017" i="1"/>
  <c r="U3017" i="1" s="1"/>
  <c r="C3016" i="1"/>
  <c r="U3016" i="1" s="1"/>
  <c r="C3015" i="1"/>
  <c r="U3015" i="1" s="1"/>
  <c r="C3014" i="1"/>
  <c r="U3014" i="1" s="1"/>
  <c r="C3013" i="1"/>
  <c r="U3013" i="1" s="1"/>
  <c r="C3012" i="1"/>
  <c r="U3012" i="1" s="1"/>
  <c r="C3011" i="1"/>
  <c r="U3011" i="1" s="1"/>
  <c r="C3010" i="1"/>
  <c r="U3010" i="1" s="1"/>
  <c r="C3009" i="1"/>
  <c r="U3009" i="1" s="1"/>
  <c r="C3008" i="1"/>
  <c r="U3008" i="1" s="1"/>
  <c r="C3007" i="1"/>
  <c r="U3007" i="1" s="1"/>
  <c r="U3006" i="1"/>
  <c r="C3006" i="1"/>
  <c r="C3005" i="1"/>
  <c r="U3005" i="1" s="1"/>
  <c r="C3004" i="1"/>
  <c r="U3004" i="1" s="1"/>
  <c r="C3003" i="1"/>
  <c r="U3003" i="1" s="1"/>
  <c r="C3002" i="1"/>
  <c r="U3002" i="1" s="1"/>
  <c r="C3001" i="1"/>
  <c r="U3001" i="1" s="1"/>
  <c r="C3000" i="1"/>
  <c r="U3000" i="1" s="1"/>
  <c r="C2999" i="1"/>
  <c r="U2999" i="1" s="1"/>
  <c r="C2998" i="1"/>
  <c r="U2998" i="1" s="1"/>
  <c r="C2997" i="1"/>
  <c r="U2997" i="1" s="1"/>
  <c r="C2996" i="1"/>
  <c r="U2996" i="1" s="1"/>
  <c r="C2995" i="1"/>
  <c r="U2995" i="1" s="1"/>
  <c r="C2994" i="1"/>
  <c r="U2994" i="1" s="1"/>
  <c r="C2993" i="1"/>
  <c r="U2993" i="1" s="1"/>
  <c r="C2992" i="1"/>
  <c r="U2992" i="1" s="1"/>
  <c r="C2991" i="1"/>
  <c r="U2991" i="1" s="1"/>
  <c r="C2990" i="1"/>
  <c r="U2990" i="1" s="1"/>
  <c r="C2989" i="1"/>
  <c r="U2989" i="1" s="1"/>
  <c r="C2988" i="1"/>
  <c r="U2988" i="1" s="1"/>
  <c r="C2987" i="1"/>
  <c r="U2987" i="1" s="1"/>
  <c r="C2986" i="1"/>
  <c r="U2986" i="1" s="1"/>
  <c r="C2985" i="1"/>
  <c r="U2985" i="1" s="1"/>
  <c r="C2984" i="1"/>
  <c r="U2984" i="1" s="1"/>
  <c r="C2983" i="1"/>
  <c r="U2983" i="1" s="1"/>
  <c r="C2982" i="1"/>
  <c r="U2982" i="1" s="1"/>
  <c r="C2981" i="1"/>
  <c r="U2981" i="1" s="1"/>
  <c r="C2980" i="1"/>
  <c r="U2980" i="1" s="1"/>
  <c r="C2979" i="1"/>
  <c r="U2979" i="1" s="1"/>
  <c r="C2978" i="1"/>
  <c r="U2978" i="1" s="1"/>
  <c r="C2977" i="1"/>
  <c r="U2977" i="1" s="1"/>
  <c r="C2976" i="1"/>
  <c r="U2976" i="1" s="1"/>
  <c r="C2975" i="1"/>
  <c r="U2975" i="1" s="1"/>
  <c r="U2974" i="1"/>
  <c r="C2974" i="1"/>
  <c r="C2973" i="1"/>
  <c r="U2973" i="1" s="1"/>
  <c r="C2972" i="1"/>
  <c r="U2972" i="1" s="1"/>
  <c r="C2971" i="1"/>
  <c r="U2971" i="1" s="1"/>
  <c r="C2970" i="1"/>
  <c r="U2970" i="1" s="1"/>
  <c r="C2969" i="1"/>
  <c r="U2969" i="1" s="1"/>
  <c r="C2968" i="1"/>
  <c r="U2968" i="1" s="1"/>
  <c r="C2967" i="1"/>
  <c r="U2967" i="1" s="1"/>
  <c r="C2966" i="1"/>
  <c r="U2966" i="1" s="1"/>
  <c r="C2965" i="1"/>
  <c r="U2965" i="1" s="1"/>
  <c r="C2964" i="1"/>
  <c r="U2964" i="1" s="1"/>
  <c r="C2963" i="1"/>
  <c r="U2963" i="1" s="1"/>
  <c r="C2962" i="1"/>
  <c r="U2962" i="1" s="1"/>
  <c r="C2961" i="1"/>
  <c r="U2961" i="1" s="1"/>
  <c r="C2960" i="1"/>
  <c r="U2960" i="1" s="1"/>
  <c r="C2959" i="1"/>
  <c r="U2959" i="1" s="1"/>
  <c r="U2958" i="1"/>
  <c r="C2958" i="1"/>
  <c r="C2957" i="1"/>
  <c r="U2957" i="1" s="1"/>
  <c r="C2956" i="1"/>
  <c r="U2956" i="1" s="1"/>
  <c r="C2955" i="1"/>
  <c r="U2955" i="1" s="1"/>
  <c r="C2954" i="1"/>
  <c r="U2954" i="1" s="1"/>
  <c r="C2953" i="1"/>
  <c r="U2953" i="1" s="1"/>
  <c r="C2952" i="1"/>
  <c r="U2952" i="1" s="1"/>
  <c r="C2951" i="1"/>
  <c r="U2951" i="1" s="1"/>
  <c r="C2950" i="1"/>
  <c r="U2950" i="1" s="1"/>
  <c r="C2949" i="1"/>
  <c r="U2949" i="1" s="1"/>
  <c r="C2948" i="1"/>
  <c r="U2948" i="1" s="1"/>
  <c r="C2947" i="1"/>
  <c r="U2947" i="1" s="1"/>
  <c r="C2946" i="1"/>
  <c r="U2946" i="1" s="1"/>
  <c r="C2945" i="1"/>
  <c r="U2945" i="1" s="1"/>
  <c r="C2944" i="1"/>
  <c r="U2944" i="1" s="1"/>
  <c r="C2943" i="1"/>
  <c r="U2943" i="1" s="1"/>
  <c r="U2942" i="1"/>
  <c r="C2942" i="1"/>
  <c r="C2941" i="1"/>
  <c r="U2941" i="1" s="1"/>
  <c r="C2940" i="1"/>
  <c r="U2940" i="1" s="1"/>
  <c r="C2939" i="1"/>
  <c r="U2939" i="1" s="1"/>
  <c r="C2938" i="1"/>
  <c r="U2938" i="1" s="1"/>
  <c r="C2937" i="1"/>
  <c r="U2937" i="1" s="1"/>
  <c r="C2936" i="1"/>
  <c r="U2936" i="1" s="1"/>
  <c r="C2935" i="1"/>
  <c r="U2935" i="1" s="1"/>
  <c r="C2934" i="1"/>
  <c r="U2934" i="1" s="1"/>
  <c r="C2933" i="1"/>
  <c r="U2933" i="1" s="1"/>
  <c r="C2932" i="1"/>
  <c r="U2932" i="1" s="1"/>
  <c r="C2931" i="1"/>
  <c r="U2931" i="1" s="1"/>
  <c r="C2930" i="1"/>
  <c r="U2930" i="1" s="1"/>
  <c r="C2929" i="1"/>
  <c r="U2929" i="1" s="1"/>
  <c r="C2928" i="1"/>
  <c r="U2928" i="1" s="1"/>
  <c r="C2927" i="1"/>
  <c r="U2927" i="1" s="1"/>
  <c r="U2926" i="1"/>
  <c r="C2926" i="1"/>
  <c r="C2925" i="1"/>
  <c r="U2925" i="1" s="1"/>
  <c r="C2924" i="1"/>
  <c r="U2924" i="1" s="1"/>
  <c r="C2923" i="1"/>
  <c r="U2923" i="1" s="1"/>
  <c r="C2922" i="1"/>
  <c r="U2922" i="1" s="1"/>
  <c r="C2921" i="1"/>
  <c r="U2921" i="1" s="1"/>
  <c r="C2920" i="1"/>
  <c r="U2920" i="1" s="1"/>
  <c r="C2919" i="1"/>
  <c r="U2919" i="1" s="1"/>
  <c r="C2918" i="1"/>
  <c r="U2918" i="1" s="1"/>
  <c r="C2917" i="1"/>
  <c r="U2917" i="1" s="1"/>
  <c r="C2916" i="1"/>
  <c r="U2916" i="1" s="1"/>
  <c r="C2915" i="1"/>
  <c r="U2915" i="1" s="1"/>
  <c r="C2914" i="1"/>
  <c r="U2914" i="1" s="1"/>
  <c r="C2913" i="1"/>
  <c r="U2913" i="1" s="1"/>
  <c r="C2912" i="1"/>
  <c r="U2912" i="1" s="1"/>
  <c r="C2911" i="1"/>
  <c r="U2911" i="1" s="1"/>
  <c r="U2910" i="1"/>
  <c r="C2910" i="1"/>
  <c r="C2909" i="1"/>
  <c r="U2909" i="1" s="1"/>
  <c r="C2908" i="1"/>
  <c r="U2908" i="1" s="1"/>
  <c r="C2907" i="1"/>
  <c r="U2907" i="1" s="1"/>
  <c r="C2906" i="1"/>
  <c r="U2906" i="1" s="1"/>
  <c r="C2905" i="1"/>
  <c r="U2905" i="1" s="1"/>
  <c r="C2904" i="1"/>
  <c r="U2904" i="1" s="1"/>
  <c r="C2903" i="1"/>
  <c r="U2903" i="1" s="1"/>
  <c r="C2902" i="1"/>
  <c r="U2902" i="1" s="1"/>
  <c r="C2901" i="1"/>
  <c r="U2901" i="1" s="1"/>
  <c r="C2900" i="1"/>
  <c r="U2900" i="1" s="1"/>
  <c r="C2899" i="1"/>
  <c r="U2899" i="1" s="1"/>
  <c r="C2898" i="1"/>
  <c r="U2898" i="1" s="1"/>
  <c r="C2897" i="1"/>
  <c r="U2897" i="1" s="1"/>
  <c r="C2896" i="1"/>
  <c r="U2896" i="1" s="1"/>
  <c r="C2895" i="1"/>
  <c r="U2895" i="1" s="1"/>
  <c r="C2894" i="1"/>
  <c r="U2894" i="1" s="1"/>
  <c r="C2893" i="1"/>
  <c r="U2893" i="1" s="1"/>
  <c r="C2892" i="1"/>
  <c r="U2892" i="1" s="1"/>
  <c r="C2891" i="1"/>
  <c r="U2891" i="1" s="1"/>
  <c r="C2890" i="1"/>
  <c r="U2890" i="1" s="1"/>
  <c r="C2889" i="1"/>
  <c r="U2889" i="1" s="1"/>
  <c r="C2888" i="1"/>
  <c r="U2888" i="1" s="1"/>
  <c r="C2887" i="1"/>
  <c r="U2887" i="1" s="1"/>
  <c r="C2886" i="1"/>
  <c r="U2886" i="1" s="1"/>
  <c r="C2885" i="1"/>
  <c r="U2885" i="1" s="1"/>
  <c r="C2884" i="1"/>
  <c r="U2884" i="1" s="1"/>
  <c r="C2883" i="1"/>
  <c r="U2883" i="1" s="1"/>
  <c r="C2882" i="1"/>
  <c r="U2882" i="1" s="1"/>
  <c r="C2881" i="1"/>
  <c r="U2881" i="1" s="1"/>
  <c r="C2880" i="1"/>
  <c r="U2880" i="1" s="1"/>
  <c r="C2879" i="1"/>
  <c r="U2879" i="1" s="1"/>
  <c r="U2878" i="1"/>
  <c r="C2878" i="1"/>
  <c r="C2877" i="1"/>
  <c r="U2877" i="1" s="1"/>
  <c r="C2876" i="1"/>
  <c r="U2876" i="1" s="1"/>
  <c r="C2875" i="1"/>
  <c r="U2875" i="1" s="1"/>
  <c r="C2874" i="1"/>
  <c r="U2874" i="1" s="1"/>
  <c r="C2873" i="1"/>
  <c r="U2873" i="1" s="1"/>
  <c r="C2872" i="1"/>
  <c r="U2872" i="1" s="1"/>
  <c r="C2871" i="1"/>
  <c r="U2871" i="1" s="1"/>
  <c r="C2870" i="1"/>
  <c r="U2870" i="1" s="1"/>
  <c r="C2869" i="1"/>
  <c r="U2869" i="1" s="1"/>
  <c r="C2868" i="1"/>
  <c r="U2868" i="1" s="1"/>
  <c r="C2867" i="1"/>
  <c r="U2867" i="1" s="1"/>
  <c r="C2866" i="1"/>
  <c r="U2866" i="1" s="1"/>
  <c r="C2865" i="1"/>
  <c r="U2865" i="1" s="1"/>
  <c r="C2864" i="1"/>
  <c r="U2864" i="1" s="1"/>
  <c r="C2863" i="1"/>
  <c r="U2863" i="1" s="1"/>
  <c r="C2862" i="1"/>
  <c r="U2862" i="1" s="1"/>
  <c r="C2861" i="1"/>
  <c r="U2861" i="1" s="1"/>
  <c r="C2860" i="1"/>
  <c r="U2860" i="1" s="1"/>
  <c r="C2859" i="1"/>
  <c r="U2859" i="1" s="1"/>
  <c r="C2858" i="1"/>
  <c r="U2858" i="1" s="1"/>
  <c r="C2857" i="1"/>
  <c r="U2857" i="1" s="1"/>
  <c r="C2856" i="1"/>
  <c r="U2856" i="1" s="1"/>
  <c r="C2855" i="1"/>
  <c r="U2855" i="1" s="1"/>
  <c r="C2854" i="1"/>
  <c r="U2854" i="1" s="1"/>
  <c r="C2853" i="1"/>
  <c r="U2853" i="1" s="1"/>
  <c r="C2852" i="1"/>
  <c r="U2852" i="1" s="1"/>
  <c r="C2851" i="1"/>
  <c r="U2851" i="1" s="1"/>
  <c r="C2850" i="1"/>
  <c r="U2850" i="1" s="1"/>
  <c r="C2849" i="1"/>
  <c r="U2849" i="1" s="1"/>
  <c r="C2848" i="1"/>
  <c r="U2848" i="1" s="1"/>
  <c r="C2847" i="1"/>
  <c r="U2847" i="1" s="1"/>
  <c r="U2846" i="1"/>
  <c r="C2846" i="1"/>
  <c r="C2845" i="1"/>
  <c r="U2845" i="1" s="1"/>
  <c r="C2844" i="1"/>
  <c r="U2844" i="1" s="1"/>
  <c r="C2843" i="1"/>
  <c r="U2843" i="1" s="1"/>
  <c r="C2842" i="1"/>
  <c r="U2842" i="1" s="1"/>
  <c r="C2841" i="1"/>
  <c r="U2841" i="1" s="1"/>
  <c r="C2840" i="1"/>
  <c r="U2840" i="1" s="1"/>
  <c r="C2839" i="1"/>
  <c r="U2839" i="1" s="1"/>
  <c r="C2838" i="1"/>
  <c r="U2838" i="1" s="1"/>
  <c r="C2837" i="1"/>
  <c r="U2837" i="1" s="1"/>
  <c r="C2836" i="1"/>
  <c r="U2836" i="1" s="1"/>
  <c r="C2835" i="1"/>
  <c r="U2835" i="1" s="1"/>
  <c r="C2834" i="1"/>
  <c r="U2834" i="1" s="1"/>
  <c r="C2833" i="1"/>
  <c r="U2833" i="1" s="1"/>
  <c r="C2832" i="1"/>
  <c r="U2832" i="1" s="1"/>
  <c r="C2831" i="1"/>
  <c r="U2831" i="1" s="1"/>
  <c r="C2830" i="1"/>
  <c r="U2830" i="1" s="1"/>
  <c r="C2829" i="1"/>
  <c r="U2829" i="1" s="1"/>
  <c r="C2828" i="1"/>
  <c r="U2828" i="1" s="1"/>
  <c r="C2827" i="1"/>
  <c r="U2827" i="1" s="1"/>
  <c r="C2826" i="1"/>
  <c r="U2826" i="1" s="1"/>
  <c r="C2825" i="1"/>
  <c r="U2825" i="1" s="1"/>
  <c r="C2824" i="1"/>
  <c r="U2824" i="1" s="1"/>
  <c r="C2823" i="1"/>
  <c r="U2823" i="1" s="1"/>
  <c r="C2822" i="1"/>
  <c r="U2822" i="1" s="1"/>
  <c r="C2821" i="1"/>
  <c r="U2821" i="1" s="1"/>
  <c r="C2820" i="1"/>
  <c r="U2820" i="1" s="1"/>
  <c r="C2819" i="1"/>
  <c r="U2819" i="1" s="1"/>
  <c r="C2818" i="1"/>
  <c r="U2818" i="1" s="1"/>
  <c r="C2817" i="1"/>
  <c r="U2817" i="1" s="1"/>
  <c r="C2816" i="1"/>
  <c r="U2816" i="1" s="1"/>
  <c r="C2815" i="1"/>
  <c r="U2815" i="1" s="1"/>
  <c r="U2814" i="1"/>
  <c r="C2814" i="1"/>
  <c r="C2813" i="1"/>
  <c r="U2813" i="1" s="1"/>
  <c r="C2812" i="1"/>
  <c r="U2812" i="1" s="1"/>
  <c r="C2811" i="1"/>
  <c r="U2811" i="1" s="1"/>
  <c r="C2810" i="1"/>
  <c r="U2810" i="1" s="1"/>
  <c r="C2809" i="1"/>
  <c r="U2809" i="1" s="1"/>
  <c r="C2808" i="1"/>
  <c r="U2808" i="1" s="1"/>
  <c r="C2807" i="1"/>
  <c r="U2807" i="1" s="1"/>
  <c r="C2806" i="1"/>
  <c r="U2806" i="1" s="1"/>
  <c r="C2805" i="1"/>
  <c r="U2805" i="1" s="1"/>
  <c r="C2804" i="1"/>
  <c r="U2804" i="1" s="1"/>
  <c r="C2803" i="1"/>
  <c r="U2803" i="1" s="1"/>
  <c r="C2802" i="1"/>
  <c r="U2802" i="1" s="1"/>
  <c r="C2801" i="1"/>
  <c r="U2801" i="1" s="1"/>
  <c r="C2800" i="1"/>
  <c r="U2800" i="1" s="1"/>
  <c r="C2799" i="1"/>
  <c r="U2799" i="1" s="1"/>
  <c r="C2798" i="1"/>
  <c r="U2798" i="1" s="1"/>
  <c r="C2797" i="1"/>
  <c r="U2797" i="1" s="1"/>
  <c r="C2796" i="1"/>
  <c r="U2796" i="1" s="1"/>
  <c r="C2795" i="1"/>
  <c r="U2795" i="1" s="1"/>
  <c r="C2794" i="1"/>
  <c r="U2794" i="1" s="1"/>
  <c r="C2793" i="1"/>
  <c r="U2793" i="1" s="1"/>
  <c r="C2792" i="1"/>
  <c r="U2792" i="1" s="1"/>
  <c r="C2791" i="1"/>
  <c r="U2791" i="1" s="1"/>
  <c r="C2790" i="1"/>
  <c r="U2790" i="1" s="1"/>
  <c r="C2789" i="1"/>
  <c r="U2789" i="1" s="1"/>
  <c r="C2788" i="1"/>
  <c r="U2788" i="1" s="1"/>
  <c r="C2787" i="1"/>
  <c r="U2787" i="1" s="1"/>
  <c r="C2786" i="1"/>
  <c r="U2786" i="1" s="1"/>
  <c r="C2785" i="1"/>
  <c r="U2785" i="1" s="1"/>
  <c r="C2784" i="1"/>
  <c r="U2784" i="1" s="1"/>
  <c r="C2783" i="1"/>
  <c r="U2783" i="1" s="1"/>
  <c r="U2782" i="1"/>
  <c r="C2782" i="1"/>
  <c r="C2781" i="1"/>
  <c r="U2781" i="1" s="1"/>
  <c r="C2780" i="1"/>
  <c r="U2780" i="1" s="1"/>
  <c r="C2779" i="1"/>
  <c r="U2779" i="1" s="1"/>
  <c r="C2778" i="1"/>
  <c r="U2778" i="1" s="1"/>
  <c r="C2777" i="1"/>
  <c r="U2777" i="1" s="1"/>
  <c r="C2776" i="1"/>
  <c r="U2776" i="1" s="1"/>
  <c r="C2775" i="1"/>
  <c r="U2775" i="1" s="1"/>
  <c r="C2774" i="1"/>
  <c r="U2774" i="1" s="1"/>
  <c r="C2773" i="1"/>
  <c r="U2773" i="1" s="1"/>
  <c r="C2772" i="1"/>
  <c r="U2772" i="1" s="1"/>
  <c r="C2771" i="1"/>
  <c r="U2771" i="1" s="1"/>
  <c r="C2770" i="1"/>
  <c r="U2770" i="1" s="1"/>
  <c r="C2769" i="1"/>
  <c r="U2769" i="1" s="1"/>
  <c r="C2768" i="1"/>
  <c r="U2768" i="1" s="1"/>
  <c r="C2767" i="1"/>
  <c r="U2767" i="1" s="1"/>
  <c r="C2766" i="1"/>
  <c r="U2766" i="1" s="1"/>
  <c r="C2765" i="1"/>
  <c r="U2765" i="1" s="1"/>
  <c r="C2764" i="1"/>
  <c r="U2764" i="1" s="1"/>
  <c r="C2763" i="1"/>
  <c r="U2763" i="1" s="1"/>
  <c r="C2762" i="1"/>
  <c r="U2762" i="1" s="1"/>
  <c r="C2761" i="1"/>
  <c r="U2761" i="1" s="1"/>
  <c r="C2760" i="1"/>
  <c r="U2760" i="1" s="1"/>
  <c r="C2759" i="1"/>
  <c r="U2759" i="1" s="1"/>
  <c r="C2758" i="1"/>
  <c r="U2758" i="1" s="1"/>
  <c r="C2757" i="1"/>
  <c r="U2757" i="1" s="1"/>
  <c r="C2756" i="1"/>
  <c r="U2756" i="1" s="1"/>
  <c r="C2755" i="1"/>
  <c r="U2755" i="1" s="1"/>
  <c r="C2754" i="1"/>
  <c r="U2754" i="1" s="1"/>
  <c r="C2753" i="1"/>
  <c r="U2753" i="1" s="1"/>
  <c r="C2752" i="1"/>
  <c r="U2752" i="1" s="1"/>
  <c r="C2751" i="1"/>
  <c r="U2751" i="1" s="1"/>
  <c r="U2750" i="1"/>
  <c r="C2750" i="1"/>
  <c r="C2749" i="1"/>
  <c r="U2749" i="1" s="1"/>
  <c r="C2748" i="1"/>
  <c r="U2748" i="1" s="1"/>
  <c r="C2747" i="1"/>
  <c r="U2747" i="1" s="1"/>
  <c r="C2746" i="1"/>
  <c r="U2746" i="1" s="1"/>
  <c r="C2745" i="1"/>
  <c r="U2745" i="1" s="1"/>
  <c r="C2744" i="1"/>
  <c r="U2744" i="1" s="1"/>
  <c r="C2743" i="1"/>
  <c r="U2743" i="1" s="1"/>
  <c r="C2742" i="1"/>
  <c r="U2742" i="1" s="1"/>
  <c r="C2741" i="1"/>
  <c r="U2741" i="1" s="1"/>
  <c r="C2740" i="1"/>
  <c r="U2740" i="1" s="1"/>
  <c r="C2739" i="1"/>
  <c r="U2739" i="1" s="1"/>
  <c r="C2738" i="1"/>
  <c r="U2738" i="1" s="1"/>
  <c r="C2737" i="1"/>
  <c r="U2737" i="1" s="1"/>
  <c r="C2736" i="1"/>
  <c r="U2736" i="1" s="1"/>
  <c r="C2735" i="1"/>
  <c r="U2735" i="1" s="1"/>
  <c r="C2734" i="1"/>
  <c r="U2734" i="1" s="1"/>
  <c r="C2733" i="1"/>
  <c r="U2733" i="1" s="1"/>
  <c r="C2732" i="1"/>
  <c r="U2732" i="1" s="1"/>
  <c r="C2731" i="1"/>
  <c r="U2731" i="1" s="1"/>
  <c r="C2730" i="1"/>
  <c r="U2730" i="1" s="1"/>
  <c r="C2729" i="1"/>
  <c r="U2729" i="1" s="1"/>
  <c r="C2728" i="1"/>
  <c r="U2728" i="1" s="1"/>
  <c r="C2727" i="1"/>
  <c r="U2727" i="1" s="1"/>
  <c r="C2726" i="1"/>
  <c r="U2726" i="1" s="1"/>
  <c r="C2725" i="1"/>
  <c r="U2725" i="1" s="1"/>
  <c r="C2724" i="1"/>
  <c r="U2724" i="1" s="1"/>
  <c r="C2723" i="1"/>
  <c r="U2723" i="1" s="1"/>
  <c r="C2722" i="1"/>
  <c r="U2722" i="1" s="1"/>
  <c r="C2721" i="1"/>
  <c r="U2721" i="1" s="1"/>
  <c r="C2720" i="1"/>
  <c r="U2720" i="1" s="1"/>
  <c r="C2719" i="1"/>
  <c r="U2719" i="1" s="1"/>
  <c r="U2718" i="1"/>
  <c r="C2718" i="1"/>
  <c r="C2717" i="1"/>
  <c r="U2717" i="1" s="1"/>
  <c r="C2716" i="1"/>
  <c r="U2716" i="1" s="1"/>
  <c r="C2715" i="1"/>
  <c r="U2715" i="1" s="1"/>
  <c r="C2714" i="1"/>
  <c r="U2714" i="1" s="1"/>
  <c r="C2713" i="1"/>
  <c r="U2713" i="1" s="1"/>
  <c r="C2712" i="1"/>
  <c r="U2712" i="1" s="1"/>
  <c r="C2711" i="1"/>
  <c r="U2711" i="1" s="1"/>
  <c r="C2710" i="1"/>
  <c r="U2710" i="1" s="1"/>
  <c r="C2709" i="1"/>
  <c r="U2709" i="1" s="1"/>
  <c r="C2708" i="1"/>
  <c r="U2708" i="1" s="1"/>
  <c r="C2707" i="1"/>
  <c r="U2707" i="1" s="1"/>
  <c r="C2706" i="1"/>
  <c r="U2706" i="1" s="1"/>
  <c r="C2705" i="1"/>
  <c r="U2705" i="1" s="1"/>
  <c r="C2704" i="1"/>
  <c r="U2704" i="1" s="1"/>
  <c r="C2703" i="1"/>
  <c r="U2703" i="1" s="1"/>
  <c r="C2702" i="1"/>
  <c r="U2702" i="1" s="1"/>
  <c r="C2701" i="1"/>
  <c r="U2701" i="1" s="1"/>
  <c r="C2700" i="1"/>
  <c r="U2700" i="1" s="1"/>
  <c r="C2699" i="1"/>
  <c r="U2699" i="1" s="1"/>
  <c r="C2698" i="1"/>
  <c r="U2698" i="1" s="1"/>
  <c r="C2697" i="1"/>
  <c r="U2697" i="1" s="1"/>
  <c r="C2696" i="1"/>
  <c r="U2696" i="1" s="1"/>
  <c r="C2695" i="1"/>
  <c r="U2695" i="1" s="1"/>
  <c r="C2694" i="1"/>
  <c r="U2694" i="1" s="1"/>
  <c r="C2693" i="1"/>
  <c r="U2693" i="1" s="1"/>
  <c r="C2692" i="1"/>
  <c r="U2692" i="1" s="1"/>
  <c r="C2691" i="1"/>
  <c r="U2691" i="1" s="1"/>
  <c r="C2690" i="1"/>
  <c r="U2690" i="1" s="1"/>
  <c r="C2689" i="1"/>
  <c r="U2689" i="1" s="1"/>
  <c r="C2688" i="1"/>
  <c r="U2688" i="1" s="1"/>
  <c r="C2687" i="1"/>
  <c r="U2687" i="1" s="1"/>
  <c r="U2686" i="1"/>
  <c r="C2686" i="1"/>
  <c r="C2685" i="1"/>
  <c r="U2685" i="1" s="1"/>
  <c r="C2684" i="1"/>
  <c r="U2684" i="1" s="1"/>
  <c r="C2683" i="1"/>
  <c r="U2683" i="1" s="1"/>
  <c r="C2682" i="1"/>
  <c r="U2682" i="1" s="1"/>
  <c r="C2681" i="1"/>
  <c r="U2681" i="1" s="1"/>
  <c r="C2680" i="1"/>
  <c r="U2680" i="1" s="1"/>
  <c r="C2679" i="1"/>
  <c r="U2679" i="1" s="1"/>
  <c r="C2678" i="1"/>
  <c r="U2678" i="1" s="1"/>
  <c r="C2677" i="1"/>
  <c r="U2677" i="1" s="1"/>
  <c r="C2676" i="1"/>
  <c r="U2676" i="1" s="1"/>
  <c r="C2675" i="1"/>
  <c r="U2675" i="1" s="1"/>
  <c r="C2674" i="1"/>
  <c r="U2674" i="1" s="1"/>
  <c r="C2673" i="1"/>
  <c r="U2673" i="1" s="1"/>
  <c r="C2672" i="1"/>
  <c r="U2672" i="1" s="1"/>
  <c r="C2671" i="1"/>
  <c r="U2671" i="1" s="1"/>
  <c r="C2670" i="1"/>
  <c r="U2670" i="1" s="1"/>
  <c r="C2669" i="1"/>
  <c r="U2669" i="1" s="1"/>
  <c r="C2668" i="1"/>
  <c r="U2668" i="1" s="1"/>
  <c r="C2667" i="1"/>
  <c r="U2667" i="1" s="1"/>
  <c r="C2666" i="1"/>
  <c r="U2666" i="1" s="1"/>
  <c r="C2665" i="1"/>
  <c r="U2665" i="1" s="1"/>
  <c r="C2664" i="1"/>
  <c r="U2664" i="1" s="1"/>
  <c r="C2663" i="1"/>
  <c r="U2663" i="1" s="1"/>
  <c r="C2662" i="1"/>
  <c r="U2662" i="1" s="1"/>
  <c r="C2661" i="1"/>
  <c r="U2661" i="1" s="1"/>
  <c r="C2660" i="1"/>
  <c r="U2660" i="1" s="1"/>
  <c r="C2659" i="1"/>
  <c r="U2659" i="1" s="1"/>
  <c r="C2658" i="1"/>
  <c r="U2658" i="1" s="1"/>
  <c r="C2657" i="1"/>
  <c r="U2657" i="1" s="1"/>
  <c r="C2656" i="1"/>
  <c r="U2656" i="1" s="1"/>
  <c r="C2655" i="1"/>
  <c r="U2655" i="1" s="1"/>
  <c r="U2654" i="1"/>
  <c r="C2654" i="1"/>
  <c r="C2653" i="1"/>
  <c r="U2653" i="1" s="1"/>
  <c r="C2652" i="1"/>
  <c r="U2652" i="1" s="1"/>
  <c r="C2651" i="1"/>
  <c r="U2651" i="1" s="1"/>
  <c r="C2650" i="1"/>
  <c r="U2650" i="1" s="1"/>
  <c r="C2649" i="1"/>
  <c r="U2649" i="1" s="1"/>
  <c r="C2648" i="1"/>
  <c r="U2648" i="1" s="1"/>
  <c r="C2647" i="1"/>
  <c r="U2647" i="1" s="1"/>
  <c r="C2646" i="1"/>
  <c r="U2646" i="1" s="1"/>
  <c r="C2645" i="1"/>
  <c r="U2645" i="1" s="1"/>
  <c r="C2644" i="1"/>
  <c r="U2644" i="1" s="1"/>
  <c r="C2643" i="1"/>
  <c r="U2643" i="1" s="1"/>
  <c r="C2642" i="1"/>
  <c r="U2642" i="1" s="1"/>
  <c r="C2641" i="1"/>
  <c r="U2641" i="1" s="1"/>
  <c r="C2640" i="1"/>
  <c r="U2640" i="1" s="1"/>
  <c r="C2639" i="1"/>
  <c r="U2639" i="1" s="1"/>
  <c r="C2638" i="1"/>
  <c r="U2638" i="1" s="1"/>
  <c r="C2637" i="1"/>
  <c r="U2637" i="1" s="1"/>
  <c r="C2636" i="1"/>
  <c r="U2636" i="1" s="1"/>
  <c r="C2635" i="1"/>
  <c r="U2635" i="1" s="1"/>
  <c r="C2634" i="1"/>
  <c r="U2634" i="1" s="1"/>
  <c r="C2633" i="1"/>
  <c r="U2633" i="1" s="1"/>
  <c r="C2632" i="1"/>
  <c r="U2632" i="1" s="1"/>
  <c r="C2631" i="1"/>
  <c r="U2631" i="1" s="1"/>
  <c r="C2630" i="1"/>
  <c r="U2630" i="1" s="1"/>
  <c r="C2629" i="1"/>
  <c r="U2629" i="1" s="1"/>
  <c r="C2628" i="1"/>
  <c r="U2628" i="1" s="1"/>
  <c r="C2627" i="1"/>
  <c r="U2627" i="1" s="1"/>
  <c r="C2626" i="1"/>
  <c r="U2626" i="1" s="1"/>
  <c r="C2625" i="1"/>
  <c r="U2625" i="1" s="1"/>
  <c r="C2624" i="1"/>
  <c r="U2624" i="1" s="1"/>
  <c r="C2623" i="1"/>
  <c r="U2623" i="1" s="1"/>
  <c r="U2622" i="1"/>
  <c r="C2622" i="1"/>
  <c r="C2621" i="1"/>
  <c r="U2621" i="1" s="1"/>
  <c r="C2620" i="1"/>
  <c r="U2620" i="1" s="1"/>
  <c r="C2619" i="1"/>
  <c r="U2619" i="1" s="1"/>
  <c r="C2618" i="1"/>
  <c r="U2618" i="1" s="1"/>
  <c r="C2617" i="1"/>
  <c r="U2617" i="1" s="1"/>
  <c r="C2616" i="1"/>
  <c r="U2616" i="1" s="1"/>
  <c r="C2615" i="1"/>
  <c r="U2615" i="1" s="1"/>
  <c r="C2614" i="1"/>
  <c r="U2614" i="1" s="1"/>
  <c r="C2613" i="1"/>
  <c r="U2613" i="1" s="1"/>
  <c r="C2612" i="1"/>
  <c r="U2612" i="1" s="1"/>
  <c r="C2611" i="1"/>
  <c r="U2611" i="1" s="1"/>
  <c r="C2610" i="1"/>
  <c r="U2610" i="1" s="1"/>
  <c r="C2609" i="1"/>
  <c r="U2609" i="1" s="1"/>
  <c r="C2608" i="1"/>
  <c r="U2608" i="1" s="1"/>
  <c r="C2607" i="1"/>
  <c r="U2607" i="1" s="1"/>
  <c r="C2606" i="1"/>
  <c r="U2606" i="1" s="1"/>
  <c r="C2605" i="1"/>
  <c r="U2605" i="1" s="1"/>
  <c r="C2604" i="1"/>
  <c r="U2604" i="1" s="1"/>
  <c r="C2603" i="1"/>
  <c r="U2603" i="1" s="1"/>
  <c r="C2602" i="1"/>
  <c r="U2602" i="1" s="1"/>
  <c r="C2601" i="1"/>
  <c r="U2601" i="1" s="1"/>
  <c r="C2600" i="1"/>
  <c r="U2600" i="1" s="1"/>
  <c r="C2599" i="1"/>
  <c r="U2599" i="1" s="1"/>
  <c r="C2598" i="1"/>
  <c r="U2598" i="1" s="1"/>
  <c r="C2597" i="1"/>
  <c r="U2597" i="1" s="1"/>
  <c r="C2596" i="1"/>
  <c r="U2596" i="1" s="1"/>
  <c r="C2595" i="1"/>
  <c r="U2595" i="1" s="1"/>
  <c r="C2594" i="1"/>
  <c r="U2594" i="1" s="1"/>
  <c r="C2593" i="1"/>
  <c r="U2593" i="1" s="1"/>
  <c r="C2592" i="1"/>
  <c r="U2592" i="1" s="1"/>
  <c r="C2591" i="1"/>
  <c r="U2591" i="1" s="1"/>
  <c r="U2590" i="1"/>
  <c r="C2590" i="1"/>
  <c r="C2589" i="1"/>
  <c r="U2589" i="1" s="1"/>
  <c r="C2588" i="1"/>
  <c r="U2588" i="1" s="1"/>
  <c r="C2587" i="1"/>
  <c r="U2587" i="1" s="1"/>
  <c r="C2586" i="1"/>
  <c r="U2586" i="1" s="1"/>
  <c r="C2585" i="1"/>
  <c r="U2585" i="1" s="1"/>
  <c r="C2584" i="1"/>
  <c r="U2584" i="1" s="1"/>
  <c r="C2583" i="1"/>
  <c r="U2583" i="1" s="1"/>
  <c r="C2582" i="1"/>
  <c r="U2582" i="1" s="1"/>
  <c r="C2581" i="1"/>
  <c r="U2581" i="1" s="1"/>
  <c r="C2580" i="1"/>
  <c r="U2580" i="1" s="1"/>
  <c r="C2579" i="1"/>
  <c r="U2579" i="1" s="1"/>
  <c r="C2578" i="1"/>
  <c r="U2578" i="1" s="1"/>
  <c r="C2577" i="1"/>
  <c r="U2577" i="1" s="1"/>
  <c r="C2576" i="1"/>
  <c r="U2576" i="1" s="1"/>
  <c r="C2575" i="1"/>
  <c r="U2575" i="1" s="1"/>
  <c r="C2574" i="1"/>
  <c r="U2574" i="1" s="1"/>
  <c r="C2573" i="1"/>
  <c r="U2573" i="1" s="1"/>
  <c r="C2572" i="1"/>
  <c r="U2572" i="1" s="1"/>
  <c r="C2571" i="1"/>
  <c r="U2571" i="1" s="1"/>
  <c r="C2570" i="1"/>
  <c r="U2570" i="1" s="1"/>
  <c r="C2569" i="1"/>
  <c r="U2569" i="1" s="1"/>
  <c r="C2568" i="1"/>
  <c r="U2568" i="1" s="1"/>
  <c r="C2567" i="1"/>
  <c r="U2567" i="1" s="1"/>
  <c r="C2566" i="1"/>
  <c r="U2566" i="1" s="1"/>
  <c r="C2565" i="1"/>
  <c r="U2565" i="1" s="1"/>
  <c r="C2564" i="1"/>
  <c r="U2564" i="1" s="1"/>
  <c r="C2563" i="1"/>
  <c r="U2563" i="1" s="1"/>
  <c r="C2562" i="1"/>
  <c r="U2562" i="1" s="1"/>
  <c r="C2561" i="1"/>
  <c r="U2561" i="1" s="1"/>
  <c r="C2560" i="1"/>
  <c r="U2560" i="1" s="1"/>
  <c r="C2559" i="1"/>
  <c r="U2559" i="1" s="1"/>
  <c r="U2558" i="1"/>
  <c r="C2558" i="1"/>
  <c r="C2557" i="1"/>
  <c r="U2557" i="1" s="1"/>
  <c r="C2556" i="1"/>
  <c r="U2556" i="1" s="1"/>
  <c r="C2555" i="1"/>
  <c r="U2555" i="1" s="1"/>
  <c r="C2554" i="1"/>
  <c r="U2554" i="1" s="1"/>
  <c r="C2553" i="1"/>
  <c r="U2553" i="1" s="1"/>
  <c r="C2552" i="1"/>
  <c r="U2552" i="1" s="1"/>
  <c r="C2551" i="1"/>
  <c r="U2551" i="1" s="1"/>
  <c r="C2550" i="1"/>
  <c r="U2550" i="1" s="1"/>
  <c r="C2549" i="1"/>
  <c r="U2549" i="1" s="1"/>
  <c r="C2548" i="1"/>
  <c r="U2548" i="1" s="1"/>
  <c r="C2547" i="1"/>
  <c r="U2547" i="1" s="1"/>
  <c r="C2546" i="1"/>
  <c r="U2546" i="1" s="1"/>
  <c r="C2545" i="1"/>
  <c r="U2545" i="1" s="1"/>
  <c r="C2544" i="1"/>
  <c r="U2544" i="1" s="1"/>
  <c r="C2543" i="1"/>
  <c r="U2543" i="1" s="1"/>
  <c r="C2542" i="1"/>
  <c r="U2542" i="1" s="1"/>
  <c r="C2541" i="1"/>
  <c r="U2541" i="1" s="1"/>
  <c r="C2540" i="1"/>
  <c r="U2540" i="1" s="1"/>
  <c r="C2539" i="1"/>
  <c r="U2539" i="1" s="1"/>
  <c r="C2538" i="1"/>
  <c r="U2538" i="1" s="1"/>
  <c r="C2537" i="1"/>
  <c r="U2537" i="1" s="1"/>
  <c r="C2536" i="1"/>
  <c r="U2536" i="1" s="1"/>
  <c r="C2535" i="1"/>
  <c r="U2535" i="1" s="1"/>
  <c r="C2534" i="1"/>
  <c r="U2534" i="1" s="1"/>
  <c r="C2533" i="1"/>
  <c r="U2533" i="1" s="1"/>
  <c r="C2532" i="1"/>
  <c r="U2532" i="1" s="1"/>
  <c r="C2531" i="1"/>
  <c r="U2531" i="1" s="1"/>
  <c r="C2530" i="1"/>
  <c r="U2530" i="1" s="1"/>
  <c r="C2529" i="1"/>
  <c r="U2529" i="1" s="1"/>
  <c r="C2528" i="1"/>
  <c r="U2528" i="1" s="1"/>
  <c r="C2527" i="1"/>
  <c r="U2527" i="1" s="1"/>
  <c r="U2526" i="1"/>
  <c r="C2526" i="1"/>
  <c r="C2525" i="1"/>
  <c r="U2525" i="1" s="1"/>
  <c r="C2524" i="1"/>
  <c r="U2524" i="1" s="1"/>
  <c r="C2523" i="1"/>
  <c r="U2523" i="1" s="1"/>
  <c r="C2522" i="1"/>
  <c r="U2522" i="1" s="1"/>
  <c r="C2521" i="1"/>
  <c r="U2521" i="1" s="1"/>
  <c r="C2520" i="1"/>
  <c r="U2520" i="1" s="1"/>
  <c r="C2519" i="1"/>
  <c r="U2519" i="1" s="1"/>
  <c r="C2518" i="1"/>
  <c r="U2518" i="1" s="1"/>
  <c r="C2517" i="1"/>
  <c r="U2517" i="1" s="1"/>
  <c r="C2516" i="1"/>
  <c r="U2516" i="1" s="1"/>
  <c r="C2515" i="1"/>
  <c r="U2515" i="1" s="1"/>
  <c r="C2514" i="1"/>
  <c r="U2514" i="1" s="1"/>
  <c r="C2513" i="1"/>
  <c r="U2513" i="1" s="1"/>
  <c r="C2512" i="1"/>
  <c r="U2512" i="1" s="1"/>
  <c r="C2511" i="1"/>
  <c r="U2511" i="1" s="1"/>
  <c r="U2510" i="1"/>
  <c r="C2510" i="1"/>
  <c r="C2509" i="1"/>
  <c r="U2509" i="1" s="1"/>
  <c r="C2508" i="1"/>
  <c r="U2508" i="1" s="1"/>
  <c r="C2507" i="1"/>
  <c r="U2507" i="1" s="1"/>
  <c r="C2506" i="1"/>
  <c r="U2506" i="1" s="1"/>
  <c r="C2505" i="1"/>
  <c r="U2505" i="1" s="1"/>
  <c r="C2504" i="1"/>
  <c r="U2504" i="1" s="1"/>
  <c r="C2503" i="1"/>
  <c r="U2503" i="1" s="1"/>
  <c r="C2502" i="1"/>
  <c r="U2502" i="1" s="1"/>
  <c r="C2501" i="1"/>
  <c r="U2501" i="1" s="1"/>
  <c r="C2500" i="1"/>
  <c r="U2500" i="1" s="1"/>
  <c r="C2499" i="1"/>
  <c r="U2499" i="1" s="1"/>
  <c r="C2498" i="1"/>
  <c r="U2498" i="1" s="1"/>
  <c r="C2497" i="1"/>
  <c r="U2497" i="1" s="1"/>
  <c r="C2496" i="1"/>
  <c r="U2496" i="1" s="1"/>
  <c r="C2495" i="1"/>
  <c r="U2495" i="1" s="1"/>
  <c r="U2494" i="1"/>
  <c r="C2494" i="1"/>
  <c r="C2493" i="1"/>
  <c r="U2493" i="1" s="1"/>
  <c r="C2492" i="1"/>
  <c r="U2492" i="1" s="1"/>
  <c r="C2491" i="1"/>
  <c r="U2491" i="1" s="1"/>
  <c r="C2490" i="1"/>
  <c r="U2490" i="1" s="1"/>
  <c r="C2489" i="1"/>
  <c r="U2489" i="1" s="1"/>
  <c r="C2488" i="1"/>
  <c r="U2488" i="1" s="1"/>
  <c r="C2487" i="1"/>
  <c r="U2487" i="1" s="1"/>
  <c r="C2486" i="1"/>
  <c r="U2486" i="1" s="1"/>
  <c r="C2485" i="1"/>
  <c r="U2485" i="1" s="1"/>
  <c r="C2484" i="1"/>
  <c r="U2484" i="1" s="1"/>
  <c r="C2483" i="1"/>
  <c r="U2483" i="1" s="1"/>
  <c r="C2482" i="1"/>
  <c r="U2482" i="1" s="1"/>
  <c r="C2481" i="1"/>
  <c r="U2481" i="1" s="1"/>
  <c r="C2480" i="1"/>
  <c r="U2480" i="1" s="1"/>
  <c r="C2479" i="1"/>
  <c r="U2479" i="1" s="1"/>
  <c r="C2478" i="1"/>
  <c r="U2478" i="1" s="1"/>
  <c r="C2477" i="1"/>
  <c r="U2477" i="1" s="1"/>
  <c r="C2476" i="1"/>
  <c r="U2476" i="1" s="1"/>
  <c r="C2475" i="1"/>
  <c r="U2475" i="1" s="1"/>
  <c r="C2474" i="1"/>
  <c r="U2474" i="1" s="1"/>
  <c r="C2473" i="1"/>
  <c r="U2473" i="1" s="1"/>
  <c r="C2472" i="1"/>
  <c r="U2472" i="1" s="1"/>
  <c r="C2471" i="1"/>
  <c r="U2471" i="1" s="1"/>
  <c r="C2470" i="1"/>
  <c r="U2470" i="1" s="1"/>
  <c r="C2469" i="1"/>
  <c r="U2469" i="1" s="1"/>
  <c r="C2468" i="1"/>
  <c r="U2468" i="1" s="1"/>
  <c r="C2467" i="1"/>
  <c r="U2467" i="1" s="1"/>
  <c r="C2466" i="1"/>
  <c r="U2466" i="1" s="1"/>
  <c r="C2465" i="1"/>
  <c r="U2465" i="1" s="1"/>
  <c r="C2464" i="1"/>
  <c r="U2464" i="1" s="1"/>
  <c r="C2463" i="1"/>
  <c r="U2463" i="1" s="1"/>
  <c r="U2462" i="1"/>
  <c r="C2462" i="1"/>
  <c r="C2461" i="1"/>
  <c r="U2461" i="1" s="1"/>
  <c r="C2460" i="1"/>
  <c r="U2460" i="1" s="1"/>
  <c r="C2459" i="1"/>
  <c r="U2459" i="1" s="1"/>
  <c r="C2458" i="1"/>
  <c r="U2458" i="1" s="1"/>
  <c r="C2457" i="1"/>
  <c r="U2457" i="1" s="1"/>
  <c r="C2456" i="1"/>
  <c r="U2456" i="1" s="1"/>
  <c r="C2455" i="1"/>
  <c r="U2455" i="1" s="1"/>
  <c r="C2454" i="1"/>
  <c r="U2454" i="1" s="1"/>
  <c r="C2453" i="1"/>
  <c r="U2453" i="1" s="1"/>
  <c r="C2452" i="1"/>
  <c r="U2452" i="1" s="1"/>
  <c r="C2451" i="1"/>
  <c r="U2451" i="1" s="1"/>
  <c r="C2450" i="1"/>
  <c r="U2450" i="1" s="1"/>
  <c r="C2449" i="1"/>
  <c r="U2449" i="1" s="1"/>
  <c r="C2448" i="1"/>
  <c r="U2448" i="1" s="1"/>
  <c r="C2447" i="1"/>
  <c r="U2447" i="1" s="1"/>
  <c r="C2446" i="1"/>
  <c r="U2446" i="1" s="1"/>
  <c r="C2445" i="1"/>
  <c r="U2445" i="1" s="1"/>
  <c r="C2444" i="1"/>
  <c r="U2444" i="1" s="1"/>
  <c r="C2443" i="1"/>
  <c r="U2443" i="1" s="1"/>
  <c r="C2442" i="1"/>
  <c r="U2442" i="1" s="1"/>
  <c r="C2441" i="1"/>
  <c r="U2441" i="1" s="1"/>
  <c r="C2440" i="1"/>
  <c r="U2440" i="1" s="1"/>
  <c r="C2439" i="1"/>
  <c r="U2439" i="1" s="1"/>
  <c r="C2438" i="1"/>
  <c r="U2438" i="1" s="1"/>
  <c r="C2437" i="1"/>
  <c r="U2437" i="1" s="1"/>
  <c r="C2436" i="1"/>
  <c r="U2436" i="1" s="1"/>
  <c r="C2435" i="1"/>
  <c r="U2435" i="1" s="1"/>
  <c r="C2434" i="1"/>
  <c r="U2434" i="1" s="1"/>
  <c r="C2433" i="1"/>
  <c r="U2433" i="1" s="1"/>
  <c r="C2432" i="1"/>
  <c r="U2432" i="1" s="1"/>
  <c r="C2431" i="1"/>
  <c r="U2431" i="1" s="1"/>
  <c r="U2430" i="1"/>
  <c r="C2430" i="1"/>
  <c r="C2429" i="1"/>
  <c r="U2429" i="1" s="1"/>
  <c r="C2428" i="1"/>
  <c r="U2428" i="1" s="1"/>
  <c r="C2427" i="1"/>
  <c r="U2427" i="1" s="1"/>
  <c r="C2426" i="1"/>
  <c r="U2426" i="1" s="1"/>
  <c r="C2425" i="1"/>
  <c r="U2425" i="1" s="1"/>
  <c r="C2424" i="1"/>
  <c r="U2424" i="1" s="1"/>
  <c r="C2423" i="1"/>
  <c r="U2423" i="1" s="1"/>
  <c r="C2422" i="1"/>
  <c r="U2422" i="1" s="1"/>
  <c r="C2421" i="1"/>
  <c r="U2421" i="1" s="1"/>
  <c r="C2420" i="1"/>
  <c r="U2420" i="1" s="1"/>
  <c r="C2419" i="1"/>
  <c r="U2419" i="1" s="1"/>
  <c r="C2418" i="1"/>
  <c r="U2418" i="1" s="1"/>
  <c r="C2417" i="1"/>
  <c r="U2417" i="1" s="1"/>
  <c r="C2416" i="1"/>
  <c r="U2416" i="1" s="1"/>
  <c r="C2415" i="1"/>
  <c r="U2415" i="1" s="1"/>
  <c r="C2414" i="1"/>
  <c r="U2414" i="1" s="1"/>
  <c r="C2413" i="1"/>
  <c r="U2413" i="1" s="1"/>
  <c r="C2412" i="1"/>
  <c r="U2412" i="1" s="1"/>
  <c r="C2411" i="1"/>
  <c r="U2411" i="1" s="1"/>
  <c r="C2410" i="1"/>
  <c r="U2410" i="1" s="1"/>
  <c r="C2409" i="1"/>
  <c r="U2409" i="1" s="1"/>
  <c r="C2408" i="1"/>
  <c r="U2408" i="1" s="1"/>
  <c r="C2407" i="1"/>
  <c r="U2407" i="1" s="1"/>
  <c r="C2406" i="1"/>
  <c r="U2406" i="1" s="1"/>
  <c r="C2405" i="1"/>
  <c r="U2405" i="1" s="1"/>
  <c r="C2404" i="1"/>
  <c r="U2404" i="1" s="1"/>
  <c r="C2403" i="1"/>
  <c r="U2403" i="1" s="1"/>
  <c r="C2402" i="1"/>
  <c r="U2402" i="1" s="1"/>
  <c r="C2401" i="1"/>
  <c r="U2401" i="1" s="1"/>
  <c r="C2400" i="1"/>
  <c r="U2400" i="1" s="1"/>
  <c r="C2399" i="1"/>
  <c r="U2399" i="1" s="1"/>
  <c r="U2398" i="1"/>
  <c r="C2398" i="1"/>
  <c r="C2397" i="1"/>
  <c r="U2397" i="1" s="1"/>
  <c r="C2396" i="1"/>
  <c r="U2396" i="1" s="1"/>
  <c r="C2395" i="1"/>
  <c r="U2395" i="1" s="1"/>
  <c r="C2394" i="1"/>
  <c r="U2394" i="1" s="1"/>
  <c r="C2393" i="1"/>
  <c r="U2393" i="1" s="1"/>
  <c r="C2392" i="1"/>
  <c r="U2392" i="1" s="1"/>
  <c r="C2391" i="1"/>
  <c r="U2391" i="1" s="1"/>
  <c r="C2390" i="1"/>
  <c r="U2390" i="1" s="1"/>
  <c r="C2389" i="1"/>
  <c r="U2389" i="1" s="1"/>
  <c r="C2388" i="1"/>
  <c r="U2388" i="1" s="1"/>
  <c r="C2387" i="1"/>
  <c r="U2387" i="1" s="1"/>
  <c r="C2386" i="1"/>
  <c r="U2386" i="1" s="1"/>
  <c r="C2385" i="1"/>
  <c r="U2385" i="1" s="1"/>
  <c r="C2384" i="1"/>
  <c r="U2384" i="1" s="1"/>
  <c r="C2383" i="1"/>
  <c r="U2383" i="1" s="1"/>
  <c r="U2382" i="1"/>
  <c r="C2382" i="1"/>
  <c r="C2381" i="1"/>
  <c r="U2381" i="1" s="1"/>
  <c r="C2380" i="1"/>
  <c r="U2380" i="1" s="1"/>
  <c r="C2379" i="1"/>
  <c r="U2379" i="1" s="1"/>
  <c r="C2378" i="1"/>
  <c r="U2378" i="1" s="1"/>
  <c r="C2377" i="1"/>
  <c r="U2377" i="1" s="1"/>
  <c r="C2376" i="1"/>
  <c r="U2376" i="1" s="1"/>
  <c r="C2375" i="1"/>
  <c r="U2375" i="1" s="1"/>
  <c r="C2374" i="1"/>
  <c r="U2374" i="1" s="1"/>
  <c r="C2373" i="1"/>
  <c r="U2373" i="1" s="1"/>
  <c r="C2372" i="1"/>
  <c r="U2372" i="1" s="1"/>
  <c r="C2371" i="1"/>
  <c r="U2371" i="1" s="1"/>
  <c r="C2370" i="1"/>
  <c r="U2370" i="1" s="1"/>
  <c r="C2369" i="1"/>
  <c r="U2369" i="1" s="1"/>
  <c r="C2368" i="1"/>
  <c r="U2368" i="1" s="1"/>
  <c r="C2367" i="1"/>
  <c r="U2367" i="1" s="1"/>
  <c r="U2366" i="1"/>
  <c r="C2366" i="1"/>
  <c r="C2365" i="1"/>
  <c r="U2365" i="1" s="1"/>
  <c r="C2364" i="1"/>
  <c r="U2364" i="1" s="1"/>
  <c r="C2363" i="1"/>
  <c r="U2363" i="1" s="1"/>
  <c r="C2362" i="1"/>
  <c r="U2362" i="1" s="1"/>
  <c r="C2361" i="1"/>
  <c r="U2361" i="1" s="1"/>
  <c r="C2360" i="1"/>
  <c r="U2360" i="1" s="1"/>
  <c r="C2359" i="1"/>
  <c r="U2359" i="1" s="1"/>
  <c r="C2358" i="1"/>
  <c r="U2358" i="1" s="1"/>
  <c r="C2357" i="1"/>
  <c r="U2357" i="1" s="1"/>
  <c r="C2356" i="1"/>
  <c r="U2356" i="1" s="1"/>
  <c r="C2355" i="1"/>
  <c r="U2355" i="1" s="1"/>
  <c r="C2354" i="1"/>
  <c r="U2354" i="1" s="1"/>
  <c r="C2353" i="1"/>
  <c r="U2353" i="1" s="1"/>
  <c r="C2352" i="1"/>
  <c r="U2352" i="1" s="1"/>
  <c r="C2351" i="1"/>
  <c r="U2351" i="1" s="1"/>
  <c r="U2350" i="1"/>
  <c r="C2350" i="1"/>
  <c r="C2349" i="1"/>
  <c r="U2349" i="1" s="1"/>
  <c r="C2348" i="1"/>
  <c r="U2348" i="1" s="1"/>
  <c r="C2347" i="1"/>
  <c r="U2347" i="1" s="1"/>
  <c r="C2346" i="1"/>
  <c r="U2346" i="1" s="1"/>
  <c r="C2345" i="1"/>
  <c r="U2345" i="1" s="1"/>
  <c r="C2344" i="1"/>
  <c r="U2344" i="1" s="1"/>
  <c r="C2343" i="1"/>
  <c r="U2343" i="1" s="1"/>
  <c r="C2342" i="1"/>
  <c r="U2342" i="1" s="1"/>
  <c r="C2341" i="1"/>
  <c r="U2341" i="1" s="1"/>
  <c r="C2340" i="1"/>
  <c r="U2340" i="1" s="1"/>
  <c r="C2339" i="1"/>
  <c r="U2339" i="1" s="1"/>
  <c r="C2338" i="1"/>
  <c r="U2338" i="1" s="1"/>
  <c r="C2337" i="1"/>
  <c r="U2337" i="1" s="1"/>
  <c r="C2336" i="1"/>
  <c r="U2336" i="1" s="1"/>
  <c r="C2335" i="1"/>
  <c r="U2335" i="1" s="1"/>
  <c r="U2334" i="1"/>
  <c r="C2334" i="1"/>
  <c r="C2333" i="1"/>
  <c r="U2333" i="1" s="1"/>
  <c r="C2332" i="1"/>
  <c r="U2332" i="1" s="1"/>
  <c r="C2331" i="1"/>
  <c r="U2331" i="1" s="1"/>
  <c r="C2330" i="1"/>
  <c r="U2330" i="1" s="1"/>
  <c r="C2329" i="1"/>
  <c r="U2329" i="1" s="1"/>
  <c r="C2328" i="1"/>
  <c r="U2328" i="1" s="1"/>
  <c r="C2327" i="1"/>
  <c r="U2327" i="1" s="1"/>
  <c r="C2326" i="1"/>
  <c r="U2326" i="1" s="1"/>
  <c r="C2325" i="1"/>
  <c r="U2325" i="1" s="1"/>
  <c r="C2324" i="1"/>
  <c r="U2324" i="1" s="1"/>
  <c r="C2323" i="1"/>
  <c r="U2323" i="1" s="1"/>
  <c r="C2322" i="1"/>
  <c r="U2322" i="1" s="1"/>
  <c r="C2321" i="1"/>
  <c r="U2321" i="1" s="1"/>
  <c r="C2320" i="1"/>
  <c r="U2320" i="1" s="1"/>
  <c r="C2319" i="1"/>
  <c r="U2319" i="1" s="1"/>
  <c r="U2318" i="1"/>
  <c r="C2318" i="1"/>
  <c r="C2317" i="1"/>
  <c r="U2317" i="1" s="1"/>
  <c r="C2316" i="1"/>
  <c r="U2316" i="1" s="1"/>
  <c r="C2315" i="1"/>
  <c r="U2315" i="1" s="1"/>
  <c r="C2314" i="1"/>
  <c r="U2314" i="1" s="1"/>
  <c r="C2313" i="1"/>
  <c r="U2313" i="1" s="1"/>
  <c r="C2312" i="1"/>
  <c r="U2312" i="1" s="1"/>
  <c r="C2311" i="1"/>
  <c r="U2311" i="1" s="1"/>
  <c r="C2310" i="1"/>
  <c r="U2310" i="1" s="1"/>
  <c r="C2309" i="1"/>
  <c r="U2309" i="1" s="1"/>
  <c r="C2308" i="1"/>
  <c r="U2308" i="1" s="1"/>
  <c r="C2307" i="1"/>
  <c r="U2307" i="1" s="1"/>
  <c r="C2306" i="1"/>
  <c r="U2306" i="1" s="1"/>
  <c r="C2305" i="1"/>
  <c r="U2305" i="1" s="1"/>
  <c r="C2304" i="1"/>
  <c r="U2304" i="1" s="1"/>
  <c r="C2303" i="1"/>
  <c r="U2303" i="1" s="1"/>
  <c r="U2302" i="1"/>
  <c r="C2302" i="1"/>
  <c r="C2301" i="1"/>
  <c r="U2301" i="1" s="1"/>
  <c r="C2300" i="1"/>
  <c r="U2300" i="1" s="1"/>
  <c r="C2299" i="1"/>
  <c r="U2299" i="1" s="1"/>
  <c r="C2298" i="1"/>
  <c r="U2298" i="1" s="1"/>
  <c r="C2297" i="1"/>
  <c r="U2297" i="1" s="1"/>
  <c r="C2296" i="1"/>
  <c r="U2296" i="1" s="1"/>
  <c r="C2295" i="1"/>
  <c r="U2295" i="1" s="1"/>
  <c r="C2294" i="1"/>
  <c r="U2294" i="1" s="1"/>
  <c r="C2293" i="1"/>
  <c r="U2293" i="1" s="1"/>
  <c r="C2292" i="1"/>
  <c r="U2292" i="1" s="1"/>
  <c r="C2291" i="1"/>
  <c r="U2291" i="1" s="1"/>
  <c r="C2290" i="1"/>
  <c r="U2290" i="1" s="1"/>
  <c r="C2289" i="1"/>
  <c r="U2289" i="1" s="1"/>
  <c r="C2288" i="1"/>
  <c r="U2288" i="1" s="1"/>
  <c r="C2287" i="1"/>
  <c r="U2287" i="1" s="1"/>
  <c r="U2286" i="1"/>
  <c r="C2286" i="1"/>
  <c r="C2285" i="1"/>
  <c r="U2285" i="1" s="1"/>
  <c r="C2284" i="1"/>
  <c r="U2284" i="1" s="1"/>
  <c r="C2283" i="1"/>
  <c r="U2283" i="1" s="1"/>
  <c r="C2282" i="1"/>
  <c r="U2282" i="1" s="1"/>
  <c r="C2281" i="1"/>
  <c r="U2281" i="1" s="1"/>
  <c r="C2280" i="1"/>
  <c r="U2280" i="1" s="1"/>
  <c r="C2279" i="1"/>
  <c r="U2279" i="1" s="1"/>
  <c r="C2278" i="1"/>
  <c r="U2278" i="1" s="1"/>
  <c r="C2277" i="1"/>
  <c r="U2277" i="1" s="1"/>
  <c r="C2276" i="1"/>
  <c r="U2276" i="1" s="1"/>
  <c r="C2275" i="1"/>
  <c r="U2275" i="1" s="1"/>
  <c r="C2274" i="1"/>
  <c r="U2274" i="1" s="1"/>
  <c r="C2273" i="1"/>
  <c r="U2273" i="1" s="1"/>
  <c r="C2272" i="1"/>
  <c r="U2272" i="1" s="1"/>
  <c r="C2271" i="1"/>
  <c r="U2271" i="1" s="1"/>
  <c r="U2270" i="1"/>
  <c r="C2270" i="1"/>
  <c r="C2269" i="1"/>
  <c r="U2269" i="1" s="1"/>
  <c r="C2268" i="1"/>
  <c r="U2268" i="1" s="1"/>
  <c r="C2267" i="1"/>
  <c r="U2267" i="1" s="1"/>
  <c r="C2266" i="1"/>
  <c r="U2266" i="1" s="1"/>
  <c r="C2265" i="1"/>
  <c r="U2265" i="1" s="1"/>
  <c r="C2264" i="1"/>
  <c r="U2264" i="1" s="1"/>
  <c r="C2263" i="1"/>
  <c r="U2263" i="1" s="1"/>
  <c r="C2262" i="1"/>
  <c r="U2262" i="1" s="1"/>
  <c r="C2261" i="1"/>
  <c r="U2261" i="1" s="1"/>
  <c r="C2260" i="1"/>
  <c r="U2260" i="1" s="1"/>
  <c r="C2259" i="1"/>
  <c r="U2259" i="1" s="1"/>
  <c r="C2258" i="1"/>
  <c r="U2258" i="1" s="1"/>
  <c r="C2257" i="1"/>
  <c r="U2257" i="1" s="1"/>
  <c r="C2256" i="1"/>
  <c r="U2256" i="1" s="1"/>
  <c r="C2255" i="1"/>
  <c r="U2255" i="1" s="1"/>
  <c r="U2254" i="1"/>
  <c r="C2254" i="1"/>
  <c r="C2253" i="1"/>
  <c r="U2253" i="1" s="1"/>
  <c r="C2252" i="1"/>
  <c r="U2252" i="1" s="1"/>
  <c r="C2251" i="1"/>
  <c r="U2251" i="1" s="1"/>
  <c r="C2250" i="1"/>
  <c r="U2250" i="1" s="1"/>
  <c r="C2249" i="1"/>
  <c r="U2249" i="1" s="1"/>
  <c r="C2248" i="1"/>
  <c r="U2248" i="1" s="1"/>
  <c r="C2247" i="1"/>
  <c r="U2247" i="1" s="1"/>
  <c r="C2246" i="1"/>
  <c r="U2246" i="1" s="1"/>
  <c r="C2245" i="1"/>
  <c r="U2245" i="1" s="1"/>
  <c r="C2244" i="1"/>
  <c r="U2244" i="1" s="1"/>
  <c r="C2243" i="1"/>
  <c r="U2243" i="1" s="1"/>
  <c r="C2242" i="1"/>
  <c r="U2242" i="1" s="1"/>
  <c r="C2241" i="1"/>
  <c r="U2241" i="1" s="1"/>
  <c r="C2240" i="1"/>
  <c r="U2240" i="1" s="1"/>
  <c r="C2239" i="1"/>
  <c r="U2239" i="1" s="1"/>
  <c r="U2238" i="1"/>
  <c r="C2238" i="1"/>
  <c r="C2237" i="1"/>
  <c r="U2237" i="1" s="1"/>
  <c r="C2236" i="1"/>
  <c r="U2236" i="1" s="1"/>
  <c r="C2235" i="1"/>
  <c r="U2235" i="1" s="1"/>
  <c r="C2234" i="1"/>
  <c r="U2234" i="1" s="1"/>
  <c r="C2233" i="1"/>
  <c r="U2233" i="1" s="1"/>
  <c r="C2232" i="1"/>
  <c r="U2232" i="1" s="1"/>
  <c r="C2231" i="1"/>
  <c r="U2231" i="1" s="1"/>
  <c r="C2230" i="1"/>
  <c r="U2230" i="1" s="1"/>
  <c r="C2229" i="1"/>
  <c r="U2229" i="1" s="1"/>
  <c r="C2228" i="1"/>
  <c r="U2228" i="1" s="1"/>
  <c r="C2227" i="1"/>
  <c r="U2227" i="1" s="1"/>
  <c r="C2226" i="1"/>
  <c r="U2226" i="1" s="1"/>
  <c r="C2225" i="1"/>
  <c r="U2225" i="1" s="1"/>
  <c r="C2224" i="1"/>
  <c r="U2224" i="1" s="1"/>
  <c r="C2223" i="1"/>
  <c r="U2223" i="1" s="1"/>
  <c r="U2222" i="1"/>
  <c r="C2222" i="1"/>
  <c r="C2221" i="1"/>
  <c r="U2221" i="1" s="1"/>
  <c r="C2220" i="1"/>
  <c r="U2220" i="1" s="1"/>
  <c r="C2219" i="1"/>
  <c r="U2219" i="1" s="1"/>
  <c r="C2218" i="1"/>
  <c r="U2218" i="1" s="1"/>
  <c r="C2217" i="1"/>
  <c r="U2217" i="1" s="1"/>
  <c r="C2216" i="1"/>
  <c r="U2216" i="1" s="1"/>
  <c r="C2215" i="1"/>
  <c r="U2215" i="1" s="1"/>
  <c r="C2214" i="1"/>
  <c r="U2214" i="1" s="1"/>
  <c r="C2213" i="1"/>
  <c r="U2213" i="1" s="1"/>
  <c r="C2212" i="1"/>
  <c r="U2212" i="1" s="1"/>
  <c r="C2211" i="1"/>
  <c r="U2211" i="1" s="1"/>
  <c r="C2210" i="1"/>
  <c r="U2210" i="1" s="1"/>
  <c r="C2209" i="1"/>
  <c r="U2209" i="1" s="1"/>
  <c r="C2208" i="1"/>
  <c r="U2208" i="1" s="1"/>
  <c r="C2207" i="1"/>
  <c r="U2207" i="1" s="1"/>
  <c r="U2206" i="1"/>
  <c r="C2206" i="1"/>
  <c r="C2205" i="1"/>
  <c r="U2205" i="1" s="1"/>
  <c r="C2204" i="1"/>
  <c r="U2204" i="1" s="1"/>
  <c r="C2203" i="1"/>
  <c r="U2203" i="1" s="1"/>
  <c r="C2202" i="1"/>
  <c r="U2202" i="1" s="1"/>
  <c r="C2201" i="1"/>
  <c r="U2201" i="1" s="1"/>
  <c r="C2200" i="1"/>
  <c r="U2200" i="1" s="1"/>
  <c r="C2199" i="1"/>
  <c r="U2199" i="1" s="1"/>
  <c r="C2198" i="1"/>
  <c r="U2198" i="1" s="1"/>
  <c r="C2197" i="1"/>
  <c r="U2197" i="1" s="1"/>
  <c r="C2196" i="1"/>
  <c r="U2196" i="1" s="1"/>
  <c r="C2195" i="1"/>
  <c r="U2195" i="1" s="1"/>
  <c r="C2194" i="1"/>
  <c r="U2194" i="1" s="1"/>
  <c r="C2193" i="1"/>
  <c r="U2193" i="1" s="1"/>
  <c r="C2192" i="1"/>
  <c r="U2192" i="1" s="1"/>
  <c r="C2191" i="1"/>
  <c r="U2191" i="1" s="1"/>
  <c r="U2190" i="1"/>
  <c r="C2190" i="1"/>
  <c r="C2189" i="1"/>
  <c r="U2189" i="1" s="1"/>
  <c r="C2188" i="1"/>
  <c r="U2188" i="1" s="1"/>
  <c r="C2187" i="1"/>
  <c r="U2187" i="1" s="1"/>
  <c r="C2186" i="1"/>
  <c r="U2186" i="1" s="1"/>
  <c r="C2185" i="1"/>
  <c r="U2185" i="1" s="1"/>
  <c r="C2184" i="1"/>
  <c r="U2184" i="1" s="1"/>
  <c r="C2183" i="1"/>
  <c r="U2183" i="1" s="1"/>
  <c r="C2182" i="1"/>
  <c r="U2182" i="1" s="1"/>
  <c r="C2181" i="1"/>
  <c r="U2181" i="1" s="1"/>
  <c r="C2180" i="1"/>
  <c r="U2180" i="1" s="1"/>
  <c r="C2179" i="1"/>
  <c r="U2179" i="1" s="1"/>
  <c r="C2178" i="1"/>
  <c r="U2178" i="1" s="1"/>
  <c r="C2177" i="1"/>
  <c r="U2177" i="1" s="1"/>
  <c r="C2176" i="1"/>
  <c r="U2176" i="1" s="1"/>
  <c r="C2175" i="1"/>
  <c r="U2175" i="1" s="1"/>
  <c r="U2174" i="1"/>
  <c r="C2174" i="1"/>
  <c r="C2173" i="1"/>
  <c r="U2173" i="1" s="1"/>
  <c r="C2172" i="1"/>
  <c r="U2172" i="1" s="1"/>
  <c r="C2171" i="1"/>
  <c r="U2171" i="1" s="1"/>
  <c r="C2170" i="1"/>
  <c r="U2170" i="1" s="1"/>
  <c r="C2169" i="1"/>
  <c r="U2169" i="1" s="1"/>
  <c r="C2168" i="1"/>
  <c r="U2168" i="1" s="1"/>
  <c r="C2167" i="1"/>
  <c r="U2167" i="1" s="1"/>
  <c r="C2166" i="1"/>
  <c r="U2166" i="1" s="1"/>
  <c r="C2165" i="1"/>
  <c r="U2165" i="1" s="1"/>
  <c r="C2164" i="1"/>
  <c r="U2164" i="1" s="1"/>
  <c r="C2163" i="1"/>
  <c r="U2163" i="1" s="1"/>
  <c r="C2162" i="1"/>
  <c r="U2162" i="1" s="1"/>
  <c r="C2161" i="1"/>
  <c r="U2161" i="1" s="1"/>
  <c r="C2160" i="1"/>
  <c r="U2160" i="1" s="1"/>
  <c r="C2159" i="1"/>
  <c r="U2159" i="1" s="1"/>
  <c r="U2158" i="1"/>
  <c r="C2158" i="1"/>
  <c r="C2157" i="1"/>
  <c r="U2157" i="1" s="1"/>
  <c r="C2156" i="1"/>
  <c r="U2156" i="1" s="1"/>
  <c r="C2155" i="1"/>
  <c r="U2155" i="1" s="1"/>
  <c r="C2154" i="1"/>
  <c r="U2154" i="1" s="1"/>
  <c r="C2153" i="1"/>
  <c r="U2153" i="1" s="1"/>
  <c r="C2152" i="1"/>
  <c r="U2152" i="1" s="1"/>
  <c r="C2151" i="1"/>
  <c r="U2151" i="1" s="1"/>
  <c r="C2150" i="1"/>
  <c r="U2150" i="1" s="1"/>
  <c r="C2149" i="1"/>
  <c r="U2149" i="1" s="1"/>
  <c r="C2148" i="1"/>
  <c r="U2148" i="1" s="1"/>
  <c r="C2147" i="1"/>
  <c r="U2147" i="1" s="1"/>
  <c r="C2146" i="1"/>
  <c r="U2146" i="1" s="1"/>
  <c r="C2145" i="1"/>
  <c r="U2145" i="1" s="1"/>
  <c r="C2144" i="1"/>
  <c r="U2144" i="1" s="1"/>
  <c r="C2143" i="1"/>
  <c r="U2143" i="1" s="1"/>
  <c r="U2142" i="1"/>
  <c r="C2142" i="1"/>
  <c r="C2141" i="1"/>
  <c r="U2141" i="1" s="1"/>
  <c r="C2140" i="1"/>
  <c r="U2140" i="1" s="1"/>
  <c r="C2139" i="1"/>
  <c r="U2139" i="1" s="1"/>
  <c r="C2138" i="1"/>
  <c r="U2138" i="1" s="1"/>
  <c r="C2137" i="1"/>
  <c r="U2137" i="1" s="1"/>
  <c r="C2136" i="1"/>
  <c r="U2136" i="1" s="1"/>
  <c r="C2135" i="1"/>
  <c r="U2135" i="1" s="1"/>
  <c r="C2134" i="1"/>
  <c r="U2134" i="1" s="1"/>
  <c r="C2133" i="1"/>
  <c r="U2133" i="1" s="1"/>
  <c r="C2132" i="1"/>
  <c r="U2132" i="1" s="1"/>
  <c r="C2131" i="1"/>
  <c r="U2131" i="1" s="1"/>
  <c r="C2130" i="1"/>
  <c r="U2130" i="1" s="1"/>
  <c r="C2129" i="1"/>
  <c r="U2129" i="1" s="1"/>
  <c r="C2128" i="1"/>
  <c r="U2128" i="1" s="1"/>
  <c r="C2127" i="1"/>
  <c r="U2127" i="1" s="1"/>
  <c r="U2126" i="1"/>
  <c r="C2126" i="1"/>
  <c r="C2125" i="1"/>
  <c r="U2125" i="1" s="1"/>
  <c r="C2124" i="1"/>
  <c r="U2124" i="1" s="1"/>
  <c r="C2123" i="1"/>
  <c r="U2123" i="1" s="1"/>
  <c r="C2122" i="1"/>
  <c r="U2122" i="1" s="1"/>
  <c r="C2121" i="1"/>
  <c r="U2121" i="1" s="1"/>
  <c r="C2120" i="1"/>
  <c r="U2120" i="1" s="1"/>
  <c r="C2119" i="1"/>
  <c r="U2119" i="1" s="1"/>
  <c r="C2118" i="1"/>
  <c r="U2118" i="1" s="1"/>
  <c r="C2117" i="1"/>
  <c r="U2117" i="1" s="1"/>
  <c r="C2116" i="1"/>
  <c r="U2116" i="1" s="1"/>
  <c r="C2115" i="1"/>
  <c r="U2115" i="1" s="1"/>
  <c r="C2114" i="1"/>
  <c r="U2114" i="1" s="1"/>
  <c r="C2113" i="1"/>
  <c r="U2113" i="1" s="1"/>
  <c r="C2112" i="1"/>
  <c r="U2112" i="1" s="1"/>
  <c r="C2111" i="1"/>
  <c r="U2111" i="1" s="1"/>
  <c r="U2110" i="1"/>
  <c r="C2110" i="1"/>
  <c r="C2109" i="1"/>
  <c r="U2109" i="1" s="1"/>
  <c r="C2108" i="1"/>
  <c r="U2108" i="1" s="1"/>
  <c r="C2107" i="1"/>
  <c r="U2107" i="1" s="1"/>
  <c r="C2106" i="1"/>
  <c r="U2106" i="1" s="1"/>
  <c r="C2105" i="1"/>
  <c r="U2105" i="1" s="1"/>
  <c r="C2104" i="1"/>
  <c r="U2104" i="1" s="1"/>
  <c r="C2103" i="1"/>
  <c r="U2103" i="1" s="1"/>
  <c r="C2102" i="1"/>
  <c r="U2102" i="1" s="1"/>
  <c r="C2101" i="1"/>
  <c r="U2101" i="1" s="1"/>
  <c r="C2100" i="1"/>
  <c r="U2100" i="1" s="1"/>
  <c r="C2099" i="1"/>
  <c r="U2099" i="1" s="1"/>
  <c r="C2098" i="1"/>
  <c r="U2098" i="1" s="1"/>
  <c r="C2097" i="1"/>
  <c r="U2097" i="1" s="1"/>
  <c r="C2096" i="1"/>
  <c r="U2096" i="1" s="1"/>
  <c r="C2095" i="1"/>
  <c r="U2095" i="1" s="1"/>
  <c r="U2094" i="1"/>
  <c r="C2094" i="1"/>
  <c r="C2093" i="1"/>
  <c r="U2093" i="1" s="1"/>
  <c r="C2092" i="1"/>
  <c r="U2092" i="1" s="1"/>
  <c r="C2091" i="1"/>
  <c r="U2091" i="1" s="1"/>
  <c r="C2090" i="1"/>
  <c r="U2090" i="1" s="1"/>
  <c r="C2089" i="1"/>
  <c r="U2089" i="1" s="1"/>
  <c r="C2088" i="1"/>
  <c r="U2088" i="1" s="1"/>
  <c r="C2087" i="1"/>
  <c r="U2087" i="1" s="1"/>
  <c r="C2086" i="1"/>
  <c r="U2086" i="1" s="1"/>
  <c r="C2085" i="1"/>
  <c r="U2085" i="1" s="1"/>
  <c r="C2084" i="1"/>
  <c r="U2084" i="1" s="1"/>
  <c r="C2083" i="1"/>
  <c r="U2083" i="1" s="1"/>
  <c r="C2082" i="1"/>
  <c r="U2082" i="1" s="1"/>
  <c r="C2081" i="1"/>
  <c r="U2081" i="1" s="1"/>
  <c r="C2080" i="1"/>
  <c r="U2080" i="1" s="1"/>
  <c r="C2079" i="1"/>
  <c r="U2079" i="1" s="1"/>
  <c r="U2078" i="1"/>
  <c r="C2078" i="1"/>
  <c r="C2077" i="1"/>
  <c r="U2077" i="1" s="1"/>
  <c r="C2076" i="1"/>
  <c r="U2076" i="1" s="1"/>
  <c r="C2075" i="1"/>
  <c r="U2075" i="1" s="1"/>
  <c r="C2074" i="1"/>
  <c r="U2074" i="1" s="1"/>
  <c r="C2073" i="1"/>
  <c r="U2073" i="1" s="1"/>
  <c r="C2072" i="1"/>
  <c r="U2072" i="1" s="1"/>
  <c r="C2071" i="1"/>
  <c r="U2071" i="1" s="1"/>
  <c r="C2070" i="1"/>
  <c r="U2070" i="1" s="1"/>
  <c r="C2069" i="1"/>
  <c r="U2069" i="1" s="1"/>
  <c r="C2068" i="1"/>
  <c r="U2068" i="1" s="1"/>
  <c r="C2067" i="1"/>
  <c r="U2067" i="1" s="1"/>
  <c r="C2066" i="1"/>
  <c r="U2066" i="1" s="1"/>
  <c r="C2065" i="1"/>
  <c r="U2065" i="1" s="1"/>
  <c r="C2064" i="1"/>
  <c r="U2064" i="1" s="1"/>
  <c r="C2063" i="1"/>
  <c r="U2063" i="1" s="1"/>
  <c r="U2062" i="1"/>
  <c r="C2062" i="1"/>
  <c r="C2061" i="1"/>
  <c r="U2061" i="1" s="1"/>
  <c r="C2060" i="1"/>
  <c r="U2060" i="1" s="1"/>
  <c r="C2059" i="1"/>
  <c r="U2059" i="1" s="1"/>
  <c r="C2058" i="1"/>
  <c r="U2058" i="1" s="1"/>
  <c r="C2057" i="1"/>
  <c r="U2057" i="1" s="1"/>
  <c r="C2056" i="1"/>
  <c r="U2056" i="1" s="1"/>
  <c r="C2055" i="1"/>
  <c r="U2055" i="1" s="1"/>
  <c r="C2054" i="1"/>
  <c r="U2054" i="1" s="1"/>
  <c r="C2053" i="1"/>
  <c r="U2053" i="1" s="1"/>
  <c r="C2052" i="1"/>
  <c r="U2052" i="1" s="1"/>
  <c r="C2051" i="1"/>
  <c r="U2051" i="1" s="1"/>
  <c r="C2050" i="1"/>
  <c r="U2050" i="1" s="1"/>
  <c r="C2049" i="1"/>
  <c r="U2049" i="1" s="1"/>
  <c r="C2048" i="1"/>
  <c r="U2048" i="1" s="1"/>
  <c r="U2047" i="1"/>
  <c r="C2047" i="1"/>
  <c r="C2046" i="1"/>
  <c r="U2046" i="1" s="1"/>
  <c r="C2045" i="1"/>
  <c r="U2045" i="1" s="1"/>
  <c r="C2044" i="1"/>
  <c r="U2044" i="1" s="1"/>
  <c r="U2043" i="1"/>
  <c r="C2043" i="1"/>
  <c r="C2042" i="1"/>
  <c r="U2042" i="1" s="1"/>
  <c r="C2041" i="1"/>
  <c r="U2041" i="1" s="1"/>
  <c r="C2040" i="1"/>
  <c r="U2040" i="1" s="1"/>
  <c r="U2039" i="1"/>
  <c r="C2039" i="1"/>
  <c r="C2038" i="1"/>
  <c r="U2038" i="1" s="1"/>
  <c r="C2037" i="1"/>
  <c r="U2037" i="1" s="1"/>
  <c r="C2036" i="1"/>
  <c r="U2036" i="1" s="1"/>
  <c r="U2035" i="1"/>
  <c r="C2035" i="1"/>
  <c r="C2034" i="1"/>
  <c r="U2034" i="1" s="1"/>
  <c r="C2033" i="1"/>
  <c r="U2033" i="1" s="1"/>
  <c r="C2032" i="1"/>
  <c r="U2032" i="1" s="1"/>
  <c r="U2031" i="1"/>
  <c r="C2031" i="1"/>
  <c r="C2030" i="1"/>
  <c r="U2030" i="1" s="1"/>
  <c r="C2029" i="1"/>
  <c r="U2029" i="1" s="1"/>
  <c r="C2028" i="1"/>
  <c r="U2028" i="1" s="1"/>
  <c r="U2027" i="1"/>
  <c r="C2027" i="1"/>
  <c r="C2026" i="1"/>
  <c r="U2026" i="1" s="1"/>
  <c r="C2025" i="1"/>
  <c r="U2025" i="1" s="1"/>
  <c r="C2024" i="1"/>
  <c r="U2024" i="1" s="1"/>
  <c r="U2023" i="1"/>
  <c r="C2023" i="1"/>
  <c r="C2022" i="1"/>
  <c r="U2022" i="1" s="1"/>
  <c r="C2021" i="1"/>
  <c r="U2021" i="1" s="1"/>
  <c r="C2020" i="1"/>
  <c r="U2020" i="1" s="1"/>
  <c r="U2019" i="1"/>
  <c r="C2019" i="1"/>
  <c r="C2018" i="1"/>
  <c r="U2018" i="1" s="1"/>
  <c r="C2017" i="1"/>
  <c r="U2017" i="1" s="1"/>
  <c r="C2016" i="1"/>
  <c r="U2016" i="1" s="1"/>
  <c r="U2015" i="1"/>
  <c r="C2015" i="1"/>
  <c r="C2014" i="1"/>
  <c r="U2014" i="1" s="1"/>
  <c r="C2013" i="1"/>
  <c r="U2013" i="1" s="1"/>
  <c r="C2012" i="1"/>
  <c r="U2012" i="1" s="1"/>
  <c r="U2011" i="1"/>
  <c r="C2011" i="1"/>
  <c r="C2010" i="1"/>
  <c r="U2010" i="1" s="1"/>
  <c r="C2009" i="1"/>
  <c r="U2009" i="1" s="1"/>
  <c r="C2008" i="1"/>
  <c r="U2008" i="1" s="1"/>
  <c r="U2007" i="1"/>
  <c r="C2007" i="1"/>
  <c r="C2006" i="1"/>
  <c r="U2006" i="1" s="1"/>
  <c r="C2005" i="1"/>
  <c r="U2005" i="1" s="1"/>
  <c r="C2004" i="1"/>
  <c r="U2004" i="1" s="1"/>
  <c r="U2003" i="1"/>
  <c r="C2003" i="1"/>
  <c r="C2002" i="1"/>
  <c r="U2002" i="1" s="1"/>
  <c r="C2001" i="1"/>
  <c r="U2001" i="1" s="1"/>
  <c r="C2000" i="1"/>
  <c r="U2000" i="1" s="1"/>
  <c r="U1999" i="1"/>
  <c r="C1999" i="1"/>
  <c r="C1998" i="1"/>
  <c r="U1998" i="1" s="1"/>
  <c r="C1997" i="1"/>
  <c r="U1997" i="1" s="1"/>
  <c r="C1996" i="1"/>
  <c r="U1996" i="1" s="1"/>
  <c r="U1995" i="1"/>
  <c r="C1995" i="1"/>
  <c r="C1994" i="1"/>
  <c r="U1994" i="1" s="1"/>
  <c r="C1993" i="1"/>
  <c r="U1993" i="1" s="1"/>
  <c r="C1992" i="1"/>
  <c r="U1992" i="1" s="1"/>
  <c r="U1991" i="1"/>
  <c r="C1991" i="1"/>
  <c r="C1990" i="1"/>
  <c r="U1990" i="1" s="1"/>
  <c r="C1989" i="1"/>
  <c r="U1989" i="1" s="1"/>
  <c r="C1988" i="1"/>
  <c r="U1988" i="1" s="1"/>
  <c r="U1987" i="1"/>
  <c r="C1987" i="1"/>
  <c r="C1986" i="1"/>
  <c r="U1986" i="1" s="1"/>
  <c r="C1985" i="1"/>
  <c r="U1985" i="1" s="1"/>
  <c r="C1984" i="1"/>
  <c r="U1984" i="1" s="1"/>
  <c r="U1983" i="1"/>
  <c r="C1983" i="1"/>
  <c r="C1982" i="1"/>
  <c r="U1982" i="1" s="1"/>
  <c r="C1981" i="1"/>
  <c r="U1981" i="1" s="1"/>
  <c r="C1980" i="1"/>
  <c r="U1980" i="1" s="1"/>
  <c r="U1979" i="1"/>
  <c r="C1979" i="1"/>
  <c r="C1978" i="1"/>
  <c r="U1978" i="1" s="1"/>
  <c r="C1977" i="1"/>
  <c r="U1977" i="1" s="1"/>
  <c r="C1976" i="1"/>
  <c r="U1976" i="1" s="1"/>
  <c r="U1975" i="1"/>
  <c r="C1975" i="1"/>
  <c r="C1974" i="1"/>
  <c r="U1974" i="1" s="1"/>
  <c r="C1973" i="1"/>
  <c r="U1973" i="1" s="1"/>
  <c r="C1972" i="1"/>
  <c r="U1972" i="1" s="1"/>
  <c r="U1971" i="1"/>
  <c r="C1971" i="1"/>
  <c r="C1970" i="1"/>
  <c r="U1970" i="1" s="1"/>
  <c r="C1969" i="1"/>
  <c r="U1969" i="1" s="1"/>
  <c r="C1968" i="1"/>
  <c r="U1968" i="1" s="1"/>
  <c r="U1967" i="1"/>
  <c r="C1967" i="1"/>
  <c r="C1966" i="1"/>
  <c r="U1966" i="1" s="1"/>
  <c r="C1965" i="1"/>
  <c r="U1965" i="1" s="1"/>
  <c r="C1964" i="1"/>
  <c r="U1964" i="1" s="1"/>
  <c r="U1963" i="1"/>
  <c r="C1963" i="1"/>
  <c r="C1962" i="1"/>
  <c r="U1962" i="1" s="1"/>
  <c r="C1961" i="1"/>
  <c r="U1961" i="1" s="1"/>
  <c r="C1960" i="1"/>
  <c r="U1960" i="1" s="1"/>
  <c r="U1959" i="1"/>
  <c r="C1959" i="1"/>
  <c r="C1958" i="1"/>
  <c r="U1958" i="1" s="1"/>
  <c r="C1957" i="1"/>
  <c r="U1957" i="1" s="1"/>
  <c r="C1956" i="1"/>
  <c r="U1956" i="1" s="1"/>
  <c r="U1955" i="1"/>
  <c r="C1955" i="1"/>
  <c r="C1954" i="1"/>
  <c r="U1954" i="1" s="1"/>
  <c r="C1953" i="1"/>
  <c r="U1953" i="1" s="1"/>
  <c r="C1952" i="1"/>
  <c r="U1952" i="1" s="1"/>
  <c r="U1951" i="1"/>
  <c r="C1951" i="1"/>
  <c r="C1950" i="1"/>
  <c r="U1950" i="1" s="1"/>
  <c r="C1949" i="1"/>
  <c r="U1949" i="1" s="1"/>
  <c r="C1948" i="1"/>
  <c r="U1948" i="1" s="1"/>
  <c r="U1947" i="1"/>
  <c r="C1947" i="1"/>
  <c r="C1946" i="1"/>
  <c r="U1946" i="1" s="1"/>
  <c r="C1945" i="1"/>
  <c r="U1945" i="1" s="1"/>
  <c r="C1944" i="1"/>
  <c r="U1944" i="1" s="1"/>
  <c r="U1943" i="1"/>
  <c r="C1943" i="1"/>
  <c r="C1942" i="1"/>
  <c r="U1942" i="1" s="1"/>
  <c r="C1941" i="1"/>
  <c r="U1941" i="1" s="1"/>
  <c r="C1940" i="1"/>
  <c r="U1940" i="1" s="1"/>
  <c r="U1939" i="1"/>
  <c r="C1939" i="1"/>
  <c r="C1938" i="1"/>
  <c r="U1938" i="1" s="1"/>
  <c r="C1937" i="1"/>
  <c r="U1937" i="1" s="1"/>
  <c r="C1936" i="1"/>
  <c r="U1936" i="1" s="1"/>
  <c r="U1935" i="1"/>
  <c r="C1935" i="1"/>
  <c r="C1934" i="1"/>
  <c r="U1934" i="1" s="1"/>
  <c r="C1933" i="1"/>
  <c r="U1933" i="1" s="1"/>
  <c r="C1932" i="1"/>
  <c r="U1932" i="1" s="1"/>
  <c r="U1931" i="1"/>
  <c r="C1931" i="1"/>
  <c r="C1930" i="1"/>
  <c r="U1930" i="1" s="1"/>
  <c r="C1929" i="1"/>
  <c r="U1929" i="1" s="1"/>
  <c r="C1928" i="1"/>
  <c r="U1928" i="1" s="1"/>
  <c r="U1927" i="1"/>
  <c r="C1927" i="1"/>
  <c r="C1926" i="1"/>
  <c r="U1926" i="1" s="1"/>
  <c r="C1925" i="1"/>
  <c r="U1925" i="1" s="1"/>
  <c r="C1924" i="1"/>
  <c r="U1924" i="1" s="1"/>
  <c r="U1923" i="1"/>
  <c r="C1923" i="1"/>
  <c r="C1922" i="1"/>
  <c r="U1922" i="1" s="1"/>
  <c r="U1921" i="1"/>
  <c r="C1921" i="1"/>
  <c r="C1920" i="1"/>
  <c r="U1920" i="1" s="1"/>
  <c r="U1919" i="1"/>
  <c r="C1919" i="1"/>
  <c r="C1918" i="1"/>
  <c r="U1918" i="1" s="1"/>
  <c r="C1917" i="1"/>
  <c r="U1917" i="1" s="1"/>
  <c r="C1916" i="1"/>
  <c r="U1916" i="1" s="1"/>
  <c r="U1915" i="1"/>
  <c r="C1915" i="1"/>
  <c r="C1914" i="1"/>
  <c r="U1914" i="1" s="1"/>
  <c r="U1913" i="1"/>
  <c r="C1913" i="1"/>
  <c r="C1912" i="1"/>
  <c r="U1912" i="1" s="1"/>
  <c r="U1911" i="1"/>
  <c r="C1911" i="1"/>
  <c r="C1910" i="1"/>
  <c r="U1910" i="1" s="1"/>
  <c r="C1909" i="1"/>
  <c r="U1909" i="1" s="1"/>
  <c r="C1908" i="1"/>
  <c r="U1908" i="1" s="1"/>
  <c r="U1907" i="1"/>
  <c r="C1907" i="1"/>
  <c r="C1906" i="1"/>
  <c r="U1906" i="1" s="1"/>
  <c r="U1905" i="1"/>
  <c r="C1905" i="1"/>
  <c r="C1904" i="1"/>
  <c r="U1904" i="1" s="1"/>
  <c r="U1903" i="1"/>
  <c r="C1903" i="1"/>
  <c r="C1902" i="1"/>
  <c r="U1902" i="1" s="1"/>
  <c r="C1901" i="1"/>
  <c r="U1901" i="1" s="1"/>
  <c r="C1900" i="1"/>
  <c r="U1900" i="1" s="1"/>
  <c r="U1899" i="1"/>
  <c r="C1899" i="1"/>
  <c r="C1898" i="1"/>
  <c r="U1898" i="1" s="1"/>
  <c r="U1897" i="1"/>
  <c r="C1897" i="1"/>
  <c r="C1896" i="1"/>
  <c r="U1896" i="1" s="1"/>
  <c r="U1895" i="1"/>
  <c r="C1895" i="1"/>
  <c r="C1894" i="1"/>
  <c r="U1894" i="1" s="1"/>
  <c r="C1893" i="1"/>
  <c r="U1893" i="1" s="1"/>
  <c r="C1892" i="1"/>
  <c r="U1892" i="1" s="1"/>
  <c r="U1891" i="1"/>
  <c r="C1891" i="1"/>
  <c r="C1890" i="1"/>
  <c r="U1890" i="1" s="1"/>
  <c r="U1889" i="1"/>
  <c r="C1889" i="1"/>
  <c r="C1888" i="1"/>
  <c r="U1888" i="1" s="1"/>
  <c r="U1887" i="1"/>
  <c r="C1887" i="1"/>
  <c r="C1886" i="1"/>
  <c r="U1886" i="1" s="1"/>
  <c r="C1885" i="1"/>
  <c r="U1885" i="1" s="1"/>
  <c r="C1884" i="1"/>
  <c r="U1884" i="1" s="1"/>
  <c r="U1883" i="1"/>
  <c r="C1883" i="1"/>
  <c r="C1882" i="1"/>
  <c r="U1882" i="1" s="1"/>
  <c r="U1881" i="1"/>
  <c r="C1881" i="1"/>
  <c r="C1880" i="1"/>
  <c r="U1880" i="1" s="1"/>
  <c r="U1879" i="1"/>
  <c r="C1879" i="1"/>
  <c r="C1878" i="1"/>
  <c r="U1878" i="1" s="1"/>
  <c r="C1877" i="1"/>
  <c r="U1877" i="1" s="1"/>
  <c r="C1876" i="1"/>
  <c r="U1876" i="1" s="1"/>
  <c r="U1875" i="1"/>
  <c r="C1875" i="1"/>
  <c r="C1874" i="1"/>
  <c r="U1874" i="1" s="1"/>
  <c r="U1873" i="1"/>
  <c r="C1873" i="1"/>
  <c r="C1872" i="1"/>
  <c r="U1872" i="1" s="1"/>
  <c r="U1871" i="1"/>
  <c r="C1871" i="1"/>
  <c r="C1870" i="1"/>
  <c r="U1870" i="1" s="1"/>
  <c r="C1869" i="1"/>
  <c r="U1869" i="1" s="1"/>
  <c r="C1868" i="1"/>
  <c r="U1868" i="1" s="1"/>
  <c r="U1867" i="1"/>
  <c r="C1867" i="1"/>
  <c r="C1866" i="1"/>
  <c r="U1866" i="1" s="1"/>
  <c r="U1865" i="1"/>
  <c r="C1865" i="1"/>
  <c r="C1864" i="1"/>
  <c r="U1864" i="1" s="1"/>
  <c r="U1863" i="1"/>
  <c r="C1863" i="1"/>
  <c r="C1862" i="1"/>
  <c r="U1862" i="1" s="1"/>
  <c r="C1861" i="1"/>
  <c r="U1861" i="1" s="1"/>
  <c r="C1860" i="1"/>
  <c r="U1860" i="1" s="1"/>
  <c r="U1859" i="1"/>
  <c r="C1859" i="1"/>
  <c r="C1858" i="1"/>
  <c r="U1858" i="1" s="1"/>
  <c r="U1857" i="1"/>
  <c r="C1857" i="1"/>
  <c r="C1856" i="1"/>
  <c r="U1856" i="1" s="1"/>
  <c r="U1855" i="1"/>
  <c r="C1855" i="1"/>
  <c r="C1854" i="1"/>
  <c r="U1854" i="1" s="1"/>
  <c r="C1853" i="1"/>
  <c r="U1853" i="1" s="1"/>
  <c r="C1852" i="1"/>
  <c r="U1852" i="1" s="1"/>
  <c r="U1851" i="1"/>
  <c r="C1851" i="1"/>
  <c r="C1850" i="1"/>
  <c r="U1850" i="1" s="1"/>
  <c r="U1849" i="1"/>
  <c r="C1849" i="1"/>
  <c r="C1848" i="1"/>
  <c r="U1848" i="1" s="1"/>
  <c r="U1847" i="1"/>
  <c r="C1847" i="1"/>
  <c r="C1846" i="1"/>
  <c r="U1846" i="1" s="1"/>
  <c r="C1845" i="1"/>
  <c r="U1845" i="1" s="1"/>
  <c r="C1844" i="1"/>
  <c r="U1844" i="1" s="1"/>
  <c r="U1843" i="1"/>
  <c r="C1843" i="1"/>
  <c r="C1842" i="1"/>
  <c r="U1842" i="1" s="1"/>
  <c r="U1841" i="1"/>
  <c r="C1841" i="1"/>
  <c r="C1840" i="1"/>
  <c r="U1840" i="1" s="1"/>
  <c r="U1839" i="1"/>
  <c r="C1839" i="1"/>
  <c r="C1838" i="1"/>
  <c r="U1838" i="1" s="1"/>
  <c r="C1837" i="1"/>
  <c r="U1837" i="1" s="1"/>
  <c r="C1836" i="1"/>
  <c r="U1836" i="1" s="1"/>
  <c r="U1835" i="1"/>
  <c r="C1835" i="1"/>
  <c r="C1834" i="1"/>
  <c r="U1834" i="1" s="1"/>
  <c r="U1833" i="1"/>
  <c r="C1833" i="1"/>
  <c r="C1832" i="1"/>
  <c r="U1832" i="1" s="1"/>
  <c r="U1831" i="1"/>
  <c r="C1831" i="1"/>
  <c r="C1830" i="1"/>
  <c r="U1830" i="1" s="1"/>
  <c r="C1829" i="1"/>
  <c r="U1829" i="1" s="1"/>
  <c r="C1828" i="1"/>
  <c r="U1828" i="1" s="1"/>
  <c r="U1827" i="1"/>
  <c r="C1827" i="1"/>
  <c r="C1826" i="1"/>
  <c r="U1826" i="1" s="1"/>
  <c r="U1825" i="1"/>
  <c r="C1825" i="1"/>
  <c r="C1824" i="1"/>
  <c r="U1824" i="1" s="1"/>
  <c r="U1823" i="1"/>
  <c r="C1823" i="1"/>
  <c r="C1822" i="1"/>
  <c r="U1822" i="1" s="1"/>
  <c r="C1821" i="1"/>
  <c r="U1821" i="1" s="1"/>
  <c r="C1820" i="1"/>
  <c r="U1820" i="1" s="1"/>
  <c r="U1819" i="1"/>
  <c r="C1819" i="1"/>
  <c r="C1818" i="1"/>
  <c r="U1818" i="1" s="1"/>
  <c r="U1817" i="1"/>
  <c r="C1817" i="1"/>
  <c r="C1816" i="1"/>
  <c r="U1816" i="1" s="1"/>
  <c r="U1815" i="1"/>
  <c r="C1815" i="1"/>
  <c r="C1814" i="1"/>
  <c r="U1814" i="1" s="1"/>
  <c r="C1813" i="1"/>
  <c r="U1813" i="1" s="1"/>
  <c r="C1812" i="1"/>
  <c r="U1812" i="1" s="1"/>
  <c r="U1811" i="1"/>
  <c r="C1811" i="1"/>
  <c r="C1810" i="1"/>
  <c r="U1810" i="1" s="1"/>
  <c r="U1809" i="1"/>
  <c r="C1809" i="1"/>
  <c r="C1808" i="1"/>
  <c r="U1808" i="1" s="1"/>
  <c r="U1807" i="1"/>
  <c r="C1807" i="1"/>
  <c r="C1806" i="1"/>
  <c r="U1806" i="1" s="1"/>
  <c r="C1805" i="1"/>
  <c r="U1805" i="1" s="1"/>
  <c r="C1804" i="1"/>
  <c r="U1804" i="1" s="1"/>
  <c r="U1803" i="1"/>
  <c r="C1803" i="1"/>
  <c r="C1802" i="1"/>
  <c r="U1802" i="1" s="1"/>
  <c r="U1801" i="1"/>
  <c r="C1801" i="1"/>
  <c r="C1800" i="1"/>
  <c r="U1800" i="1" s="1"/>
  <c r="U1799" i="1"/>
  <c r="C1799" i="1"/>
  <c r="C1798" i="1"/>
  <c r="U1798" i="1" s="1"/>
  <c r="C1797" i="1"/>
  <c r="U1797" i="1" s="1"/>
  <c r="C1796" i="1"/>
  <c r="U1796" i="1" s="1"/>
  <c r="U1795" i="1"/>
  <c r="C1795" i="1"/>
  <c r="C1794" i="1"/>
  <c r="U1794" i="1" s="1"/>
  <c r="U1793" i="1"/>
  <c r="C1793" i="1"/>
  <c r="C1792" i="1"/>
  <c r="U1792" i="1" s="1"/>
  <c r="U1791" i="1"/>
  <c r="C1791" i="1"/>
  <c r="C1790" i="1"/>
  <c r="U1790" i="1" s="1"/>
  <c r="C1789" i="1"/>
  <c r="U1789" i="1" s="1"/>
  <c r="C1788" i="1"/>
  <c r="U1788" i="1" s="1"/>
  <c r="U1787" i="1"/>
  <c r="C1787" i="1"/>
  <c r="C1786" i="1"/>
  <c r="U1786" i="1" s="1"/>
  <c r="U1785" i="1"/>
  <c r="C1785" i="1"/>
  <c r="C1784" i="1"/>
  <c r="U1784" i="1" s="1"/>
  <c r="U1783" i="1"/>
  <c r="C1783" i="1"/>
  <c r="C1782" i="1"/>
  <c r="U1782" i="1" s="1"/>
  <c r="C1781" i="1"/>
  <c r="U1781" i="1" s="1"/>
  <c r="C1780" i="1"/>
  <c r="U1780" i="1" s="1"/>
  <c r="U1779" i="1"/>
  <c r="C1779" i="1"/>
  <c r="C1778" i="1"/>
  <c r="U1778" i="1" s="1"/>
  <c r="U1777" i="1"/>
  <c r="C1777" i="1"/>
  <c r="C1776" i="1"/>
  <c r="U1776" i="1" s="1"/>
  <c r="U1775" i="1"/>
  <c r="C1775" i="1"/>
  <c r="C1774" i="1"/>
  <c r="U1774" i="1" s="1"/>
  <c r="C1773" i="1"/>
  <c r="U1773" i="1" s="1"/>
  <c r="C1772" i="1"/>
  <c r="U1772" i="1" s="1"/>
  <c r="U1771" i="1"/>
  <c r="C1771" i="1"/>
  <c r="C1770" i="1"/>
  <c r="U1770" i="1" s="1"/>
  <c r="U1769" i="1"/>
  <c r="C1769" i="1"/>
  <c r="C1768" i="1"/>
  <c r="U1768" i="1" s="1"/>
  <c r="U1767" i="1"/>
  <c r="C1767" i="1"/>
  <c r="C1766" i="1"/>
  <c r="U1766" i="1" s="1"/>
  <c r="C1765" i="1"/>
  <c r="U1765" i="1" s="1"/>
  <c r="C1764" i="1"/>
  <c r="U1764" i="1" s="1"/>
  <c r="U1763" i="1"/>
  <c r="C1763" i="1"/>
  <c r="C1762" i="1"/>
  <c r="U1762" i="1" s="1"/>
  <c r="U1761" i="1"/>
  <c r="C1761" i="1"/>
  <c r="C1760" i="1"/>
  <c r="U1760" i="1" s="1"/>
  <c r="U1759" i="1"/>
  <c r="C1759" i="1"/>
  <c r="C1758" i="1"/>
  <c r="U1758" i="1" s="1"/>
  <c r="C1757" i="1"/>
  <c r="U1757" i="1" s="1"/>
  <c r="C1756" i="1"/>
  <c r="U1756" i="1" s="1"/>
  <c r="U1755" i="1"/>
  <c r="C1755" i="1"/>
  <c r="C1754" i="1"/>
  <c r="U1754" i="1" s="1"/>
  <c r="U1753" i="1"/>
  <c r="C1753" i="1"/>
  <c r="C1752" i="1"/>
  <c r="U1752" i="1" s="1"/>
  <c r="U1751" i="1"/>
  <c r="C1751" i="1"/>
  <c r="C1750" i="1"/>
  <c r="U1750" i="1" s="1"/>
  <c r="C1749" i="1"/>
  <c r="U1749" i="1" s="1"/>
  <c r="C1748" i="1"/>
  <c r="U1748" i="1" s="1"/>
  <c r="U1747" i="1"/>
  <c r="C1747" i="1"/>
  <c r="C1746" i="1"/>
  <c r="U1746" i="1" s="1"/>
  <c r="U1745" i="1"/>
  <c r="C1745" i="1"/>
  <c r="C1744" i="1"/>
  <c r="U1744" i="1" s="1"/>
  <c r="U1743" i="1"/>
  <c r="C1743" i="1"/>
  <c r="C1742" i="1"/>
  <c r="U1742" i="1" s="1"/>
  <c r="C1741" i="1"/>
  <c r="U1741" i="1" s="1"/>
  <c r="C1740" i="1"/>
  <c r="U1740" i="1" s="1"/>
  <c r="U1739" i="1"/>
  <c r="C1739" i="1"/>
  <c r="C1738" i="1"/>
  <c r="U1738" i="1" s="1"/>
  <c r="U1737" i="1"/>
  <c r="C1737" i="1"/>
  <c r="C1736" i="1"/>
  <c r="U1736" i="1" s="1"/>
  <c r="U1735" i="1"/>
  <c r="C1735" i="1"/>
  <c r="C1734" i="1"/>
  <c r="U1734" i="1" s="1"/>
  <c r="C1733" i="1"/>
  <c r="U1733" i="1" s="1"/>
  <c r="C1732" i="1"/>
  <c r="U1732" i="1" s="1"/>
  <c r="U1731" i="1"/>
  <c r="C1731" i="1"/>
  <c r="C1730" i="1"/>
  <c r="U1730" i="1" s="1"/>
  <c r="U1729" i="1"/>
  <c r="C1729" i="1"/>
  <c r="C1728" i="1"/>
  <c r="U1728" i="1" s="1"/>
  <c r="U1727" i="1"/>
  <c r="C1727" i="1"/>
  <c r="C1726" i="1"/>
  <c r="U1726" i="1" s="1"/>
  <c r="C1725" i="1"/>
  <c r="U1725" i="1" s="1"/>
  <c r="C1724" i="1"/>
  <c r="U1724" i="1" s="1"/>
  <c r="U1723" i="1"/>
  <c r="C1723" i="1"/>
  <c r="C1722" i="1"/>
  <c r="U1722" i="1" s="1"/>
  <c r="U1721" i="1"/>
  <c r="C1721" i="1"/>
  <c r="C1720" i="1"/>
  <c r="U1720" i="1" s="1"/>
  <c r="U1719" i="1"/>
  <c r="C1719" i="1"/>
  <c r="C1718" i="1"/>
  <c r="U1718" i="1" s="1"/>
  <c r="C1717" i="1"/>
  <c r="U1717" i="1" s="1"/>
  <c r="C1716" i="1"/>
  <c r="U1716" i="1" s="1"/>
  <c r="U1715" i="1"/>
  <c r="C1715" i="1"/>
  <c r="C1714" i="1"/>
  <c r="U1714" i="1" s="1"/>
  <c r="U1713" i="1"/>
  <c r="C1713" i="1"/>
  <c r="C1712" i="1"/>
  <c r="U1712" i="1" s="1"/>
  <c r="U1711" i="1"/>
  <c r="C1711" i="1"/>
  <c r="C1710" i="1"/>
  <c r="U1710" i="1" s="1"/>
  <c r="C1709" i="1"/>
  <c r="U1709" i="1" s="1"/>
  <c r="C1708" i="1"/>
  <c r="U1708" i="1" s="1"/>
  <c r="U1707" i="1"/>
  <c r="C1707" i="1"/>
  <c r="C1706" i="1"/>
  <c r="U1706" i="1" s="1"/>
  <c r="U1705" i="1"/>
  <c r="C1705" i="1"/>
  <c r="C1704" i="1"/>
  <c r="U1704" i="1" s="1"/>
  <c r="U1703" i="1"/>
  <c r="C1703" i="1"/>
  <c r="C1702" i="1"/>
  <c r="U1702" i="1" s="1"/>
  <c r="C1701" i="1"/>
  <c r="U1701" i="1" s="1"/>
  <c r="C1700" i="1"/>
  <c r="U1700" i="1" s="1"/>
  <c r="U1699" i="1"/>
  <c r="C1699" i="1"/>
  <c r="C1698" i="1"/>
  <c r="U1698" i="1" s="1"/>
  <c r="U1697" i="1"/>
  <c r="C1697" i="1"/>
  <c r="C1696" i="1"/>
  <c r="U1696" i="1" s="1"/>
  <c r="U1695" i="1"/>
  <c r="C1695" i="1"/>
  <c r="C1694" i="1"/>
  <c r="U1694" i="1" s="1"/>
  <c r="C1693" i="1"/>
  <c r="U1693" i="1" s="1"/>
  <c r="C1692" i="1"/>
  <c r="U1692" i="1" s="1"/>
  <c r="U1691" i="1"/>
  <c r="C1691" i="1"/>
  <c r="C1690" i="1"/>
  <c r="U1690" i="1" s="1"/>
  <c r="U1689" i="1"/>
  <c r="C1689" i="1"/>
  <c r="C1688" i="1"/>
  <c r="U1688" i="1" s="1"/>
  <c r="U1687" i="1"/>
  <c r="C1687" i="1"/>
  <c r="C1686" i="1"/>
  <c r="U1686" i="1" s="1"/>
  <c r="C1685" i="1"/>
  <c r="U1685" i="1" s="1"/>
  <c r="C1684" i="1"/>
  <c r="U1684" i="1" s="1"/>
  <c r="U1683" i="1"/>
  <c r="C1683" i="1"/>
  <c r="C1682" i="1"/>
  <c r="U1682" i="1" s="1"/>
  <c r="U1681" i="1"/>
  <c r="C1681" i="1"/>
  <c r="C1680" i="1"/>
  <c r="U1680" i="1" s="1"/>
  <c r="U1679" i="1"/>
  <c r="C1679" i="1"/>
  <c r="C1678" i="1"/>
  <c r="U1678" i="1" s="1"/>
  <c r="C1677" i="1"/>
  <c r="U1677" i="1" s="1"/>
  <c r="C1676" i="1"/>
  <c r="U1676" i="1" s="1"/>
  <c r="U1675" i="1"/>
  <c r="C1675" i="1"/>
  <c r="C1674" i="1"/>
  <c r="U1674" i="1" s="1"/>
  <c r="U1673" i="1"/>
  <c r="C1673" i="1"/>
  <c r="C1672" i="1"/>
  <c r="U1672" i="1" s="1"/>
  <c r="U1671" i="1"/>
  <c r="C1671" i="1"/>
  <c r="C1670" i="1"/>
  <c r="U1670" i="1" s="1"/>
  <c r="C1669" i="1"/>
  <c r="U1669" i="1" s="1"/>
  <c r="C1668" i="1"/>
  <c r="U1668" i="1" s="1"/>
  <c r="U1667" i="1"/>
  <c r="C1667" i="1"/>
  <c r="C1666" i="1"/>
  <c r="U1666" i="1" s="1"/>
  <c r="U1665" i="1"/>
  <c r="C1665" i="1"/>
  <c r="C1664" i="1"/>
  <c r="U1664" i="1" s="1"/>
  <c r="U1663" i="1"/>
  <c r="C1663" i="1"/>
  <c r="C1662" i="1"/>
  <c r="U1662" i="1" s="1"/>
  <c r="C1661" i="1"/>
  <c r="U1661" i="1" s="1"/>
  <c r="C1660" i="1"/>
  <c r="U1660" i="1" s="1"/>
  <c r="U1659" i="1"/>
  <c r="C1659" i="1"/>
  <c r="C1658" i="1"/>
  <c r="U1658" i="1" s="1"/>
  <c r="U1657" i="1"/>
  <c r="C1657" i="1"/>
  <c r="C1656" i="1"/>
  <c r="U1656" i="1" s="1"/>
  <c r="U1655" i="1"/>
  <c r="C1655" i="1"/>
  <c r="C1654" i="1"/>
  <c r="U1654" i="1" s="1"/>
  <c r="C1653" i="1"/>
  <c r="U1653" i="1" s="1"/>
  <c r="W1653" i="1" s="1"/>
  <c r="C1652" i="1"/>
  <c r="U1652" i="1" s="1"/>
  <c r="U1651" i="1"/>
  <c r="C1651" i="1"/>
  <c r="C1650" i="1"/>
  <c r="U1650" i="1" s="1"/>
  <c r="U1649" i="1"/>
  <c r="W1649" i="1" s="1"/>
  <c r="C1649" i="1"/>
  <c r="C1648" i="1"/>
  <c r="U1648" i="1" s="1"/>
  <c r="U1647" i="1"/>
  <c r="C1647" i="1"/>
  <c r="C1646" i="1"/>
  <c r="U1646" i="1" s="1"/>
  <c r="C1645" i="1"/>
  <c r="U1645" i="1" s="1"/>
  <c r="W1645" i="1" s="1"/>
  <c r="C1644" i="1"/>
  <c r="U1644" i="1" s="1"/>
  <c r="U1643" i="1"/>
  <c r="C1643" i="1"/>
  <c r="C1642" i="1"/>
  <c r="U1642" i="1" s="1"/>
  <c r="U1641" i="1"/>
  <c r="W1641" i="1" s="1"/>
  <c r="C1641" i="1"/>
  <c r="C1640" i="1"/>
  <c r="U1640" i="1" s="1"/>
  <c r="U1639" i="1"/>
  <c r="C1639" i="1"/>
  <c r="C1638" i="1"/>
  <c r="U1638" i="1" s="1"/>
  <c r="C1637" i="1"/>
  <c r="U1637" i="1" s="1"/>
  <c r="W1637" i="1" s="1"/>
  <c r="C1636" i="1"/>
  <c r="U1636" i="1" s="1"/>
  <c r="U1635" i="1"/>
  <c r="C1635" i="1"/>
  <c r="C1634" i="1"/>
  <c r="U1634" i="1" s="1"/>
  <c r="U1633" i="1"/>
  <c r="W1633" i="1" s="1"/>
  <c r="C1633" i="1"/>
  <c r="C1632" i="1"/>
  <c r="U1632" i="1" s="1"/>
  <c r="U1631" i="1"/>
  <c r="C1631" i="1"/>
  <c r="C1630" i="1"/>
  <c r="U1630" i="1" s="1"/>
  <c r="C1629" i="1"/>
  <c r="U1629" i="1" s="1"/>
  <c r="W1629" i="1" s="1"/>
  <c r="C1628" i="1"/>
  <c r="U1628" i="1" s="1"/>
  <c r="U1627" i="1"/>
  <c r="C1627" i="1"/>
  <c r="C1626" i="1"/>
  <c r="U1626" i="1" s="1"/>
  <c r="U1625" i="1"/>
  <c r="W1625" i="1" s="1"/>
  <c r="C1625" i="1"/>
  <c r="C1624" i="1"/>
  <c r="U1624" i="1" s="1"/>
  <c r="U1623" i="1"/>
  <c r="C1623" i="1"/>
  <c r="C1622" i="1"/>
  <c r="U1622" i="1" s="1"/>
  <c r="C1621" i="1"/>
  <c r="U1621" i="1" s="1"/>
  <c r="W1621" i="1" s="1"/>
  <c r="C1620" i="1"/>
  <c r="U1620" i="1" s="1"/>
  <c r="U1619" i="1"/>
  <c r="C1619" i="1"/>
  <c r="C1618" i="1"/>
  <c r="U1618" i="1" s="1"/>
  <c r="U1617" i="1"/>
  <c r="W1617" i="1" s="1"/>
  <c r="C1617" i="1"/>
  <c r="C1616" i="1"/>
  <c r="U1616" i="1" s="1"/>
  <c r="U1615" i="1"/>
  <c r="C1615" i="1"/>
  <c r="C1614" i="1"/>
  <c r="U1614" i="1" s="1"/>
  <c r="C1613" i="1"/>
  <c r="U1613" i="1" s="1"/>
  <c r="W1613" i="1" s="1"/>
  <c r="C1612" i="1"/>
  <c r="U1612" i="1" s="1"/>
  <c r="U1611" i="1"/>
  <c r="C1611" i="1"/>
  <c r="C1610" i="1"/>
  <c r="U1610" i="1" s="1"/>
  <c r="U1609" i="1"/>
  <c r="W1609" i="1" s="1"/>
  <c r="C1609" i="1"/>
  <c r="C1608" i="1"/>
  <c r="U1608" i="1" s="1"/>
  <c r="U1607" i="1"/>
  <c r="C1607" i="1"/>
  <c r="C1606" i="1"/>
  <c r="U1606" i="1" s="1"/>
  <c r="C1605" i="1"/>
  <c r="U1605" i="1" s="1"/>
  <c r="W1605" i="1" s="1"/>
  <c r="C1604" i="1"/>
  <c r="U1604" i="1" s="1"/>
  <c r="U1603" i="1"/>
  <c r="C1603" i="1"/>
  <c r="C1602" i="1"/>
  <c r="U1602" i="1" s="1"/>
  <c r="U1601" i="1"/>
  <c r="W1601" i="1" s="1"/>
  <c r="C1601" i="1"/>
  <c r="C1600" i="1"/>
  <c r="U1600" i="1" s="1"/>
  <c r="U1599" i="1"/>
  <c r="C1599" i="1"/>
  <c r="C1598" i="1"/>
  <c r="U1598" i="1" s="1"/>
  <c r="C1597" i="1"/>
  <c r="U1597" i="1" s="1"/>
  <c r="W1597" i="1" s="1"/>
  <c r="C1596" i="1"/>
  <c r="U1596" i="1" s="1"/>
  <c r="U1595" i="1"/>
  <c r="C1595" i="1"/>
  <c r="C1594" i="1"/>
  <c r="U1594" i="1" s="1"/>
  <c r="U1593" i="1"/>
  <c r="W1593" i="1" s="1"/>
  <c r="C1593" i="1"/>
  <c r="C1592" i="1"/>
  <c r="U1592" i="1" s="1"/>
  <c r="U1591" i="1"/>
  <c r="C1591" i="1"/>
  <c r="C1590" i="1"/>
  <c r="U1590" i="1" s="1"/>
  <c r="C1589" i="1"/>
  <c r="U1589" i="1" s="1"/>
  <c r="W1589" i="1" s="1"/>
  <c r="C1588" i="1"/>
  <c r="U1588" i="1" s="1"/>
  <c r="U1587" i="1"/>
  <c r="C1587" i="1"/>
  <c r="C1586" i="1"/>
  <c r="U1586" i="1" s="1"/>
  <c r="U1585" i="1"/>
  <c r="W1585" i="1" s="1"/>
  <c r="C1585" i="1"/>
  <c r="C1584" i="1"/>
  <c r="U1584" i="1" s="1"/>
  <c r="U1583" i="1"/>
  <c r="C1583" i="1"/>
  <c r="C1582" i="1"/>
  <c r="U1582" i="1" s="1"/>
  <c r="C1581" i="1"/>
  <c r="U1581" i="1" s="1"/>
  <c r="W1581" i="1" s="1"/>
  <c r="C1580" i="1"/>
  <c r="U1580" i="1" s="1"/>
  <c r="U1579" i="1"/>
  <c r="C1579" i="1"/>
  <c r="C1578" i="1"/>
  <c r="U1578" i="1" s="1"/>
  <c r="U1577" i="1"/>
  <c r="W1577" i="1" s="1"/>
  <c r="C1577" i="1"/>
  <c r="C1576" i="1"/>
  <c r="U1576" i="1" s="1"/>
  <c r="U1575" i="1"/>
  <c r="C1575" i="1"/>
  <c r="C1574" i="1"/>
  <c r="U1574" i="1" s="1"/>
  <c r="C1573" i="1"/>
  <c r="U1573" i="1" s="1"/>
  <c r="W1573" i="1" s="1"/>
  <c r="C1572" i="1"/>
  <c r="U1572" i="1" s="1"/>
  <c r="U1571" i="1"/>
  <c r="C1571" i="1"/>
  <c r="C1570" i="1"/>
  <c r="U1570" i="1" s="1"/>
  <c r="U1569" i="1"/>
  <c r="W1569" i="1" s="1"/>
  <c r="C1569" i="1"/>
  <c r="C1568" i="1"/>
  <c r="U1568" i="1" s="1"/>
  <c r="U1567" i="1"/>
  <c r="C1567" i="1"/>
  <c r="C1566" i="1"/>
  <c r="U1566" i="1" s="1"/>
  <c r="C1565" i="1"/>
  <c r="U1565" i="1" s="1"/>
  <c r="W1565" i="1" s="1"/>
  <c r="C1564" i="1"/>
  <c r="U1564" i="1" s="1"/>
  <c r="U1563" i="1"/>
  <c r="C1563" i="1"/>
  <c r="C1562" i="1"/>
  <c r="U1562" i="1" s="1"/>
  <c r="U1561" i="1"/>
  <c r="W1561" i="1" s="1"/>
  <c r="C1561" i="1"/>
  <c r="C1560" i="1"/>
  <c r="U1560" i="1" s="1"/>
  <c r="U1559" i="1"/>
  <c r="C1559" i="1"/>
  <c r="C1558" i="1"/>
  <c r="U1558" i="1" s="1"/>
  <c r="C1557" i="1"/>
  <c r="U1557" i="1" s="1"/>
  <c r="W1557" i="1" s="1"/>
  <c r="C1556" i="1"/>
  <c r="U1556" i="1" s="1"/>
  <c r="U1555" i="1"/>
  <c r="C1555" i="1"/>
  <c r="C1554" i="1"/>
  <c r="U1554" i="1" s="1"/>
  <c r="U1553" i="1"/>
  <c r="W1553" i="1" s="1"/>
  <c r="C1553" i="1"/>
  <c r="C1552" i="1"/>
  <c r="U1552" i="1" s="1"/>
  <c r="U1551" i="1"/>
  <c r="C1551" i="1"/>
  <c r="C1550" i="1"/>
  <c r="U1550" i="1" s="1"/>
  <c r="C1549" i="1"/>
  <c r="U1549" i="1" s="1"/>
  <c r="W1549" i="1" s="1"/>
  <c r="C1548" i="1"/>
  <c r="U1548" i="1" s="1"/>
  <c r="U1547" i="1"/>
  <c r="C1547" i="1"/>
  <c r="C1546" i="1"/>
  <c r="U1546" i="1" s="1"/>
  <c r="U1545" i="1"/>
  <c r="W1545" i="1" s="1"/>
  <c r="C1545" i="1"/>
  <c r="C1544" i="1"/>
  <c r="U1544" i="1" s="1"/>
  <c r="U1543" i="1"/>
  <c r="C1543" i="1"/>
  <c r="C1542" i="1"/>
  <c r="U1542" i="1" s="1"/>
  <c r="C1541" i="1"/>
  <c r="U1541" i="1" s="1"/>
  <c r="W1541" i="1" s="1"/>
  <c r="C1540" i="1"/>
  <c r="U1540" i="1" s="1"/>
  <c r="U1539" i="1"/>
  <c r="C1539" i="1"/>
  <c r="C1538" i="1"/>
  <c r="U1538" i="1" s="1"/>
  <c r="U1537" i="1"/>
  <c r="W1537" i="1" s="1"/>
  <c r="C1537" i="1"/>
  <c r="C1536" i="1"/>
  <c r="U1536" i="1" s="1"/>
  <c r="U1535" i="1"/>
  <c r="C1535" i="1"/>
  <c r="C1534" i="1"/>
  <c r="U1534" i="1" s="1"/>
  <c r="C1533" i="1"/>
  <c r="U1533" i="1" s="1"/>
  <c r="W1533" i="1" s="1"/>
  <c r="C1532" i="1"/>
  <c r="U1532" i="1" s="1"/>
  <c r="U1531" i="1"/>
  <c r="C1531" i="1"/>
  <c r="C1530" i="1"/>
  <c r="U1530" i="1" s="1"/>
  <c r="U1529" i="1"/>
  <c r="W1529" i="1" s="1"/>
  <c r="C1529" i="1"/>
  <c r="C1528" i="1"/>
  <c r="U1528" i="1" s="1"/>
  <c r="U1527" i="1"/>
  <c r="C1527" i="1"/>
  <c r="C1526" i="1"/>
  <c r="U1526" i="1" s="1"/>
  <c r="C1525" i="1"/>
  <c r="U1525" i="1" s="1"/>
  <c r="W1525" i="1" s="1"/>
  <c r="C1524" i="1"/>
  <c r="U1524" i="1" s="1"/>
  <c r="U1523" i="1"/>
  <c r="C1523" i="1"/>
  <c r="C1522" i="1"/>
  <c r="U1522" i="1" s="1"/>
  <c r="U1521" i="1"/>
  <c r="W1521" i="1" s="1"/>
  <c r="C1521" i="1"/>
  <c r="C1520" i="1"/>
  <c r="U1520" i="1" s="1"/>
  <c r="U1519" i="1"/>
  <c r="C1519" i="1"/>
  <c r="C1518" i="1"/>
  <c r="U1518" i="1" s="1"/>
  <c r="C1517" i="1"/>
  <c r="U1517" i="1" s="1"/>
  <c r="W1517" i="1" s="1"/>
  <c r="C1516" i="1"/>
  <c r="U1516" i="1" s="1"/>
  <c r="U1515" i="1"/>
  <c r="C1515" i="1"/>
  <c r="C1514" i="1"/>
  <c r="U1514" i="1" s="1"/>
  <c r="U1513" i="1"/>
  <c r="W1513" i="1" s="1"/>
  <c r="C1513" i="1"/>
  <c r="C1512" i="1"/>
  <c r="U1512" i="1" s="1"/>
  <c r="U1511" i="1"/>
  <c r="C1511" i="1"/>
  <c r="C1510" i="1"/>
  <c r="U1510" i="1" s="1"/>
  <c r="C1509" i="1"/>
  <c r="U1509" i="1" s="1"/>
  <c r="W1509" i="1" s="1"/>
  <c r="C1508" i="1"/>
  <c r="U1508" i="1" s="1"/>
  <c r="U1507" i="1"/>
  <c r="C1507" i="1"/>
  <c r="C1506" i="1"/>
  <c r="U1506" i="1" s="1"/>
  <c r="U1505" i="1"/>
  <c r="W1505" i="1" s="1"/>
  <c r="C1505" i="1"/>
  <c r="C1504" i="1"/>
  <c r="U1504" i="1" s="1"/>
  <c r="U1503" i="1"/>
  <c r="C1503" i="1"/>
  <c r="C1502" i="1"/>
  <c r="U1502" i="1" s="1"/>
  <c r="C1501" i="1"/>
  <c r="U1501" i="1" s="1"/>
  <c r="W1501" i="1" s="1"/>
  <c r="C1500" i="1"/>
  <c r="U1500" i="1" s="1"/>
  <c r="U1499" i="1"/>
  <c r="C1499" i="1"/>
  <c r="C1498" i="1"/>
  <c r="U1498" i="1" s="1"/>
  <c r="U1497" i="1"/>
  <c r="W1497" i="1" s="1"/>
  <c r="C1497" i="1"/>
  <c r="C1496" i="1"/>
  <c r="U1496" i="1" s="1"/>
  <c r="U1495" i="1"/>
  <c r="C1495" i="1"/>
  <c r="C1494" i="1"/>
  <c r="U1494" i="1" s="1"/>
  <c r="C1493" i="1"/>
  <c r="U1493" i="1" s="1"/>
  <c r="W1493" i="1" s="1"/>
  <c r="C1492" i="1"/>
  <c r="U1492" i="1" s="1"/>
  <c r="U1491" i="1"/>
  <c r="C1491" i="1"/>
  <c r="C1490" i="1"/>
  <c r="U1490" i="1" s="1"/>
  <c r="U1489" i="1"/>
  <c r="W1489" i="1" s="1"/>
  <c r="C1489" i="1"/>
  <c r="C1488" i="1"/>
  <c r="U1488" i="1" s="1"/>
  <c r="U1487" i="1"/>
  <c r="C1487" i="1"/>
  <c r="C1486" i="1"/>
  <c r="U1486" i="1" s="1"/>
  <c r="C1485" i="1"/>
  <c r="U1485" i="1" s="1"/>
  <c r="W1485" i="1" s="1"/>
  <c r="C1484" i="1"/>
  <c r="U1484" i="1" s="1"/>
  <c r="U1483" i="1"/>
  <c r="C1483" i="1"/>
  <c r="C1482" i="1"/>
  <c r="U1482" i="1" s="1"/>
  <c r="U1481" i="1"/>
  <c r="W1481" i="1" s="1"/>
  <c r="C1481" i="1"/>
  <c r="C1480" i="1"/>
  <c r="U1480" i="1" s="1"/>
  <c r="U1479" i="1"/>
  <c r="C1479" i="1"/>
  <c r="C1478" i="1"/>
  <c r="U1478" i="1" s="1"/>
  <c r="C1477" i="1"/>
  <c r="U1477" i="1" s="1"/>
  <c r="W1477" i="1" s="1"/>
  <c r="C1476" i="1"/>
  <c r="U1476" i="1" s="1"/>
  <c r="U1475" i="1"/>
  <c r="C1475" i="1"/>
  <c r="C1474" i="1"/>
  <c r="U1474" i="1" s="1"/>
  <c r="U1473" i="1"/>
  <c r="W1473" i="1" s="1"/>
  <c r="C1473" i="1"/>
  <c r="C1472" i="1"/>
  <c r="U1472" i="1" s="1"/>
  <c r="U1471" i="1"/>
  <c r="C1471" i="1"/>
  <c r="C1470" i="1"/>
  <c r="U1470" i="1" s="1"/>
  <c r="C1469" i="1"/>
  <c r="U1469" i="1" s="1"/>
  <c r="W1469" i="1" s="1"/>
  <c r="C1468" i="1"/>
  <c r="U1468" i="1" s="1"/>
  <c r="U1467" i="1"/>
  <c r="C1467" i="1"/>
  <c r="C1466" i="1"/>
  <c r="U1466" i="1" s="1"/>
  <c r="U1465" i="1"/>
  <c r="W1465" i="1" s="1"/>
  <c r="C1465" i="1"/>
  <c r="C1464" i="1"/>
  <c r="U1464" i="1" s="1"/>
  <c r="U1463" i="1"/>
  <c r="C1463" i="1"/>
  <c r="C1462" i="1"/>
  <c r="U1462" i="1" s="1"/>
  <c r="C1461" i="1"/>
  <c r="U1461" i="1" s="1"/>
  <c r="W1461" i="1" s="1"/>
  <c r="C1460" i="1"/>
  <c r="U1460" i="1" s="1"/>
  <c r="U1459" i="1"/>
  <c r="C1459" i="1"/>
  <c r="C1458" i="1"/>
  <c r="U1458" i="1" s="1"/>
  <c r="U1457" i="1"/>
  <c r="W1457" i="1" s="1"/>
  <c r="C1457" i="1"/>
  <c r="C1456" i="1"/>
  <c r="U1456" i="1" s="1"/>
  <c r="U1455" i="1"/>
  <c r="C1455" i="1"/>
  <c r="C1454" i="1"/>
  <c r="U1454" i="1" s="1"/>
  <c r="C1453" i="1"/>
  <c r="U1453" i="1" s="1"/>
  <c r="W1453" i="1" s="1"/>
  <c r="C1452" i="1"/>
  <c r="U1452" i="1" s="1"/>
  <c r="U1451" i="1"/>
  <c r="C1451" i="1"/>
  <c r="C1450" i="1"/>
  <c r="U1450" i="1" s="1"/>
  <c r="U1449" i="1"/>
  <c r="W1449" i="1" s="1"/>
  <c r="C1449" i="1"/>
  <c r="C1448" i="1"/>
  <c r="U1448" i="1" s="1"/>
  <c r="U1447" i="1"/>
  <c r="C1447" i="1"/>
  <c r="C1446" i="1"/>
  <c r="U1446" i="1" s="1"/>
  <c r="C1445" i="1"/>
  <c r="U1445" i="1" s="1"/>
  <c r="W1445" i="1" s="1"/>
  <c r="C1444" i="1"/>
  <c r="U1444" i="1" s="1"/>
  <c r="U1443" i="1"/>
  <c r="C1443" i="1"/>
  <c r="C1442" i="1"/>
  <c r="U1442" i="1" s="1"/>
  <c r="U1441" i="1"/>
  <c r="W1441" i="1" s="1"/>
  <c r="C1441" i="1"/>
  <c r="C1440" i="1"/>
  <c r="U1440" i="1" s="1"/>
  <c r="U1439" i="1"/>
  <c r="C1439" i="1"/>
  <c r="C1438" i="1"/>
  <c r="U1438" i="1" s="1"/>
  <c r="C1437" i="1"/>
  <c r="U1437" i="1" s="1"/>
  <c r="W1437" i="1" s="1"/>
  <c r="C1436" i="1"/>
  <c r="U1436" i="1" s="1"/>
  <c r="U1435" i="1"/>
  <c r="C1435" i="1"/>
  <c r="C1434" i="1"/>
  <c r="U1434" i="1" s="1"/>
  <c r="U1433" i="1"/>
  <c r="W1433" i="1" s="1"/>
  <c r="C1433" i="1"/>
  <c r="C1432" i="1"/>
  <c r="U1432" i="1" s="1"/>
  <c r="U1431" i="1"/>
  <c r="C1431" i="1"/>
  <c r="C1430" i="1"/>
  <c r="U1430" i="1" s="1"/>
  <c r="C1429" i="1"/>
  <c r="U1429" i="1" s="1"/>
  <c r="W1429" i="1" s="1"/>
  <c r="C1428" i="1"/>
  <c r="U1428" i="1" s="1"/>
  <c r="U1427" i="1"/>
  <c r="C1427" i="1"/>
  <c r="C1426" i="1"/>
  <c r="U1426" i="1" s="1"/>
  <c r="U1425" i="1"/>
  <c r="W1425" i="1" s="1"/>
  <c r="C1425" i="1"/>
  <c r="C1424" i="1"/>
  <c r="U1424" i="1" s="1"/>
  <c r="U1423" i="1"/>
  <c r="C1423" i="1"/>
  <c r="C1422" i="1"/>
  <c r="U1422" i="1" s="1"/>
  <c r="C1421" i="1"/>
  <c r="U1421" i="1" s="1"/>
  <c r="W1421" i="1" s="1"/>
  <c r="C1420" i="1"/>
  <c r="U1420" i="1" s="1"/>
  <c r="U1419" i="1"/>
  <c r="C1419" i="1"/>
  <c r="C1418" i="1"/>
  <c r="U1418" i="1" s="1"/>
  <c r="U1417" i="1"/>
  <c r="W1417" i="1" s="1"/>
  <c r="C1417" i="1"/>
  <c r="C1416" i="1"/>
  <c r="U1416" i="1" s="1"/>
  <c r="U1415" i="1"/>
  <c r="C1415" i="1"/>
  <c r="C1414" i="1"/>
  <c r="U1414" i="1" s="1"/>
  <c r="C1413" i="1"/>
  <c r="U1413" i="1" s="1"/>
  <c r="W1413" i="1" s="1"/>
  <c r="C1412" i="1"/>
  <c r="U1412" i="1" s="1"/>
  <c r="U1411" i="1"/>
  <c r="C1411" i="1"/>
  <c r="C1410" i="1"/>
  <c r="U1410" i="1" s="1"/>
  <c r="U1409" i="1"/>
  <c r="W1409" i="1" s="1"/>
  <c r="C1409" i="1"/>
  <c r="C1408" i="1"/>
  <c r="U1408" i="1" s="1"/>
  <c r="U1407" i="1"/>
  <c r="C1407" i="1"/>
  <c r="C1406" i="1"/>
  <c r="U1406" i="1" s="1"/>
  <c r="C1405" i="1"/>
  <c r="U1405" i="1" s="1"/>
  <c r="W1405" i="1" s="1"/>
  <c r="C1404" i="1"/>
  <c r="U1404" i="1" s="1"/>
  <c r="U1403" i="1"/>
  <c r="C1403" i="1"/>
  <c r="C1402" i="1"/>
  <c r="U1402" i="1" s="1"/>
  <c r="U1401" i="1"/>
  <c r="W1401" i="1" s="1"/>
  <c r="C1401" i="1"/>
  <c r="C1400" i="1"/>
  <c r="U1400" i="1" s="1"/>
  <c r="U1399" i="1"/>
  <c r="C1399" i="1"/>
  <c r="C1398" i="1"/>
  <c r="U1398" i="1" s="1"/>
  <c r="C1397" i="1"/>
  <c r="U1397" i="1" s="1"/>
  <c r="W1397" i="1" s="1"/>
  <c r="C1396" i="1"/>
  <c r="U1396" i="1" s="1"/>
  <c r="U1395" i="1"/>
  <c r="C1395" i="1"/>
  <c r="C1394" i="1"/>
  <c r="U1394" i="1" s="1"/>
  <c r="U1393" i="1"/>
  <c r="W1393" i="1" s="1"/>
  <c r="C1393" i="1"/>
  <c r="C1392" i="1"/>
  <c r="U1392" i="1" s="1"/>
  <c r="U1391" i="1"/>
  <c r="C1391" i="1"/>
  <c r="C1390" i="1"/>
  <c r="U1390" i="1" s="1"/>
  <c r="C1389" i="1"/>
  <c r="U1389" i="1" s="1"/>
  <c r="W1389" i="1" s="1"/>
  <c r="C1388" i="1"/>
  <c r="U1388" i="1" s="1"/>
  <c r="U1387" i="1"/>
  <c r="C1387" i="1"/>
  <c r="C1386" i="1"/>
  <c r="U1386" i="1" s="1"/>
  <c r="U1385" i="1"/>
  <c r="W1385" i="1" s="1"/>
  <c r="C1385" i="1"/>
  <c r="C1384" i="1"/>
  <c r="U1384" i="1" s="1"/>
  <c r="U1383" i="1"/>
  <c r="C1383" i="1"/>
  <c r="C1382" i="1"/>
  <c r="U1382" i="1" s="1"/>
  <c r="C1381" i="1"/>
  <c r="U1381" i="1" s="1"/>
  <c r="W1381" i="1" s="1"/>
  <c r="C1380" i="1"/>
  <c r="U1380" i="1" s="1"/>
  <c r="U1379" i="1"/>
  <c r="C1379" i="1"/>
  <c r="C1378" i="1"/>
  <c r="U1378" i="1" s="1"/>
  <c r="U1377" i="1"/>
  <c r="W1377" i="1" s="1"/>
  <c r="C1377" i="1"/>
  <c r="C1376" i="1"/>
  <c r="U1376" i="1" s="1"/>
  <c r="U1375" i="1"/>
  <c r="C1375" i="1"/>
  <c r="C1374" i="1"/>
  <c r="U1374" i="1" s="1"/>
  <c r="C1373" i="1"/>
  <c r="U1373" i="1" s="1"/>
  <c r="W1373" i="1" s="1"/>
  <c r="C1372" i="1"/>
  <c r="U1372" i="1" s="1"/>
  <c r="U1371" i="1"/>
  <c r="C1371" i="1"/>
  <c r="C1370" i="1"/>
  <c r="U1370" i="1" s="1"/>
  <c r="U1369" i="1"/>
  <c r="W1369" i="1" s="1"/>
  <c r="C1369" i="1"/>
  <c r="C1368" i="1"/>
  <c r="U1368" i="1" s="1"/>
  <c r="U1367" i="1"/>
  <c r="C1367" i="1"/>
  <c r="C1366" i="1"/>
  <c r="U1366" i="1" s="1"/>
  <c r="C1365" i="1"/>
  <c r="U1365" i="1" s="1"/>
  <c r="W1365" i="1" s="1"/>
  <c r="C1364" i="1"/>
  <c r="U1364" i="1" s="1"/>
  <c r="U1363" i="1"/>
  <c r="C1363" i="1"/>
  <c r="C1362" i="1"/>
  <c r="U1362" i="1" s="1"/>
  <c r="U1361" i="1"/>
  <c r="W1361" i="1" s="1"/>
  <c r="C1361" i="1"/>
  <c r="C1360" i="1"/>
  <c r="U1360" i="1" s="1"/>
  <c r="U1359" i="1"/>
  <c r="C1359" i="1"/>
  <c r="C1358" i="1"/>
  <c r="U1358" i="1" s="1"/>
  <c r="C1357" i="1"/>
  <c r="U1357" i="1" s="1"/>
  <c r="W1357" i="1" s="1"/>
  <c r="C1356" i="1"/>
  <c r="U1356" i="1" s="1"/>
  <c r="U1355" i="1"/>
  <c r="C1355" i="1"/>
  <c r="C1354" i="1"/>
  <c r="U1354" i="1" s="1"/>
  <c r="U1353" i="1"/>
  <c r="W1353" i="1" s="1"/>
  <c r="C1353" i="1"/>
  <c r="C1352" i="1"/>
  <c r="U1352" i="1" s="1"/>
  <c r="U1351" i="1"/>
  <c r="C1351" i="1"/>
  <c r="C1350" i="1"/>
  <c r="U1350" i="1" s="1"/>
  <c r="C1349" i="1"/>
  <c r="U1349" i="1" s="1"/>
  <c r="W1349" i="1" s="1"/>
  <c r="C1348" i="1"/>
  <c r="U1348" i="1" s="1"/>
  <c r="U1347" i="1"/>
  <c r="C1347" i="1"/>
  <c r="C1346" i="1"/>
  <c r="U1346" i="1" s="1"/>
  <c r="U1345" i="1"/>
  <c r="W1345" i="1" s="1"/>
  <c r="C1345" i="1"/>
  <c r="C1344" i="1"/>
  <c r="U1344" i="1" s="1"/>
  <c r="U1343" i="1"/>
  <c r="C1343" i="1"/>
  <c r="C1342" i="1"/>
  <c r="U1342" i="1" s="1"/>
  <c r="C1341" i="1"/>
  <c r="U1341" i="1" s="1"/>
  <c r="W1341" i="1" s="1"/>
  <c r="C1340" i="1"/>
  <c r="U1340" i="1" s="1"/>
  <c r="U1339" i="1"/>
  <c r="C1339" i="1"/>
  <c r="C1338" i="1"/>
  <c r="U1338" i="1" s="1"/>
  <c r="U1337" i="1"/>
  <c r="W1337" i="1" s="1"/>
  <c r="C1337" i="1"/>
  <c r="C1336" i="1"/>
  <c r="U1336" i="1" s="1"/>
  <c r="U1335" i="1"/>
  <c r="C1335" i="1"/>
  <c r="C1334" i="1"/>
  <c r="U1334" i="1" s="1"/>
  <c r="C1333" i="1"/>
  <c r="U1333" i="1" s="1"/>
  <c r="W1333" i="1" s="1"/>
  <c r="C1332" i="1"/>
  <c r="U1332" i="1" s="1"/>
  <c r="U1331" i="1"/>
  <c r="C1331" i="1"/>
  <c r="C1330" i="1"/>
  <c r="U1330" i="1" s="1"/>
  <c r="U1329" i="1"/>
  <c r="W1329" i="1" s="1"/>
  <c r="C1329" i="1"/>
  <c r="C1328" i="1"/>
  <c r="U1328" i="1" s="1"/>
  <c r="U1327" i="1"/>
  <c r="C1327" i="1"/>
  <c r="C1326" i="1"/>
  <c r="U1326" i="1" s="1"/>
  <c r="C1325" i="1"/>
  <c r="U1325" i="1" s="1"/>
  <c r="W1325" i="1" s="1"/>
  <c r="C1324" i="1"/>
  <c r="U1324" i="1" s="1"/>
  <c r="U1323" i="1"/>
  <c r="C1323" i="1"/>
  <c r="C1322" i="1"/>
  <c r="U1322" i="1" s="1"/>
  <c r="U1321" i="1"/>
  <c r="W1321" i="1" s="1"/>
  <c r="C1321" i="1"/>
  <c r="C1320" i="1"/>
  <c r="U1320" i="1" s="1"/>
  <c r="U1319" i="1"/>
  <c r="C1319" i="1"/>
  <c r="C1318" i="1"/>
  <c r="U1318" i="1" s="1"/>
  <c r="C1317" i="1"/>
  <c r="U1317" i="1" s="1"/>
  <c r="W1317" i="1" s="1"/>
  <c r="C1316" i="1"/>
  <c r="U1316" i="1" s="1"/>
  <c r="U1315" i="1"/>
  <c r="C1315" i="1"/>
  <c r="C1314" i="1"/>
  <c r="U1314" i="1" s="1"/>
  <c r="U1313" i="1"/>
  <c r="W1313" i="1" s="1"/>
  <c r="C1313" i="1"/>
  <c r="C1312" i="1"/>
  <c r="U1312" i="1" s="1"/>
  <c r="U1311" i="1"/>
  <c r="C1311" i="1"/>
  <c r="C1310" i="1"/>
  <c r="U1310" i="1" s="1"/>
  <c r="C1309" i="1"/>
  <c r="U1309" i="1" s="1"/>
  <c r="W1309" i="1" s="1"/>
  <c r="C1308" i="1"/>
  <c r="U1308" i="1" s="1"/>
  <c r="U1307" i="1"/>
  <c r="C1307" i="1"/>
  <c r="C1306" i="1"/>
  <c r="U1306" i="1" s="1"/>
  <c r="U1305" i="1"/>
  <c r="W1305" i="1" s="1"/>
  <c r="C1305" i="1"/>
  <c r="C1304" i="1"/>
  <c r="U1304" i="1" s="1"/>
  <c r="U1303" i="1"/>
  <c r="C1303" i="1"/>
  <c r="C1302" i="1"/>
  <c r="U1302" i="1" s="1"/>
  <c r="C1301" i="1"/>
  <c r="U1301" i="1" s="1"/>
  <c r="W1301" i="1" s="1"/>
  <c r="C1300" i="1"/>
  <c r="U1300" i="1" s="1"/>
  <c r="U1299" i="1"/>
  <c r="C1299" i="1"/>
  <c r="C1298" i="1"/>
  <c r="U1298" i="1" s="1"/>
  <c r="U1297" i="1"/>
  <c r="W1297" i="1" s="1"/>
  <c r="C1297" i="1"/>
  <c r="C1296" i="1"/>
  <c r="U1296" i="1" s="1"/>
  <c r="U1295" i="1"/>
  <c r="C1295" i="1"/>
  <c r="C1294" i="1"/>
  <c r="U1294" i="1" s="1"/>
  <c r="C1293" i="1"/>
  <c r="U1293" i="1" s="1"/>
  <c r="W1293" i="1" s="1"/>
  <c r="C1292" i="1"/>
  <c r="U1292" i="1" s="1"/>
  <c r="U1291" i="1"/>
  <c r="C1291" i="1"/>
  <c r="C1290" i="1"/>
  <c r="U1290" i="1" s="1"/>
  <c r="U1289" i="1"/>
  <c r="W1289" i="1" s="1"/>
  <c r="C1289" i="1"/>
  <c r="C1288" i="1"/>
  <c r="U1288" i="1" s="1"/>
  <c r="U1287" i="1"/>
  <c r="C1287" i="1"/>
  <c r="C1286" i="1"/>
  <c r="U1286" i="1" s="1"/>
  <c r="C1285" i="1"/>
  <c r="U1285" i="1" s="1"/>
  <c r="W1285" i="1" s="1"/>
  <c r="C1284" i="1"/>
  <c r="U1284" i="1" s="1"/>
  <c r="U1283" i="1"/>
  <c r="C1283" i="1"/>
  <c r="C1282" i="1"/>
  <c r="U1282" i="1" s="1"/>
  <c r="U1281" i="1"/>
  <c r="W1281" i="1" s="1"/>
  <c r="C1281" i="1"/>
  <c r="C1280" i="1"/>
  <c r="U1280" i="1" s="1"/>
  <c r="U1279" i="1"/>
  <c r="C1279" i="1"/>
  <c r="C1278" i="1"/>
  <c r="U1278" i="1" s="1"/>
  <c r="C1277" i="1"/>
  <c r="U1277" i="1" s="1"/>
  <c r="W1277" i="1" s="1"/>
  <c r="C1276" i="1"/>
  <c r="U1276" i="1" s="1"/>
  <c r="U1275" i="1"/>
  <c r="C1275" i="1"/>
  <c r="C1274" i="1"/>
  <c r="U1274" i="1" s="1"/>
  <c r="U1273" i="1"/>
  <c r="W1273" i="1" s="1"/>
  <c r="C1273" i="1"/>
  <c r="C1272" i="1"/>
  <c r="U1272" i="1" s="1"/>
  <c r="U1271" i="1"/>
  <c r="C1271" i="1"/>
  <c r="C1270" i="1"/>
  <c r="U1270" i="1" s="1"/>
  <c r="C1269" i="1"/>
  <c r="U1269" i="1" s="1"/>
  <c r="W1269" i="1" s="1"/>
  <c r="C1268" i="1"/>
  <c r="U1268" i="1" s="1"/>
  <c r="U1267" i="1"/>
  <c r="C1267" i="1"/>
  <c r="C1266" i="1"/>
  <c r="U1266" i="1" s="1"/>
  <c r="U1265" i="1"/>
  <c r="W1265" i="1" s="1"/>
  <c r="C1265" i="1"/>
  <c r="C1264" i="1"/>
  <c r="U1264" i="1" s="1"/>
  <c r="U1263" i="1"/>
  <c r="C1263" i="1"/>
  <c r="C1262" i="1"/>
  <c r="U1262" i="1" s="1"/>
  <c r="C1261" i="1"/>
  <c r="U1261" i="1" s="1"/>
  <c r="W1261" i="1" s="1"/>
  <c r="C1260" i="1"/>
  <c r="U1260" i="1" s="1"/>
  <c r="U1259" i="1"/>
  <c r="C1259" i="1"/>
  <c r="C1258" i="1"/>
  <c r="U1258" i="1" s="1"/>
  <c r="U1257" i="1"/>
  <c r="W1257" i="1" s="1"/>
  <c r="C1257" i="1"/>
  <c r="C1256" i="1"/>
  <c r="U1256" i="1" s="1"/>
  <c r="U1255" i="1"/>
  <c r="C1255" i="1"/>
  <c r="C1254" i="1"/>
  <c r="U1254" i="1" s="1"/>
  <c r="C1253" i="1"/>
  <c r="U1253" i="1" s="1"/>
  <c r="W1253" i="1" s="1"/>
  <c r="C1252" i="1"/>
  <c r="U1252" i="1" s="1"/>
  <c r="U1251" i="1"/>
  <c r="C1251" i="1"/>
  <c r="C1250" i="1"/>
  <c r="U1250" i="1" s="1"/>
  <c r="U1249" i="1"/>
  <c r="W1249" i="1" s="1"/>
  <c r="C1249" i="1"/>
  <c r="C1248" i="1"/>
  <c r="U1248" i="1" s="1"/>
  <c r="U1247" i="1"/>
  <c r="C1247" i="1"/>
  <c r="C1246" i="1"/>
  <c r="U1246" i="1" s="1"/>
  <c r="C1245" i="1"/>
  <c r="U1245" i="1" s="1"/>
  <c r="W1245" i="1" s="1"/>
  <c r="C1244" i="1"/>
  <c r="U1244" i="1" s="1"/>
  <c r="U1243" i="1"/>
  <c r="C1243" i="1"/>
  <c r="C1242" i="1"/>
  <c r="U1242" i="1" s="1"/>
  <c r="U1241" i="1"/>
  <c r="W1241" i="1" s="1"/>
  <c r="C1241" i="1"/>
  <c r="C1240" i="1"/>
  <c r="U1240" i="1" s="1"/>
  <c r="U1239" i="1"/>
  <c r="C1239" i="1"/>
  <c r="C1238" i="1"/>
  <c r="U1238" i="1" s="1"/>
  <c r="C1237" i="1"/>
  <c r="U1237" i="1" s="1"/>
  <c r="W1237" i="1" s="1"/>
  <c r="C1236" i="1"/>
  <c r="U1236" i="1" s="1"/>
  <c r="U1235" i="1"/>
  <c r="C1235" i="1"/>
  <c r="C1234" i="1"/>
  <c r="U1234" i="1" s="1"/>
  <c r="U1233" i="1"/>
  <c r="W1233" i="1" s="1"/>
  <c r="C1233" i="1"/>
  <c r="C1232" i="1"/>
  <c r="U1232" i="1" s="1"/>
  <c r="U1231" i="1"/>
  <c r="C1231" i="1"/>
  <c r="C1230" i="1"/>
  <c r="U1230" i="1" s="1"/>
  <c r="C1229" i="1"/>
  <c r="U1229" i="1" s="1"/>
  <c r="W1229" i="1" s="1"/>
  <c r="C1228" i="1"/>
  <c r="U1228" i="1" s="1"/>
  <c r="U1227" i="1"/>
  <c r="C1227" i="1"/>
  <c r="C1226" i="1"/>
  <c r="U1226" i="1" s="1"/>
  <c r="U1225" i="1"/>
  <c r="W1225" i="1" s="1"/>
  <c r="C1225" i="1"/>
  <c r="C1224" i="1"/>
  <c r="U1224" i="1" s="1"/>
  <c r="U1223" i="1"/>
  <c r="C1223" i="1"/>
  <c r="C1222" i="1"/>
  <c r="U1222" i="1" s="1"/>
  <c r="C1221" i="1"/>
  <c r="U1221" i="1" s="1"/>
  <c r="W1221" i="1" s="1"/>
  <c r="C1220" i="1"/>
  <c r="U1220" i="1" s="1"/>
  <c r="U1219" i="1"/>
  <c r="C1219" i="1"/>
  <c r="C1218" i="1"/>
  <c r="U1218" i="1" s="1"/>
  <c r="U1217" i="1"/>
  <c r="W1217" i="1" s="1"/>
  <c r="C1217" i="1"/>
  <c r="C1216" i="1"/>
  <c r="U1216" i="1" s="1"/>
  <c r="U1215" i="1"/>
  <c r="C1215" i="1"/>
  <c r="C1214" i="1"/>
  <c r="U1214" i="1" s="1"/>
  <c r="C1213" i="1"/>
  <c r="U1213" i="1" s="1"/>
  <c r="W1213" i="1" s="1"/>
  <c r="C1212" i="1"/>
  <c r="U1212" i="1" s="1"/>
  <c r="U1211" i="1"/>
  <c r="C1211" i="1"/>
  <c r="C1210" i="1"/>
  <c r="U1210" i="1" s="1"/>
  <c r="U1209" i="1"/>
  <c r="W1209" i="1" s="1"/>
  <c r="C1209" i="1"/>
  <c r="C1208" i="1"/>
  <c r="U1208" i="1" s="1"/>
  <c r="U1207" i="1"/>
  <c r="C1207" i="1"/>
  <c r="C1206" i="1"/>
  <c r="U1206" i="1" s="1"/>
  <c r="C1205" i="1"/>
  <c r="U1205" i="1" s="1"/>
  <c r="W1205" i="1" s="1"/>
  <c r="C1204" i="1"/>
  <c r="U1204" i="1" s="1"/>
  <c r="U1203" i="1"/>
  <c r="C1203" i="1"/>
  <c r="C1202" i="1"/>
  <c r="U1202" i="1" s="1"/>
  <c r="U1201" i="1"/>
  <c r="W1201" i="1" s="1"/>
  <c r="C1201" i="1"/>
  <c r="C1200" i="1"/>
  <c r="U1200" i="1" s="1"/>
  <c r="U1199" i="1"/>
  <c r="C1199" i="1"/>
  <c r="C1198" i="1"/>
  <c r="U1198" i="1" s="1"/>
  <c r="C1197" i="1"/>
  <c r="U1197" i="1" s="1"/>
  <c r="W1197" i="1" s="1"/>
  <c r="C1196" i="1"/>
  <c r="U1196" i="1" s="1"/>
  <c r="U1195" i="1"/>
  <c r="C1195" i="1"/>
  <c r="C1194" i="1"/>
  <c r="U1194" i="1" s="1"/>
  <c r="U1193" i="1"/>
  <c r="W1193" i="1" s="1"/>
  <c r="C1193" i="1"/>
  <c r="C1192" i="1"/>
  <c r="U1192" i="1" s="1"/>
  <c r="U1191" i="1"/>
  <c r="C1191" i="1"/>
  <c r="C1190" i="1"/>
  <c r="U1190" i="1" s="1"/>
  <c r="C1189" i="1"/>
  <c r="U1189" i="1" s="1"/>
  <c r="W1189" i="1" s="1"/>
  <c r="C1188" i="1"/>
  <c r="U1188" i="1" s="1"/>
  <c r="U1187" i="1"/>
  <c r="C1187" i="1"/>
  <c r="C1186" i="1"/>
  <c r="U1186" i="1" s="1"/>
  <c r="U1185" i="1"/>
  <c r="W1185" i="1" s="1"/>
  <c r="C1185" i="1"/>
  <c r="C1184" i="1"/>
  <c r="U1184" i="1" s="1"/>
  <c r="U1183" i="1"/>
  <c r="C1183" i="1"/>
  <c r="C1182" i="1"/>
  <c r="U1182" i="1" s="1"/>
  <c r="C1181" i="1"/>
  <c r="U1181" i="1" s="1"/>
  <c r="W1181" i="1" s="1"/>
  <c r="C1180" i="1"/>
  <c r="U1180" i="1" s="1"/>
  <c r="U1179" i="1"/>
  <c r="C1179" i="1"/>
  <c r="C1178" i="1"/>
  <c r="U1178" i="1" s="1"/>
  <c r="U1177" i="1"/>
  <c r="W1177" i="1" s="1"/>
  <c r="C1177" i="1"/>
  <c r="C1176" i="1"/>
  <c r="U1176" i="1" s="1"/>
  <c r="U1175" i="1"/>
  <c r="C1175" i="1"/>
  <c r="C1174" i="1"/>
  <c r="U1174" i="1" s="1"/>
  <c r="C1173" i="1"/>
  <c r="U1173" i="1" s="1"/>
  <c r="W1173" i="1" s="1"/>
  <c r="C1172" i="1"/>
  <c r="U1172" i="1" s="1"/>
  <c r="U1171" i="1"/>
  <c r="C1171" i="1"/>
  <c r="C1170" i="1"/>
  <c r="U1170" i="1" s="1"/>
  <c r="U1169" i="1"/>
  <c r="W1169" i="1" s="1"/>
  <c r="C1169" i="1"/>
  <c r="C1168" i="1"/>
  <c r="U1168" i="1" s="1"/>
  <c r="U1167" i="1"/>
  <c r="C1167" i="1"/>
  <c r="C1166" i="1"/>
  <c r="U1166" i="1" s="1"/>
  <c r="C1165" i="1"/>
  <c r="U1165" i="1" s="1"/>
  <c r="W1165" i="1" s="1"/>
  <c r="C1164" i="1"/>
  <c r="U1164" i="1" s="1"/>
  <c r="U1163" i="1"/>
  <c r="C1163" i="1"/>
  <c r="C1162" i="1"/>
  <c r="U1162" i="1" s="1"/>
  <c r="U1161" i="1"/>
  <c r="W1161" i="1" s="1"/>
  <c r="C1161" i="1"/>
  <c r="C1160" i="1"/>
  <c r="U1160" i="1" s="1"/>
  <c r="U1159" i="1"/>
  <c r="C1159" i="1"/>
  <c r="C1158" i="1"/>
  <c r="U1158" i="1" s="1"/>
  <c r="C1157" i="1"/>
  <c r="U1157" i="1" s="1"/>
  <c r="W1157" i="1" s="1"/>
  <c r="C1156" i="1"/>
  <c r="U1156" i="1" s="1"/>
  <c r="U1155" i="1"/>
  <c r="C1155" i="1"/>
  <c r="C1154" i="1"/>
  <c r="U1154" i="1" s="1"/>
  <c r="U1153" i="1"/>
  <c r="W1153" i="1" s="1"/>
  <c r="C1153" i="1"/>
  <c r="C1152" i="1"/>
  <c r="U1152" i="1" s="1"/>
  <c r="U1151" i="1"/>
  <c r="C1151" i="1"/>
  <c r="C1150" i="1"/>
  <c r="U1150" i="1" s="1"/>
  <c r="C1149" i="1"/>
  <c r="U1149" i="1" s="1"/>
  <c r="W1149" i="1" s="1"/>
  <c r="C1148" i="1"/>
  <c r="U1148" i="1" s="1"/>
  <c r="U1147" i="1"/>
  <c r="C1147" i="1"/>
  <c r="C1146" i="1"/>
  <c r="U1146" i="1" s="1"/>
  <c r="U1145" i="1"/>
  <c r="W1145" i="1" s="1"/>
  <c r="C1145" i="1"/>
  <c r="C1144" i="1"/>
  <c r="U1144" i="1" s="1"/>
  <c r="U1143" i="1"/>
  <c r="C1143" i="1"/>
  <c r="C1142" i="1"/>
  <c r="U1142" i="1" s="1"/>
  <c r="C1141" i="1"/>
  <c r="U1141" i="1" s="1"/>
  <c r="W1141" i="1" s="1"/>
  <c r="C1140" i="1"/>
  <c r="U1140" i="1" s="1"/>
  <c r="U1139" i="1"/>
  <c r="C1139" i="1"/>
  <c r="C1138" i="1"/>
  <c r="U1138" i="1" s="1"/>
  <c r="U1137" i="1"/>
  <c r="W1137" i="1" s="1"/>
  <c r="C1137" i="1"/>
  <c r="C1136" i="1"/>
  <c r="U1136" i="1" s="1"/>
  <c r="U1135" i="1"/>
  <c r="C1135" i="1"/>
  <c r="C1134" i="1"/>
  <c r="U1134" i="1" s="1"/>
  <c r="C1133" i="1"/>
  <c r="U1133" i="1" s="1"/>
  <c r="W1133" i="1" s="1"/>
  <c r="C1132" i="1"/>
  <c r="U1132" i="1" s="1"/>
  <c r="U1131" i="1"/>
  <c r="C1131" i="1"/>
  <c r="C1130" i="1"/>
  <c r="U1130" i="1" s="1"/>
  <c r="U1129" i="1"/>
  <c r="W1129" i="1" s="1"/>
  <c r="C1129" i="1"/>
  <c r="C1128" i="1"/>
  <c r="U1128" i="1" s="1"/>
  <c r="U1127" i="1"/>
  <c r="C1127" i="1"/>
  <c r="C1126" i="1"/>
  <c r="U1126" i="1" s="1"/>
  <c r="C1125" i="1"/>
  <c r="U1125" i="1" s="1"/>
  <c r="W1125" i="1" s="1"/>
  <c r="C1124" i="1"/>
  <c r="U1124" i="1" s="1"/>
  <c r="U1123" i="1"/>
  <c r="C1123" i="1"/>
  <c r="C1122" i="1"/>
  <c r="U1122" i="1" s="1"/>
  <c r="U1121" i="1"/>
  <c r="W1121" i="1" s="1"/>
  <c r="C1121" i="1"/>
  <c r="C1120" i="1"/>
  <c r="U1120" i="1" s="1"/>
  <c r="U1119" i="1"/>
  <c r="C1119" i="1"/>
  <c r="C1118" i="1"/>
  <c r="U1118" i="1" s="1"/>
  <c r="C1117" i="1"/>
  <c r="U1117" i="1" s="1"/>
  <c r="W1117" i="1" s="1"/>
  <c r="C1116" i="1"/>
  <c r="U1116" i="1" s="1"/>
  <c r="U1115" i="1"/>
  <c r="C1115" i="1"/>
  <c r="C1114" i="1"/>
  <c r="U1114" i="1" s="1"/>
  <c r="U1113" i="1"/>
  <c r="W1113" i="1" s="1"/>
  <c r="C1113" i="1"/>
  <c r="C1112" i="1"/>
  <c r="U1112" i="1" s="1"/>
  <c r="U1111" i="1"/>
  <c r="C1111" i="1"/>
  <c r="C1110" i="1"/>
  <c r="U1110" i="1" s="1"/>
  <c r="C1109" i="1"/>
  <c r="U1109" i="1" s="1"/>
  <c r="W1109" i="1" s="1"/>
  <c r="C1108" i="1"/>
  <c r="U1108" i="1" s="1"/>
  <c r="U1107" i="1"/>
  <c r="C1107" i="1"/>
  <c r="C1106" i="1"/>
  <c r="U1106" i="1" s="1"/>
  <c r="U1105" i="1"/>
  <c r="W1105" i="1" s="1"/>
  <c r="C1105" i="1"/>
  <c r="C1104" i="1"/>
  <c r="U1104" i="1" s="1"/>
  <c r="U1103" i="1"/>
  <c r="C1103" i="1"/>
  <c r="C1102" i="1"/>
  <c r="U1102" i="1" s="1"/>
  <c r="C1101" i="1"/>
  <c r="U1101" i="1" s="1"/>
  <c r="W1101" i="1" s="1"/>
  <c r="C1100" i="1"/>
  <c r="U1100" i="1" s="1"/>
  <c r="U1099" i="1"/>
  <c r="C1099" i="1"/>
  <c r="C1098" i="1"/>
  <c r="U1098" i="1" s="1"/>
  <c r="U1097" i="1"/>
  <c r="W1097" i="1" s="1"/>
  <c r="C1097" i="1"/>
  <c r="C1096" i="1"/>
  <c r="U1096" i="1" s="1"/>
  <c r="U1095" i="1"/>
  <c r="C1095" i="1"/>
  <c r="C1094" i="1"/>
  <c r="U1094" i="1" s="1"/>
  <c r="C1093" i="1"/>
  <c r="U1093" i="1" s="1"/>
  <c r="W1093" i="1" s="1"/>
  <c r="C1092" i="1"/>
  <c r="U1092" i="1" s="1"/>
  <c r="U1091" i="1"/>
  <c r="C1091" i="1"/>
  <c r="C1090" i="1"/>
  <c r="U1090" i="1" s="1"/>
  <c r="U1089" i="1"/>
  <c r="W1089" i="1" s="1"/>
  <c r="C1089" i="1"/>
  <c r="C1088" i="1"/>
  <c r="U1088" i="1" s="1"/>
  <c r="U1087" i="1"/>
  <c r="C1087" i="1"/>
  <c r="C1086" i="1"/>
  <c r="U1086" i="1" s="1"/>
  <c r="C1085" i="1"/>
  <c r="U1085" i="1" s="1"/>
  <c r="W1085" i="1" s="1"/>
  <c r="C1084" i="1"/>
  <c r="U1084" i="1" s="1"/>
  <c r="U1083" i="1"/>
  <c r="C1083" i="1"/>
  <c r="C1082" i="1"/>
  <c r="U1082" i="1" s="1"/>
  <c r="U1081" i="1"/>
  <c r="W1081" i="1" s="1"/>
  <c r="C1081" i="1"/>
  <c r="C1080" i="1"/>
  <c r="U1080" i="1" s="1"/>
  <c r="U1079" i="1"/>
  <c r="C1079" i="1"/>
  <c r="C1078" i="1"/>
  <c r="U1078" i="1" s="1"/>
  <c r="C1077" i="1"/>
  <c r="U1077" i="1" s="1"/>
  <c r="W1077" i="1" s="1"/>
  <c r="C1076" i="1"/>
  <c r="U1076" i="1" s="1"/>
  <c r="U1075" i="1"/>
  <c r="C1075" i="1"/>
  <c r="C1074" i="1"/>
  <c r="U1074" i="1" s="1"/>
  <c r="U1073" i="1"/>
  <c r="W1073" i="1" s="1"/>
  <c r="C1073" i="1"/>
  <c r="C1072" i="1"/>
  <c r="U1072" i="1" s="1"/>
  <c r="U1071" i="1"/>
  <c r="C1071" i="1"/>
  <c r="C1070" i="1"/>
  <c r="U1070" i="1" s="1"/>
  <c r="C1069" i="1"/>
  <c r="U1069" i="1" s="1"/>
  <c r="W1069" i="1" s="1"/>
  <c r="C1068" i="1"/>
  <c r="U1068" i="1" s="1"/>
  <c r="U1067" i="1"/>
  <c r="C1067" i="1"/>
  <c r="C1066" i="1"/>
  <c r="U1066" i="1" s="1"/>
  <c r="U1065" i="1"/>
  <c r="W1065" i="1" s="1"/>
  <c r="C1065" i="1"/>
  <c r="C1064" i="1"/>
  <c r="U1064" i="1" s="1"/>
  <c r="U1063" i="1"/>
  <c r="C1063" i="1"/>
  <c r="C1062" i="1"/>
  <c r="U1062" i="1" s="1"/>
  <c r="C1061" i="1"/>
  <c r="U1061" i="1" s="1"/>
  <c r="W1061" i="1" s="1"/>
  <c r="C1060" i="1"/>
  <c r="U1060" i="1" s="1"/>
  <c r="U1059" i="1"/>
  <c r="C1059" i="1"/>
  <c r="C1058" i="1"/>
  <c r="U1058" i="1" s="1"/>
  <c r="U1057" i="1"/>
  <c r="W1057" i="1" s="1"/>
  <c r="C1057" i="1"/>
  <c r="C1056" i="1"/>
  <c r="U1056" i="1" s="1"/>
  <c r="U1055" i="1"/>
  <c r="C1055" i="1"/>
  <c r="C1054" i="1"/>
  <c r="U1054" i="1" s="1"/>
  <c r="C1053" i="1"/>
  <c r="U1053" i="1" s="1"/>
  <c r="W1053" i="1" s="1"/>
  <c r="C1052" i="1"/>
  <c r="U1052" i="1" s="1"/>
  <c r="U1051" i="1"/>
  <c r="C1051" i="1"/>
  <c r="C1050" i="1"/>
  <c r="U1050" i="1" s="1"/>
  <c r="U1049" i="1"/>
  <c r="W1049" i="1" s="1"/>
  <c r="C1049" i="1"/>
  <c r="C1048" i="1"/>
  <c r="U1048" i="1" s="1"/>
  <c r="U1047" i="1"/>
  <c r="C1047" i="1"/>
  <c r="C1046" i="1"/>
  <c r="U1046" i="1" s="1"/>
  <c r="C1045" i="1"/>
  <c r="U1045" i="1" s="1"/>
  <c r="W1045" i="1" s="1"/>
  <c r="C1044" i="1"/>
  <c r="U1044" i="1" s="1"/>
  <c r="U1043" i="1"/>
  <c r="C1043" i="1"/>
  <c r="C1042" i="1"/>
  <c r="U1042" i="1" s="1"/>
  <c r="U1041" i="1"/>
  <c r="W1041" i="1" s="1"/>
  <c r="C1041" i="1"/>
  <c r="C1040" i="1"/>
  <c r="U1040" i="1" s="1"/>
  <c r="U1039" i="1"/>
  <c r="C1039" i="1"/>
  <c r="C1038" i="1"/>
  <c r="U1038" i="1" s="1"/>
  <c r="C1037" i="1"/>
  <c r="U1037" i="1" s="1"/>
  <c r="W1037" i="1" s="1"/>
  <c r="C1036" i="1"/>
  <c r="U1036" i="1" s="1"/>
  <c r="U1035" i="1"/>
  <c r="C1035" i="1"/>
  <c r="C1034" i="1"/>
  <c r="U1034" i="1" s="1"/>
  <c r="U1033" i="1"/>
  <c r="W1033" i="1" s="1"/>
  <c r="C1033" i="1"/>
  <c r="C1032" i="1"/>
  <c r="U1032" i="1" s="1"/>
  <c r="U1031" i="1"/>
  <c r="C1031" i="1"/>
  <c r="C1030" i="1"/>
  <c r="U1030" i="1" s="1"/>
  <c r="C1029" i="1"/>
  <c r="U1029" i="1" s="1"/>
  <c r="W1029" i="1" s="1"/>
  <c r="C1028" i="1"/>
  <c r="U1028" i="1" s="1"/>
  <c r="U1027" i="1"/>
  <c r="C1027" i="1"/>
  <c r="C1026" i="1"/>
  <c r="U1026" i="1" s="1"/>
  <c r="U1025" i="1"/>
  <c r="W1025" i="1" s="1"/>
  <c r="C1025" i="1"/>
  <c r="C1024" i="1"/>
  <c r="U1024" i="1" s="1"/>
  <c r="U1023" i="1"/>
  <c r="C1023" i="1"/>
  <c r="C1022" i="1"/>
  <c r="U1022" i="1" s="1"/>
  <c r="C1021" i="1"/>
  <c r="U1021" i="1" s="1"/>
  <c r="W1021" i="1" s="1"/>
  <c r="C1020" i="1"/>
  <c r="U1020" i="1" s="1"/>
  <c r="U1019" i="1"/>
  <c r="C1019" i="1"/>
  <c r="C1018" i="1"/>
  <c r="U1018" i="1" s="1"/>
  <c r="U1017" i="1"/>
  <c r="W1017" i="1" s="1"/>
  <c r="C1017" i="1"/>
  <c r="C1016" i="1"/>
  <c r="U1016" i="1" s="1"/>
  <c r="U1015" i="1"/>
  <c r="C1015" i="1"/>
  <c r="C1014" i="1"/>
  <c r="U1014" i="1" s="1"/>
  <c r="C1013" i="1"/>
  <c r="U1013" i="1" s="1"/>
  <c r="W1013" i="1" s="1"/>
  <c r="C1012" i="1"/>
  <c r="U1012" i="1" s="1"/>
  <c r="U1011" i="1"/>
  <c r="C1011" i="1"/>
  <c r="C1010" i="1"/>
  <c r="U1010" i="1" s="1"/>
  <c r="U1009" i="1"/>
  <c r="W1009" i="1" s="1"/>
  <c r="C1009" i="1"/>
  <c r="C1008" i="1"/>
  <c r="U1008" i="1" s="1"/>
  <c r="U1007" i="1"/>
  <c r="C1007" i="1"/>
  <c r="C1006" i="1"/>
  <c r="U1006" i="1" s="1"/>
  <c r="C1005" i="1"/>
  <c r="U1005" i="1" s="1"/>
  <c r="W1005" i="1" s="1"/>
  <c r="C1004" i="1"/>
  <c r="U1004" i="1" s="1"/>
  <c r="U1003" i="1"/>
  <c r="C1003" i="1"/>
  <c r="C1002" i="1"/>
  <c r="U1002" i="1" s="1"/>
  <c r="U1001" i="1"/>
  <c r="W1001" i="1" s="1"/>
  <c r="C1001" i="1"/>
  <c r="C1000" i="1"/>
  <c r="U1000" i="1" s="1"/>
  <c r="U999" i="1"/>
  <c r="C999" i="1"/>
  <c r="C998" i="1"/>
  <c r="U998" i="1" s="1"/>
  <c r="C997" i="1"/>
  <c r="U997" i="1" s="1"/>
  <c r="W997" i="1" s="1"/>
  <c r="C996" i="1"/>
  <c r="U996" i="1" s="1"/>
  <c r="U995" i="1"/>
  <c r="C995" i="1"/>
  <c r="C994" i="1"/>
  <c r="U994" i="1" s="1"/>
  <c r="U993" i="1"/>
  <c r="W993" i="1" s="1"/>
  <c r="C993" i="1"/>
  <c r="C992" i="1"/>
  <c r="U992" i="1" s="1"/>
  <c r="U991" i="1"/>
  <c r="C991" i="1"/>
  <c r="C990" i="1"/>
  <c r="U990" i="1" s="1"/>
  <c r="C989" i="1"/>
  <c r="U989" i="1" s="1"/>
  <c r="W989" i="1" s="1"/>
  <c r="C988" i="1"/>
  <c r="U988" i="1" s="1"/>
  <c r="U987" i="1"/>
  <c r="C987" i="1"/>
  <c r="C986" i="1"/>
  <c r="U986" i="1" s="1"/>
  <c r="U985" i="1"/>
  <c r="W985" i="1" s="1"/>
  <c r="C985" i="1"/>
  <c r="C984" i="1"/>
  <c r="U984" i="1" s="1"/>
  <c r="U983" i="1"/>
  <c r="C983" i="1"/>
  <c r="C982" i="1"/>
  <c r="U982" i="1" s="1"/>
  <c r="C981" i="1"/>
  <c r="U981" i="1" s="1"/>
  <c r="W981" i="1" s="1"/>
  <c r="C980" i="1"/>
  <c r="U980" i="1" s="1"/>
  <c r="U979" i="1"/>
  <c r="C979" i="1"/>
  <c r="C978" i="1"/>
  <c r="U978" i="1" s="1"/>
  <c r="U977" i="1"/>
  <c r="W977" i="1" s="1"/>
  <c r="C977" i="1"/>
  <c r="C976" i="1"/>
  <c r="U976" i="1" s="1"/>
  <c r="U975" i="1"/>
  <c r="C975" i="1"/>
  <c r="C974" i="1"/>
  <c r="U974" i="1" s="1"/>
  <c r="C973" i="1"/>
  <c r="U973" i="1" s="1"/>
  <c r="W973" i="1" s="1"/>
  <c r="C972" i="1"/>
  <c r="U972" i="1" s="1"/>
  <c r="U971" i="1"/>
  <c r="C971" i="1"/>
  <c r="C970" i="1"/>
  <c r="U970" i="1" s="1"/>
  <c r="U969" i="1"/>
  <c r="W969" i="1" s="1"/>
  <c r="C969" i="1"/>
  <c r="C968" i="1"/>
  <c r="U968" i="1" s="1"/>
  <c r="U967" i="1"/>
  <c r="C967" i="1"/>
  <c r="C966" i="1"/>
  <c r="U966" i="1" s="1"/>
  <c r="C965" i="1"/>
  <c r="U965" i="1" s="1"/>
  <c r="W965" i="1" s="1"/>
  <c r="C964" i="1"/>
  <c r="U964" i="1" s="1"/>
  <c r="U963" i="1"/>
  <c r="C963" i="1"/>
  <c r="C962" i="1"/>
  <c r="U962" i="1" s="1"/>
  <c r="U961" i="1"/>
  <c r="W961" i="1" s="1"/>
  <c r="C961" i="1"/>
  <c r="C960" i="1"/>
  <c r="U960" i="1" s="1"/>
  <c r="U959" i="1"/>
  <c r="C959" i="1"/>
  <c r="C958" i="1"/>
  <c r="U958" i="1" s="1"/>
  <c r="C957" i="1"/>
  <c r="U957" i="1" s="1"/>
  <c r="W957" i="1" s="1"/>
  <c r="C956" i="1"/>
  <c r="U956" i="1" s="1"/>
  <c r="U955" i="1"/>
  <c r="C955" i="1"/>
  <c r="C954" i="1"/>
  <c r="U954" i="1" s="1"/>
  <c r="U953" i="1"/>
  <c r="W953" i="1" s="1"/>
  <c r="C953" i="1"/>
  <c r="C952" i="1"/>
  <c r="U952" i="1" s="1"/>
  <c r="U951" i="1"/>
  <c r="C951" i="1"/>
  <c r="C950" i="1"/>
  <c r="U950" i="1" s="1"/>
  <c r="C949" i="1"/>
  <c r="U949" i="1" s="1"/>
  <c r="W949" i="1" s="1"/>
  <c r="C948" i="1"/>
  <c r="U948" i="1" s="1"/>
  <c r="U947" i="1"/>
  <c r="C947" i="1"/>
  <c r="C946" i="1"/>
  <c r="U946" i="1" s="1"/>
  <c r="U945" i="1"/>
  <c r="W945" i="1" s="1"/>
  <c r="C945" i="1"/>
  <c r="C944" i="1"/>
  <c r="U944" i="1" s="1"/>
  <c r="U943" i="1"/>
  <c r="C943" i="1"/>
  <c r="C942" i="1"/>
  <c r="U942" i="1" s="1"/>
  <c r="C941" i="1"/>
  <c r="U941" i="1" s="1"/>
  <c r="W941" i="1" s="1"/>
  <c r="C940" i="1"/>
  <c r="U940" i="1" s="1"/>
  <c r="U939" i="1"/>
  <c r="C939" i="1"/>
  <c r="C938" i="1"/>
  <c r="U938" i="1" s="1"/>
  <c r="U937" i="1"/>
  <c r="W937" i="1" s="1"/>
  <c r="C937" i="1"/>
  <c r="C936" i="1"/>
  <c r="U936" i="1" s="1"/>
  <c r="U935" i="1"/>
  <c r="C935" i="1"/>
  <c r="C934" i="1"/>
  <c r="U934" i="1" s="1"/>
  <c r="C933" i="1"/>
  <c r="U933" i="1" s="1"/>
  <c r="W933" i="1" s="1"/>
  <c r="C932" i="1"/>
  <c r="U932" i="1" s="1"/>
  <c r="U931" i="1"/>
  <c r="C931" i="1"/>
  <c r="C930" i="1"/>
  <c r="U930" i="1" s="1"/>
  <c r="U929" i="1"/>
  <c r="W929" i="1" s="1"/>
  <c r="C929" i="1"/>
  <c r="C928" i="1"/>
  <c r="U928" i="1" s="1"/>
  <c r="U927" i="1"/>
  <c r="C927" i="1"/>
  <c r="C926" i="1"/>
  <c r="U926" i="1" s="1"/>
  <c r="C925" i="1"/>
  <c r="U925" i="1" s="1"/>
  <c r="W925" i="1" s="1"/>
  <c r="C924" i="1"/>
  <c r="U924" i="1" s="1"/>
  <c r="U923" i="1"/>
  <c r="C923" i="1"/>
  <c r="C922" i="1"/>
  <c r="U922" i="1" s="1"/>
  <c r="U921" i="1"/>
  <c r="W921" i="1" s="1"/>
  <c r="C921" i="1"/>
  <c r="C920" i="1"/>
  <c r="U920" i="1" s="1"/>
  <c r="U919" i="1"/>
  <c r="C919" i="1"/>
  <c r="C918" i="1"/>
  <c r="U918" i="1" s="1"/>
  <c r="C917" i="1"/>
  <c r="U917" i="1" s="1"/>
  <c r="W917" i="1" s="1"/>
  <c r="C916" i="1"/>
  <c r="U916" i="1" s="1"/>
  <c r="U915" i="1"/>
  <c r="C915" i="1"/>
  <c r="C914" i="1"/>
  <c r="U914" i="1" s="1"/>
  <c r="U913" i="1"/>
  <c r="W913" i="1" s="1"/>
  <c r="C913" i="1"/>
  <c r="C912" i="1"/>
  <c r="U912" i="1" s="1"/>
  <c r="U911" i="1"/>
  <c r="C911" i="1"/>
  <c r="C910" i="1"/>
  <c r="U910" i="1" s="1"/>
  <c r="C909" i="1"/>
  <c r="U909" i="1" s="1"/>
  <c r="W909" i="1" s="1"/>
  <c r="C908" i="1"/>
  <c r="U908" i="1" s="1"/>
  <c r="U907" i="1"/>
  <c r="C907" i="1"/>
  <c r="C906" i="1"/>
  <c r="U906" i="1" s="1"/>
  <c r="U905" i="1"/>
  <c r="W905" i="1" s="1"/>
  <c r="C905" i="1"/>
  <c r="C904" i="1"/>
  <c r="U904" i="1" s="1"/>
  <c r="U903" i="1"/>
  <c r="C903" i="1"/>
  <c r="C902" i="1"/>
  <c r="U902" i="1" s="1"/>
  <c r="C901" i="1"/>
  <c r="U901" i="1" s="1"/>
  <c r="W901" i="1" s="1"/>
  <c r="C900" i="1"/>
  <c r="U900" i="1" s="1"/>
  <c r="U899" i="1"/>
  <c r="C899" i="1"/>
  <c r="C898" i="1"/>
  <c r="U898" i="1" s="1"/>
  <c r="U897" i="1"/>
  <c r="W897" i="1" s="1"/>
  <c r="C897" i="1"/>
  <c r="C896" i="1"/>
  <c r="U896" i="1" s="1"/>
  <c r="U895" i="1"/>
  <c r="C895" i="1"/>
  <c r="C894" i="1"/>
  <c r="U894" i="1" s="1"/>
  <c r="C893" i="1"/>
  <c r="U893" i="1" s="1"/>
  <c r="W893" i="1" s="1"/>
  <c r="C892" i="1"/>
  <c r="U892" i="1" s="1"/>
  <c r="U891" i="1"/>
  <c r="C891" i="1"/>
  <c r="C890" i="1"/>
  <c r="U890" i="1" s="1"/>
  <c r="U889" i="1"/>
  <c r="W889" i="1" s="1"/>
  <c r="C889" i="1"/>
  <c r="C888" i="1"/>
  <c r="U888" i="1" s="1"/>
  <c r="U887" i="1"/>
  <c r="C887" i="1"/>
  <c r="C886" i="1"/>
  <c r="U886" i="1" s="1"/>
  <c r="C885" i="1"/>
  <c r="U885" i="1" s="1"/>
  <c r="W885" i="1" s="1"/>
  <c r="C884" i="1"/>
  <c r="U884" i="1" s="1"/>
  <c r="U883" i="1"/>
  <c r="C883" i="1"/>
  <c r="C882" i="1"/>
  <c r="U882" i="1" s="1"/>
  <c r="U881" i="1"/>
  <c r="W881" i="1" s="1"/>
  <c r="C881" i="1"/>
  <c r="C880" i="1"/>
  <c r="U880" i="1" s="1"/>
  <c r="U879" i="1"/>
  <c r="C879" i="1"/>
  <c r="C878" i="1"/>
  <c r="U878" i="1" s="1"/>
  <c r="C877" i="1"/>
  <c r="U877" i="1" s="1"/>
  <c r="W877" i="1" s="1"/>
  <c r="C876" i="1"/>
  <c r="U876" i="1" s="1"/>
  <c r="U875" i="1"/>
  <c r="C875" i="1"/>
  <c r="C874" i="1"/>
  <c r="U874" i="1" s="1"/>
  <c r="U873" i="1"/>
  <c r="W873" i="1" s="1"/>
  <c r="C873" i="1"/>
  <c r="C872" i="1"/>
  <c r="U872" i="1" s="1"/>
  <c r="U871" i="1"/>
  <c r="C871" i="1"/>
  <c r="C870" i="1"/>
  <c r="U870" i="1" s="1"/>
  <c r="C869" i="1"/>
  <c r="U869" i="1" s="1"/>
  <c r="W869" i="1" s="1"/>
  <c r="C868" i="1"/>
  <c r="U868" i="1" s="1"/>
  <c r="U867" i="1"/>
  <c r="C867" i="1"/>
  <c r="C866" i="1"/>
  <c r="U866" i="1" s="1"/>
  <c r="U865" i="1"/>
  <c r="W865" i="1" s="1"/>
  <c r="C865" i="1"/>
  <c r="C864" i="1"/>
  <c r="U864" i="1" s="1"/>
  <c r="U863" i="1"/>
  <c r="C863" i="1"/>
  <c r="C862" i="1"/>
  <c r="U862" i="1" s="1"/>
  <c r="C861" i="1"/>
  <c r="U861" i="1" s="1"/>
  <c r="W861" i="1" s="1"/>
  <c r="C860" i="1"/>
  <c r="U860" i="1" s="1"/>
  <c r="U859" i="1"/>
  <c r="C859" i="1"/>
  <c r="C858" i="1"/>
  <c r="U858" i="1" s="1"/>
  <c r="U857" i="1"/>
  <c r="W857" i="1" s="1"/>
  <c r="C857" i="1"/>
  <c r="C856" i="1"/>
  <c r="U856" i="1" s="1"/>
  <c r="U855" i="1"/>
  <c r="C855" i="1"/>
  <c r="C854" i="1"/>
  <c r="U854" i="1" s="1"/>
  <c r="C853" i="1"/>
  <c r="U853" i="1" s="1"/>
  <c r="W853" i="1" s="1"/>
  <c r="C852" i="1"/>
  <c r="U852" i="1" s="1"/>
  <c r="U851" i="1"/>
  <c r="C851" i="1"/>
  <c r="C850" i="1"/>
  <c r="U850" i="1" s="1"/>
  <c r="U849" i="1"/>
  <c r="W849" i="1" s="1"/>
  <c r="C849" i="1"/>
  <c r="C848" i="1"/>
  <c r="U848" i="1" s="1"/>
  <c r="U847" i="1"/>
  <c r="C847" i="1"/>
  <c r="C846" i="1"/>
  <c r="U846" i="1" s="1"/>
  <c r="C845" i="1"/>
  <c r="U845" i="1" s="1"/>
  <c r="W845" i="1" s="1"/>
  <c r="C844" i="1"/>
  <c r="U844" i="1" s="1"/>
  <c r="U843" i="1"/>
  <c r="C843" i="1"/>
  <c r="C842" i="1"/>
  <c r="U842" i="1" s="1"/>
  <c r="U841" i="1"/>
  <c r="W841" i="1" s="1"/>
  <c r="C841" i="1"/>
  <c r="C840" i="1"/>
  <c r="U840" i="1" s="1"/>
  <c r="U839" i="1"/>
  <c r="C839" i="1"/>
  <c r="C838" i="1"/>
  <c r="U838" i="1" s="1"/>
  <c r="C837" i="1"/>
  <c r="U837" i="1" s="1"/>
  <c r="W837" i="1" s="1"/>
  <c r="C836" i="1"/>
  <c r="U836" i="1" s="1"/>
  <c r="U835" i="1"/>
  <c r="C835" i="1"/>
  <c r="C834" i="1"/>
  <c r="U834" i="1" s="1"/>
  <c r="U833" i="1"/>
  <c r="W833" i="1" s="1"/>
  <c r="C833" i="1"/>
  <c r="C832" i="1"/>
  <c r="U832" i="1" s="1"/>
  <c r="U831" i="1"/>
  <c r="C831" i="1"/>
  <c r="C830" i="1"/>
  <c r="U830" i="1" s="1"/>
  <c r="C829" i="1"/>
  <c r="U829" i="1" s="1"/>
  <c r="W829" i="1" s="1"/>
  <c r="C828" i="1"/>
  <c r="U828" i="1" s="1"/>
  <c r="U827" i="1"/>
  <c r="C827" i="1"/>
  <c r="C826" i="1"/>
  <c r="U826" i="1" s="1"/>
  <c r="U825" i="1"/>
  <c r="W825" i="1" s="1"/>
  <c r="C825" i="1"/>
  <c r="C824" i="1"/>
  <c r="U824" i="1" s="1"/>
  <c r="U823" i="1"/>
  <c r="C823" i="1"/>
  <c r="C822" i="1"/>
  <c r="U822" i="1" s="1"/>
  <c r="C821" i="1"/>
  <c r="U821" i="1" s="1"/>
  <c r="W821" i="1" s="1"/>
  <c r="C820" i="1"/>
  <c r="U820" i="1" s="1"/>
  <c r="U819" i="1"/>
  <c r="C819" i="1"/>
  <c r="C818" i="1"/>
  <c r="U818" i="1" s="1"/>
  <c r="U817" i="1"/>
  <c r="W817" i="1" s="1"/>
  <c r="C817" i="1"/>
  <c r="C816" i="1"/>
  <c r="U816" i="1" s="1"/>
  <c r="U815" i="1"/>
  <c r="C815" i="1"/>
  <c r="C814" i="1"/>
  <c r="U814" i="1" s="1"/>
  <c r="C813" i="1"/>
  <c r="U813" i="1" s="1"/>
  <c r="W813" i="1" s="1"/>
  <c r="C812" i="1"/>
  <c r="U812" i="1" s="1"/>
  <c r="U811" i="1"/>
  <c r="C811" i="1"/>
  <c r="C810" i="1"/>
  <c r="U810" i="1" s="1"/>
  <c r="U809" i="1"/>
  <c r="W809" i="1" s="1"/>
  <c r="C809" i="1"/>
  <c r="C808" i="1"/>
  <c r="U808" i="1" s="1"/>
  <c r="U807" i="1"/>
  <c r="C807" i="1"/>
  <c r="C806" i="1"/>
  <c r="U806" i="1" s="1"/>
  <c r="C805" i="1"/>
  <c r="U805" i="1" s="1"/>
  <c r="W805" i="1" s="1"/>
  <c r="C804" i="1"/>
  <c r="U804" i="1" s="1"/>
  <c r="U803" i="1"/>
  <c r="C803" i="1"/>
  <c r="C802" i="1"/>
  <c r="U802" i="1" s="1"/>
  <c r="U801" i="1"/>
  <c r="W801" i="1" s="1"/>
  <c r="C801" i="1"/>
  <c r="C800" i="1"/>
  <c r="U800" i="1" s="1"/>
  <c r="U799" i="1"/>
  <c r="C799" i="1"/>
  <c r="C798" i="1"/>
  <c r="U798" i="1" s="1"/>
  <c r="C797" i="1"/>
  <c r="U797" i="1" s="1"/>
  <c r="W797" i="1" s="1"/>
  <c r="C796" i="1"/>
  <c r="U796" i="1" s="1"/>
  <c r="U795" i="1"/>
  <c r="C795" i="1"/>
  <c r="C794" i="1"/>
  <c r="U794" i="1" s="1"/>
  <c r="U793" i="1"/>
  <c r="W793" i="1" s="1"/>
  <c r="C793" i="1"/>
  <c r="C792" i="1"/>
  <c r="U792" i="1" s="1"/>
  <c r="U791" i="1"/>
  <c r="C791" i="1"/>
  <c r="C790" i="1"/>
  <c r="U790" i="1" s="1"/>
  <c r="C789" i="1"/>
  <c r="U789" i="1" s="1"/>
  <c r="W789" i="1" s="1"/>
  <c r="C788" i="1"/>
  <c r="U788" i="1" s="1"/>
  <c r="U787" i="1"/>
  <c r="C787" i="1"/>
  <c r="C786" i="1"/>
  <c r="U786" i="1" s="1"/>
  <c r="U785" i="1"/>
  <c r="W785" i="1" s="1"/>
  <c r="C785" i="1"/>
  <c r="C784" i="1"/>
  <c r="U784" i="1" s="1"/>
  <c r="U783" i="1"/>
  <c r="C783" i="1"/>
  <c r="C782" i="1"/>
  <c r="U782" i="1" s="1"/>
  <c r="C781" i="1"/>
  <c r="U781" i="1" s="1"/>
  <c r="W781" i="1" s="1"/>
  <c r="C780" i="1"/>
  <c r="U780" i="1" s="1"/>
  <c r="U779" i="1"/>
  <c r="C779" i="1"/>
  <c r="C778" i="1"/>
  <c r="U778" i="1" s="1"/>
  <c r="U777" i="1"/>
  <c r="W777" i="1" s="1"/>
  <c r="C777" i="1"/>
  <c r="C776" i="1"/>
  <c r="U776" i="1" s="1"/>
  <c r="U775" i="1"/>
  <c r="C775" i="1"/>
  <c r="C774" i="1"/>
  <c r="U774" i="1" s="1"/>
  <c r="C773" i="1"/>
  <c r="U773" i="1" s="1"/>
  <c r="W773" i="1" s="1"/>
  <c r="C772" i="1"/>
  <c r="U772" i="1" s="1"/>
  <c r="U771" i="1"/>
  <c r="C771" i="1"/>
  <c r="C770" i="1"/>
  <c r="U770" i="1" s="1"/>
  <c r="U769" i="1"/>
  <c r="W769" i="1" s="1"/>
  <c r="C769" i="1"/>
  <c r="C768" i="1"/>
  <c r="U768" i="1" s="1"/>
  <c r="U767" i="1"/>
  <c r="C767" i="1"/>
  <c r="C766" i="1"/>
  <c r="U766" i="1" s="1"/>
  <c r="C765" i="1"/>
  <c r="U765" i="1" s="1"/>
  <c r="W765" i="1" s="1"/>
  <c r="C764" i="1"/>
  <c r="U764" i="1" s="1"/>
  <c r="U763" i="1"/>
  <c r="C763" i="1"/>
  <c r="C762" i="1"/>
  <c r="U762" i="1" s="1"/>
  <c r="U761" i="1"/>
  <c r="W761" i="1" s="1"/>
  <c r="C761" i="1"/>
  <c r="C760" i="1"/>
  <c r="U760" i="1" s="1"/>
  <c r="U759" i="1"/>
  <c r="C759" i="1"/>
  <c r="C758" i="1"/>
  <c r="U758" i="1" s="1"/>
  <c r="C757" i="1"/>
  <c r="U757" i="1" s="1"/>
  <c r="W757" i="1" s="1"/>
  <c r="C756" i="1"/>
  <c r="U756" i="1" s="1"/>
  <c r="U755" i="1"/>
  <c r="C755" i="1"/>
  <c r="C754" i="1"/>
  <c r="U754" i="1" s="1"/>
  <c r="U753" i="1"/>
  <c r="W753" i="1" s="1"/>
  <c r="C753" i="1"/>
  <c r="C752" i="1"/>
  <c r="U752" i="1" s="1"/>
  <c r="U751" i="1"/>
  <c r="C751" i="1"/>
  <c r="C750" i="1"/>
  <c r="U750" i="1" s="1"/>
  <c r="C749" i="1"/>
  <c r="U749" i="1" s="1"/>
  <c r="W749" i="1" s="1"/>
  <c r="C748" i="1"/>
  <c r="U748" i="1" s="1"/>
  <c r="U747" i="1"/>
  <c r="C747" i="1"/>
  <c r="C746" i="1"/>
  <c r="U746" i="1" s="1"/>
  <c r="U745" i="1"/>
  <c r="W745" i="1" s="1"/>
  <c r="C745" i="1"/>
  <c r="C744" i="1"/>
  <c r="U744" i="1" s="1"/>
  <c r="U743" i="1"/>
  <c r="C743" i="1"/>
  <c r="C742" i="1"/>
  <c r="U742" i="1" s="1"/>
  <c r="C741" i="1"/>
  <c r="U741" i="1" s="1"/>
  <c r="W741" i="1" s="1"/>
  <c r="C740" i="1"/>
  <c r="U740" i="1" s="1"/>
  <c r="U739" i="1"/>
  <c r="C739" i="1"/>
  <c r="C738" i="1"/>
  <c r="U738" i="1" s="1"/>
  <c r="U737" i="1"/>
  <c r="W737" i="1" s="1"/>
  <c r="C737" i="1"/>
  <c r="C736" i="1"/>
  <c r="U736" i="1" s="1"/>
  <c r="U735" i="1"/>
  <c r="C735" i="1"/>
  <c r="C734" i="1"/>
  <c r="U734" i="1" s="1"/>
  <c r="C733" i="1"/>
  <c r="U733" i="1" s="1"/>
  <c r="W733" i="1" s="1"/>
  <c r="C732" i="1"/>
  <c r="U732" i="1" s="1"/>
  <c r="U731" i="1"/>
  <c r="C731" i="1"/>
  <c r="C730" i="1"/>
  <c r="U730" i="1" s="1"/>
  <c r="U729" i="1"/>
  <c r="W729" i="1" s="1"/>
  <c r="C729" i="1"/>
  <c r="C728" i="1"/>
  <c r="U728" i="1" s="1"/>
  <c r="U727" i="1"/>
  <c r="C727" i="1"/>
  <c r="C726" i="1"/>
  <c r="U726" i="1" s="1"/>
  <c r="C725" i="1"/>
  <c r="U725" i="1" s="1"/>
  <c r="W725" i="1" s="1"/>
  <c r="C724" i="1"/>
  <c r="U724" i="1" s="1"/>
  <c r="U723" i="1"/>
  <c r="C723" i="1"/>
  <c r="C722" i="1"/>
  <c r="U722" i="1" s="1"/>
  <c r="U721" i="1"/>
  <c r="W721" i="1" s="1"/>
  <c r="C721" i="1"/>
  <c r="C720" i="1"/>
  <c r="U720" i="1" s="1"/>
  <c r="U719" i="1"/>
  <c r="C719" i="1"/>
  <c r="C718" i="1"/>
  <c r="U718" i="1" s="1"/>
  <c r="C717" i="1"/>
  <c r="U717" i="1" s="1"/>
  <c r="W717" i="1" s="1"/>
  <c r="C716" i="1"/>
  <c r="U716" i="1" s="1"/>
  <c r="U715" i="1"/>
  <c r="C715" i="1"/>
  <c r="C714" i="1"/>
  <c r="U714" i="1" s="1"/>
  <c r="U713" i="1"/>
  <c r="W713" i="1" s="1"/>
  <c r="C713" i="1"/>
  <c r="C712" i="1"/>
  <c r="U712" i="1" s="1"/>
  <c r="U711" i="1"/>
  <c r="C711" i="1"/>
  <c r="C710" i="1"/>
  <c r="U710" i="1" s="1"/>
  <c r="C709" i="1"/>
  <c r="U709" i="1" s="1"/>
  <c r="W709" i="1" s="1"/>
  <c r="C708" i="1"/>
  <c r="U708" i="1" s="1"/>
  <c r="U707" i="1"/>
  <c r="C707" i="1"/>
  <c r="C706" i="1"/>
  <c r="U706" i="1" s="1"/>
  <c r="U705" i="1"/>
  <c r="W705" i="1" s="1"/>
  <c r="C705" i="1"/>
  <c r="C704" i="1"/>
  <c r="U704" i="1" s="1"/>
  <c r="U703" i="1"/>
  <c r="C703" i="1"/>
  <c r="C702" i="1"/>
  <c r="U702" i="1" s="1"/>
  <c r="C701" i="1"/>
  <c r="U701" i="1" s="1"/>
  <c r="W701" i="1" s="1"/>
  <c r="C700" i="1"/>
  <c r="U700" i="1" s="1"/>
  <c r="U699" i="1"/>
  <c r="C699" i="1"/>
  <c r="C698" i="1"/>
  <c r="U698" i="1" s="1"/>
  <c r="U697" i="1"/>
  <c r="W697" i="1" s="1"/>
  <c r="C697" i="1"/>
  <c r="C696" i="1"/>
  <c r="U696" i="1" s="1"/>
  <c r="U695" i="1"/>
  <c r="C695" i="1"/>
  <c r="C694" i="1"/>
  <c r="U694" i="1" s="1"/>
  <c r="C693" i="1"/>
  <c r="U693" i="1" s="1"/>
  <c r="W693" i="1" s="1"/>
  <c r="C692" i="1"/>
  <c r="U692" i="1" s="1"/>
  <c r="U691" i="1"/>
  <c r="C691" i="1"/>
  <c r="C690" i="1"/>
  <c r="U690" i="1" s="1"/>
  <c r="U689" i="1"/>
  <c r="W689" i="1" s="1"/>
  <c r="C689" i="1"/>
  <c r="C688" i="1"/>
  <c r="U688" i="1" s="1"/>
  <c r="U687" i="1"/>
  <c r="C687" i="1"/>
  <c r="C686" i="1"/>
  <c r="U686" i="1" s="1"/>
  <c r="C685" i="1"/>
  <c r="U685" i="1" s="1"/>
  <c r="W685" i="1" s="1"/>
  <c r="C684" i="1"/>
  <c r="U684" i="1" s="1"/>
  <c r="U683" i="1"/>
  <c r="C683" i="1"/>
  <c r="C682" i="1"/>
  <c r="U682" i="1" s="1"/>
  <c r="U681" i="1"/>
  <c r="W681" i="1" s="1"/>
  <c r="C681" i="1"/>
  <c r="C680" i="1"/>
  <c r="U680" i="1" s="1"/>
  <c r="U679" i="1"/>
  <c r="C679" i="1"/>
  <c r="C678" i="1"/>
  <c r="U678" i="1" s="1"/>
  <c r="C677" i="1"/>
  <c r="U677" i="1" s="1"/>
  <c r="W677" i="1" s="1"/>
  <c r="C676" i="1"/>
  <c r="U676" i="1" s="1"/>
  <c r="U675" i="1"/>
  <c r="C675" i="1"/>
  <c r="C674" i="1"/>
  <c r="U674" i="1" s="1"/>
  <c r="U673" i="1"/>
  <c r="W673" i="1" s="1"/>
  <c r="C673" i="1"/>
  <c r="C672" i="1"/>
  <c r="U672" i="1" s="1"/>
  <c r="U671" i="1"/>
  <c r="C671" i="1"/>
  <c r="C670" i="1"/>
  <c r="U670" i="1" s="1"/>
  <c r="C669" i="1"/>
  <c r="U669" i="1" s="1"/>
  <c r="W669" i="1" s="1"/>
  <c r="C668" i="1"/>
  <c r="U668" i="1" s="1"/>
  <c r="U667" i="1"/>
  <c r="C667" i="1"/>
  <c r="C666" i="1"/>
  <c r="U666" i="1" s="1"/>
  <c r="U665" i="1"/>
  <c r="W665" i="1" s="1"/>
  <c r="C665" i="1"/>
  <c r="C664" i="1"/>
  <c r="U664" i="1" s="1"/>
  <c r="U663" i="1"/>
  <c r="C663" i="1"/>
  <c r="C662" i="1"/>
  <c r="U662" i="1" s="1"/>
  <c r="C661" i="1"/>
  <c r="U661" i="1" s="1"/>
  <c r="W661" i="1" s="1"/>
  <c r="C660" i="1"/>
  <c r="U660" i="1" s="1"/>
  <c r="U659" i="1"/>
  <c r="C659" i="1"/>
  <c r="C658" i="1"/>
  <c r="U658" i="1" s="1"/>
  <c r="U657" i="1"/>
  <c r="W657" i="1" s="1"/>
  <c r="C657" i="1"/>
  <c r="C656" i="1"/>
  <c r="U656" i="1" s="1"/>
  <c r="U655" i="1"/>
  <c r="C655" i="1"/>
  <c r="C654" i="1"/>
  <c r="U654" i="1" s="1"/>
  <c r="C653" i="1"/>
  <c r="U653" i="1" s="1"/>
  <c r="W653" i="1" s="1"/>
  <c r="C652" i="1"/>
  <c r="U652" i="1" s="1"/>
  <c r="U651" i="1"/>
  <c r="C651" i="1"/>
  <c r="C650" i="1"/>
  <c r="U650" i="1" s="1"/>
  <c r="U649" i="1"/>
  <c r="W649" i="1" s="1"/>
  <c r="C649" i="1"/>
  <c r="C648" i="1"/>
  <c r="U648" i="1" s="1"/>
  <c r="U647" i="1"/>
  <c r="C647" i="1"/>
  <c r="C646" i="1"/>
  <c r="U646" i="1" s="1"/>
  <c r="C645" i="1"/>
  <c r="U645" i="1" s="1"/>
  <c r="W645" i="1" s="1"/>
  <c r="C644" i="1"/>
  <c r="U644" i="1" s="1"/>
  <c r="U643" i="1"/>
  <c r="C643" i="1"/>
  <c r="C642" i="1"/>
  <c r="U642" i="1" s="1"/>
  <c r="U641" i="1"/>
  <c r="W641" i="1" s="1"/>
  <c r="C641" i="1"/>
  <c r="C640" i="1"/>
  <c r="U640" i="1" s="1"/>
  <c r="U639" i="1"/>
  <c r="C639" i="1"/>
  <c r="C638" i="1"/>
  <c r="U638" i="1" s="1"/>
  <c r="C637" i="1"/>
  <c r="U637" i="1" s="1"/>
  <c r="W637" i="1" s="1"/>
  <c r="C636" i="1"/>
  <c r="U636" i="1" s="1"/>
  <c r="U635" i="1"/>
  <c r="C635" i="1"/>
  <c r="C634" i="1"/>
  <c r="U634" i="1" s="1"/>
  <c r="U633" i="1"/>
  <c r="W633" i="1" s="1"/>
  <c r="C633" i="1"/>
  <c r="C632" i="1"/>
  <c r="U632" i="1" s="1"/>
  <c r="U631" i="1"/>
  <c r="C631" i="1"/>
  <c r="C630" i="1"/>
  <c r="U630" i="1" s="1"/>
  <c r="C629" i="1"/>
  <c r="U629" i="1" s="1"/>
  <c r="W629" i="1" s="1"/>
  <c r="C628" i="1"/>
  <c r="U628" i="1" s="1"/>
  <c r="U627" i="1"/>
  <c r="C627" i="1"/>
  <c r="C626" i="1"/>
  <c r="U626" i="1" s="1"/>
  <c r="U625" i="1"/>
  <c r="W625" i="1" s="1"/>
  <c r="C625" i="1"/>
  <c r="C624" i="1"/>
  <c r="U624" i="1" s="1"/>
  <c r="U623" i="1"/>
  <c r="C623" i="1"/>
  <c r="C622" i="1"/>
  <c r="U622" i="1" s="1"/>
  <c r="C621" i="1"/>
  <c r="U621" i="1" s="1"/>
  <c r="W621" i="1" s="1"/>
  <c r="C620" i="1"/>
  <c r="U620" i="1" s="1"/>
  <c r="U619" i="1"/>
  <c r="C619" i="1"/>
  <c r="C618" i="1"/>
  <c r="U618" i="1" s="1"/>
  <c r="U617" i="1"/>
  <c r="W617" i="1" s="1"/>
  <c r="C617" i="1"/>
  <c r="C616" i="1"/>
  <c r="U616" i="1" s="1"/>
  <c r="U615" i="1"/>
  <c r="C615" i="1"/>
  <c r="C614" i="1"/>
  <c r="U614" i="1" s="1"/>
  <c r="C613" i="1"/>
  <c r="U613" i="1" s="1"/>
  <c r="W613" i="1" s="1"/>
  <c r="C612" i="1"/>
  <c r="U612" i="1" s="1"/>
  <c r="U611" i="1"/>
  <c r="C611" i="1"/>
  <c r="C610" i="1"/>
  <c r="U610" i="1" s="1"/>
  <c r="U609" i="1"/>
  <c r="W609" i="1" s="1"/>
  <c r="C609" i="1"/>
  <c r="C608" i="1"/>
  <c r="U608" i="1" s="1"/>
  <c r="U607" i="1"/>
  <c r="C607" i="1"/>
  <c r="C606" i="1"/>
  <c r="U606" i="1" s="1"/>
  <c r="C605" i="1"/>
  <c r="U605" i="1" s="1"/>
  <c r="W605" i="1" s="1"/>
  <c r="C604" i="1"/>
  <c r="U604" i="1" s="1"/>
  <c r="U603" i="1"/>
  <c r="C603" i="1"/>
  <c r="C602" i="1"/>
  <c r="U602" i="1" s="1"/>
  <c r="U601" i="1"/>
  <c r="W601" i="1" s="1"/>
  <c r="C601" i="1"/>
  <c r="C600" i="1"/>
  <c r="U600" i="1" s="1"/>
  <c r="U599" i="1"/>
  <c r="C599" i="1"/>
  <c r="C598" i="1"/>
  <c r="U598" i="1" s="1"/>
  <c r="C597" i="1"/>
  <c r="U597" i="1" s="1"/>
  <c r="W597" i="1" s="1"/>
  <c r="C596" i="1"/>
  <c r="U596" i="1" s="1"/>
  <c r="U595" i="1"/>
  <c r="C595" i="1"/>
  <c r="C594" i="1"/>
  <c r="U594" i="1" s="1"/>
  <c r="U593" i="1"/>
  <c r="W593" i="1" s="1"/>
  <c r="C593" i="1"/>
  <c r="C592" i="1"/>
  <c r="U592" i="1" s="1"/>
  <c r="U591" i="1"/>
  <c r="C591" i="1"/>
  <c r="C590" i="1"/>
  <c r="U590" i="1" s="1"/>
  <c r="C589" i="1"/>
  <c r="U589" i="1" s="1"/>
  <c r="W589" i="1" s="1"/>
  <c r="C588" i="1"/>
  <c r="U588" i="1" s="1"/>
  <c r="U587" i="1"/>
  <c r="C587" i="1"/>
  <c r="C586" i="1"/>
  <c r="U586" i="1" s="1"/>
  <c r="U585" i="1"/>
  <c r="W585" i="1" s="1"/>
  <c r="C585" i="1"/>
  <c r="C584" i="1"/>
  <c r="U584" i="1" s="1"/>
  <c r="U583" i="1"/>
  <c r="C583" i="1"/>
  <c r="C582" i="1"/>
  <c r="U582" i="1" s="1"/>
  <c r="C581" i="1"/>
  <c r="U581" i="1" s="1"/>
  <c r="W581" i="1" s="1"/>
  <c r="C580" i="1"/>
  <c r="U580" i="1" s="1"/>
  <c r="U579" i="1"/>
  <c r="C579" i="1"/>
  <c r="C578" i="1"/>
  <c r="U578" i="1" s="1"/>
  <c r="U577" i="1"/>
  <c r="W577" i="1" s="1"/>
  <c r="C577" i="1"/>
  <c r="C576" i="1"/>
  <c r="U576" i="1" s="1"/>
  <c r="U575" i="1"/>
  <c r="C575" i="1"/>
  <c r="C574" i="1"/>
  <c r="U574" i="1" s="1"/>
  <c r="C573" i="1"/>
  <c r="U573" i="1" s="1"/>
  <c r="W573" i="1" s="1"/>
  <c r="C572" i="1"/>
  <c r="U572" i="1" s="1"/>
  <c r="U571" i="1"/>
  <c r="C571" i="1"/>
  <c r="C570" i="1"/>
  <c r="U570" i="1" s="1"/>
  <c r="U569" i="1"/>
  <c r="W569" i="1" s="1"/>
  <c r="C569" i="1"/>
  <c r="C568" i="1"/>
  <c r="U568" i="1" s="1"/>
  <c r="U567" i="1"/>
  <c r="C567" i="1"/>
  <c r="C566" i="1"/>
  <c r="U566" i="1" s="1"/>
  <c r="C565" i="1"/>
  <c r="U565" i="1" s="1"/>
  <c r="W565" i="1" s="1"/>
  <c r="C564" i="1"/>
  <c r="U564" i="1" s="1"/>
  <c r="U563" i="1"/>
  <c r="C563" i="1"/>
  <c r="C562" i="1"/>
  <c r="U562" i="1" s="1"/>
  <c r="U561" i="1"/>
  <c r="W561" i="1" s="1"/>
  <c r="C561" i="1"/>
  <c r="C560" i="1"/>
  <c r="U560" i="1" s="1"/>
  <c r="U559" i="1"/>
  <c r="C559" i="1"/>
  <c r="C558" i="1"/>
  <c r="U558" i="1" s="1"/>
  <c r="C557" i="1"/>
  <c r="U557" i="1" s="1"/>
  <c r="W557" i="1" s="1"/>
  <c r="C556" i="1"/>
  <c r="U556" i="1" s="1"/>
  <c r="U555" i="1"/>
  <c r="C555" i="1"/>
  <c r="C554" i="1"/>
  <c r="U554" i="1" s="1"/>
  <c r="U553" i="1"/>
  <c r="W553" i="1" s="1"/>
  <c r="C553" i="1"/>
  <c r="C552" i="1"/>
  <c r="U552" i="1" s="1"/>
  <c r="U551" i="1"/>
  <c r="C551" i="1"/>
  <c r="C550" i="1"/>
  <c r="U550" i="1" s="1"/>
  <c r="C549" i="1"/>
  <c r="U549" i="1" s="1"/>
  <c r="W549" i="1" s="1"/>
  <c r="C548" i="1"/>
  <c r="U548" i="1" s="1"/>
  <c r="U547" i="1"/>
  <c r="C547" i="1"/>
  <c r="C546" i="1"/>
  <c r="U546" i="1" s="1"/>
  <c r="U545" i="1"/>
  <c r="W545" i="1" s="1"/>
  <c r="C545" i="1"/>
  <c r="C544" i="1"/>
  <c r="U544" i="1" s="1"/>
  <c r="U543" i="1"/>
  <c r="C543" i="1"/>
  <c r="C542" i="1"/>
  <c r="U542" i="1" s="1"/>
  <c r="C541" i="1"/>
  <c r="U541" i="1" s="1"/>
  <c r="W541" i="1" s="1"/>
  <c r="C540" i="1"/>
  <c r="U540" i="1" s="1"/>
  <c r="U539" i="1"/>
  <c r="C539" i="1"/>
  <c r="C538" i="1"/>
  <c r="U538" i="1" s="1"/>
  <c r="U537" i="1"/>
  <c r="W537" i="1" s="1"/>
  <c r="C537" i="1"/>
  <c r="C536" i="1"/>
  <c r="U536" i="1" s="1"/>
  <c r="U535" i="1"/>
  <c r="C535" i="1"/>
  <c r="C534" i="1"/>
  <c r="U534" i="1" s="1"/>
  <c r="C533" i="1"/>
  <c r="U533" i="1" s="1"/>
  <c r="W533" i="1" s="1"/>
  <c r="C532" i="1"/>
  <c r="U532" i="1" s="1"/>
  <c r="U531" i="1"/>
  <c r="C531" i="1"/>
  <c r="C530" i="1"/>
  <c r="U530" i="1" s="1"/>
  <c r="U529" i="1"/>
  <c r="W529" i="1" s="1"/>
  <c r="C529" i="1"/>
  <c r="C528" i="1"/>
  <c r="U528" i="1" s="1"/>
  <c r="U527" i="1"/>
  <c r="C527" i="1"/>
  <c r="C526" i="1"/>
  <c r="U526" i="1" s="1"/>
  <c r="C525" i="1"/>
  <c r="U525" i="1" s="1"/>
  <c r="W525" i="1" s="1"/>
  <c r="C524" i="1"/>
  <c r="U524" i="1" s="1"/>
  <c r="U523" i="1"/>
  <c r="C523" i="1"/>
  <c r="C522" i="1"/>
  <c r="U522" i="1" s="1"/>
  <c r="U521" i="1"/>
  <c r="W521" i="1" s="1"/>
  <c r="C521" i="1"/>
  <c r="C520" i="1"/>
  <c r="U520" i="1" s="1"/>
  <c r="U519" i="1"/>
  <c r="C519" i="1"/>
  <c r="C518" i="1"/>
  <c r="U518" i="1" s="1"/>
  <c r="C517" i="1"/>
  <c r="U517" i="1" s="1"/>
  <c r="W517" i="1" s="1"/>
  <c r="C516" i="1"/>
  <c r="U516" i="1" s="1"/>
  <c r="U515" i="1"/>
  <c r="C515" i="1"/>
  <c r="C514" i="1"/>
  <c r="U514" i="1" s="1"/>
  <c r="U513" i="1"/>
  <c r="W513" i="1" s="1"/>
  <c r="C513" i="1"/>
  <c r="C512" i="1"/>
  <c r="U512" i="1" s="1"/>
  <c r="U511" i="1"/>
  <c r="C511" i="1"/>
  <c r="C510" i="1"/>
  <c r="U510" i="1" s="1"/>
  <c r="C509" i="1"/>
  <c r="U509" i="1" s="1"/>
  <c r="W509" i="1" s="1"/>
  <c r="C508" i="1"/>
  <c r="U508" i="1" s="1"/>
  <c r="U507" i="1"/>
  <c r="C507" i="1"/>
  <c r="C506" i="1"/>
  <c r="U506" i="1" s="1"/>
  <c r="U505" i="1"/>
  <c r="W505" i="1" s="1"/>
  <c r="C505" i="1"/>
  <c r="C504" i="1"/>
  <c r="U504" i="1" s="1"/>
  <c r="U503" i="1"/>
  <c r="C503" i="1"/>
  <c r="C502" i="1"/>
  <c r="U502" i="1" s="1"/>
  <c r="C501" i="1"/>
  <c r="U501" i="1" s="1"/>
  <c r="W501" i="1" s="1"/>
  <c r="C500" i="1"/>
  <c r="U500" i="1" s="1"/>
  <c r="U499" i="1"/>
  <c r="C499" i="1"/>
  <c r="C498" i="1"/>
  <c r="U498" i="1" s="1"/>
  <c r="U497" i="1"/>
  <c r="W497" i="1" s="1"/>
  <c r="C497" i="1"/>
  <c r="C496" i="1"/>
  <c r="U496" i="1" s="1"/>
  <c r="U495" i="1"/>
  <c r="C495" i="1"/>
  <c r="C494" i="1"/>
  <c r="U494" i="1" s="1"/>
  <c r="C493" i="1"/>
  <c r="U493" i="1" s="1"/>
  <c r="W493" i="1" s="1"/>
  <c r="C492" i="1"/>
  <c r="U492" i="1" s="1"/>
  <c r="U491" i="1"/>
  <c r="C491" i="1"/>
  <c r="C490" i="1"/>
  <c r="U490" i="1" s="1"/>
  <c r="U489" i="1"/>
  <c r="W489" i="1" s="1"/>
  <c r="C489" i="1"/>
  <c r="C488" i="1"/>
  <c r="U488" i="1" s="1"/>
  <c r="U487" i="1"/>
  <c r="C487" i="1"/>
  <c r="C486" i="1"/>
  <c r="U486" i="1" s="1"/>
  <c r="C485" i="1"/>
  <c r="U485" i="1" s="1"/>
  <c r="W485" i="1" s="1"/>
  <c r="C484" i="1"/>
  <c r="U484" i="1" s="1"/>
  <c r="U483" i="1"/>
  <c r="C483" i="1"/>
  <c r="C482" i="1"/>
  <c r="U482" i="1" s="1"/>
  <c r="U481" i="1"/>
  <c r="W481" i="1" s="1"/>
  <c r="C481" i="1"/>
  <c r="C480" i="1"/>
  <c r="U480" i="1" s="1"/>
  <c r="U479" i="1"/>
  <c r="C479" i="1"/>
  <c r="C478" i="1"/>
  <c r="U478" i="1" s="1"/>
  <c r="C477" i="1"/>
  <c r="U477" i="1" s="1"/>
  <c r="W477" i="1" s="1"/>
  <c r="C476" i="1"/>
  <c r="U476" i="1" s="1"/>
  <c r="U475" i="1"/>
  <c r="C475" i="1"/>
  <c r="C474" i="1"/>
  <c r="U474" i="1" s="1"/>
  <c r="U473" i="1"/>
  <c r="W473" i="1" s="1"/>
  <c r="C473" i="1"/>
  <c r="C472" i="1"/>
  <c r="U472" i="1" s="1"/>
  <c r="U471" i="1"/>
  <c r="C471" i="1"/>
  <c r="C470" i="1"/>
  <c r="U470" i="1" s="1"/>
  <c r="C469" i="1"/>
  <c r="U469" i="1" s="1"/>
  <c r="W469" i="1" s="1"/>
  <c r="C468" i="1"/>
  <c r="U468" i="1" s="1"/>
  <c r="U467" i="1"/>
  <c r="C467" i="1"/>
  <c r="C466" i="1"/>
  <c r="U466" i="1" s="1"/>
  <c r="U465" i="1"/>
  <c r="W465" i="1" s="1"/>
  <c r="C465" i="1"/>
  <c r="C464" i="1"/>
  <c r="U464" i="1" s="1"/>
  <c r="U463" i="1"/>
  <c r="C463" i="1"/>
  <c r="C462" i="1"/>
  <c r="U462" i="1" s="1"/>
  <c r="C461" i="1"/>
  <c r="U461" i="1" s="1"/>
  <c r="W461" i="1" s="1"/>
  <c r="C460" i="1"/>
  <c r="U460" i="1" s="1"/>
  <c r="U459" i="1"/>
  <c r="C459" i="1"/>
  <c r="C458" i="1"/>
  <c r="U458" i="1" s="1"/>
  <c r="U457" i="1"/>
  <c r="W457" i="1" s="1"/>
  <c r="C457" i="1"/>
  <c r="C456" i="1"/>
  <c r="U456" i="1" s="1"/>
  <c r="U455" i="1"/>
  <c r="C455" i="1"/>
  <c r="C454" i="1"/>
  <c r="U454" i="1" s="1"/>
  <c r="C453" i="1"/>
  <c r="U453" i="1" s="1"/>
  <c r="W453" i="1" s="1"/>
  <c r="C452" i="1"/>
  <c r="U452" i="1" s="1"/>
  <c r="U451" i="1"/>
  <c r="C451" i="1"/>
  <c r="C450" i="1"/>
  <c r="U450" i="1" s="1"/>
  <c r="U449" i="1"/>
  <c r="W449" i="1" s="1"/>
  <c r="C449" i="1"/>
  <c r="C448" i="1"/>
  <c r="U448" i="1" s="1"/>
  <c r="U447" i="1"/>
  <c r="C447" i="1"/>
  <c r="C446" i="1"/>
  <c r="U446" i="1" s="1"/>
  <c r="C445" i="1"/>
  <c r="U445" i="1" s="1"/>
  <c r="W445" i="1" s="1"/>
  <c r="C444" i="1"/>
  <c r="U444" i="1" s="1"/>
  <c r="U443" i="1"/>
  <c r="C443" i="1"/>
  <c r="C442" i="1"/>
  <c r="U442" i="1" s="1"/>
  <c r="U441" i="1"/>
  <c r="W441" i="1" s="1"/>
  <c r="C441" i="1"/>
  <c r="C440" i="1"/>
  <c r="U440" i="1" s="1"/>
  <c r="U439" i="1"/>
  <c r="C439" i="1"/>
  <c r="C438" i="1"/>
  <c r="U438" i="1" s="1"/>
  <c r="C437" i="1"/>
  <c r="U437" i="1" s="1"/>
  <c r="W437" i="1" s="1"/>
  <c r="C436" i="1"/>
  <c r="U436" i="1" s="1"/>
  <c r="U435" i="1"/>
  <c r="C435" i="1"/>
  <c r="C434" i="1"/>
  <c r="U434" i="1" s="1"/>
  <c r="U433" i="1"/>
  <c r="W433" i="1" s="1"/>
  <c r="C433" i="1"/>
  <c r="C432" i="1"/>
  <c r="U432" i="1" s="1"/>
  <c r="U431" i="1"/>
  <c r="C431" i="1"/>
  <c r="C430" i="1"/>
  <c r="U430" i="1" s="1"/>
  <c r="C429" i="1"/>
  <c r="U429" i="1" s="1"/>
  <c r="C428" i="1"/>
  <c r="U428" i="1" s="1"/>
  <c r="U427" i="1"/>
  <c r="C427" i="1"/>
  <c r="C426" i="1"/>
  <c r="U426" i="1" s="1"/>
  <c r="W426" i="1" s="1"/>
  <c r="U425" i="1"/>
  <c r="C425" i="1"/>
  <c r="C424" i="1"/>
  <c r="U424" i="1" s="1"/>
  <c r="U423" i="1"/>
  <c r="C423" i="1"/>
  <c r="C422" i="1"/>
  <c r="U422" i="1" s="1"/>
  <c r="C421" i="1"/>
  <c r="U421" i="1" s="1"/>
  <c r="C420" i="1"/>
  <c r="U420" i="1" s="1"/>
  <c r="U419" i="1"/>
  <c r="C419" i="1"/>
  <c r="C418" i="1"/>
  <c r="U418" i="1" s="1"/>
  <c r="W418" i="1" s="1"/>
  <c r="U417" i="1"/>
  <c r="C417" i="1"/>
  <c r="C416" i="1"/>
  <c r="U416" i="1" s="1"/>
  <c r="U415" i="1"/>
  <c r="C415" i="1"/>
  <c r="C414" i="1"/>
  <c r="U414" i="1" s="1"/>
  <c r="C413" i="1"/>
  <c r="U413" i="1" s="1"/>
  <c r="C412" i="1"/>
  <c r="U412" i="1" s="1"/>
  <c r="U411" i="1"/>
  <c r="C411" i="1"/>
  <c r="C410" i="1"/>
  <c r="U410" i="1" s="1"/>
  <c r="W410" i="1" s="1"/>
  <c r="U409" i="1"/>
  <c r="C409" i="1"/>
  <c r="C408" i="1"/>
  <c r="U408" i="1" s="1"/>
  <c r="U407" i="1"/>
  <c r="C407" i="1"/>
  <c r="C406" i="1"/>
  <c r="U406" i="1" s="1"/>
  <c r="C405" i="1"/>
  <c r="U405" i="1" s="1"/>
  <c r="C404" i="1"/>
  <c r="U404" i="1" s="1"/>
  <c r="U403" i="1"/>
  <c r="C403" i="1"/>
  <c r="C402" i="1"/>
  <c r="U402" i="1" s="1"/>
  <c r="W402" i="1" s="1"/>
  <c r="U401" i="1"/>
  <c r="C401" i="1"/>
  <c r="C400" i="1"/>
  <c r="U400" i="1" s="1"/>
  <c r="U399" i="1"/>
  <c r="C399" i="1"/>
  <c r="C398" i="1"/>
  <c r="U398" i="1" s="1"/>
  <c r="C397" i="1"/>
  <c r="U397" i="1" s="1"/>
  <c r="C396" i="1"/>
  <c r="U396" i="1" s="1"/>
  <c r="U395" i="1"/>
  <c r="C395" i="1"/>
  <c r="C394" i="1"/>
  <c r="U394" i="1" s="1"/>
  <c r="W394" i="1" s="1"/>
  <c r="U393" i="1"/>
  <c r="C393" i="1"/>
  <c r="C392" i="1"/>
  <c r="U392" i="1" s="1"/>
  <c r="U391" i="1"/>
  <c r="C391" i="1"/>
  <c r="C390" i="1"/>
  <c r="U390" i="1" s="1"/>
  <c r="C389" i="1"/>
  <c r="U389" i="1" s="1"/>
  <c r="C388" i="1"/>
  <c r="U388" i="1" s="1"/>
  <c r="U387" i="1"/>
  <c r="C387" i="1"/>
  <c r="C386" i="1"/>
  <c r="U386" i="1" s="1"/>
  <c r="W386" i="1" s="1"/>
  <c r="U385" i="1"/>
  <c r="C385" i="1"/>
  <c r="C384" i="1"/>
  <c r="U384" i="1" s="1"/>
  <c r="U383" i="1"/>
  <c r="C383" i="1"/>
  <c r="C382" i="1"/>
  <c r="U382" i="1" s="1"/>
  <c r="C381" i="1"/>
  <c r="U381" i="1" s="1"/>
  <c r="C380" i="1"/>
  <c r="U380" i="1" s="1"/>
  <c r="U379" i="1"/>
  <c r="C379" i="1"/>
  <c r="C378" i="1"/>
  <c r="U378" i="1" s="1"/>
  <c r="W378" i="1" s="1"/>
  <c r="U377" i="1"/>
  <c r="C377" i="1"/>
  <c r="C376" i="1"/>
  <c r="U376" i="1" s="1"/>
  <c r="U375" i="1"/>
  <c r="C375" i="1"/>
  <c r="C374" i="1"/>
  <c r="U374" i="1" s="1"/>
  <c r="C373" i="1"/>
  <c r="U373" i="1" s="1"/>
  <c r="C372" i="1"/>
  <c r="U372" i="1" s="1"/>
  <c r="U371" i="1"/>
  <c r="C371" i="1"/>
  <c r="C370" i="1"/>
  <c r="U370" i="1" s="1"/>
  <c r="W370" i="1" s="1"/>
  <c r="U369" i="1"/>
  <c r="C369" i="1"/>
  <c r="C368" i="1"/>
  <c r="U368" i="1" s="1"/>
  <c r="U367" i="1"/>
  <c r="C367" i="1"/>
  <c r="C366" i="1"/>
  <c r="U366" i="1" s="1"/>
  <c r="C365" i="1"/>
  <c r="U365" i="1" s="1"/>
  <c r="C364" i="1"/>
  <c r="U364" i="1" s="1"/>
  <c r="U363" i="1"/>
  <c r="C363" i="1"/>
  <c r="C362" i="1"/>
  <c r="U362" i="1" s="1"/>
  <c r="W362" i="1" s="1"/>
  <c r="U361" i="1"/>
  <c r="C361" i="1"/>
  <c r="C360" i="1"/>
  <c r="U360" i="1" s="1"/>
  <c r="U359" i="1"/>
  <c r="C359" i="1"/>
  <c r="C358" i="1"/>
  <c r="U358" i="1" s="1"/>
  <c r="C357" i="1"/>
  <c r="U357" i="1" s="1"/>
  <c r="C356" i="1"/>
  <c r="U356" i="1" s="1"/>
  <c r="U355" i="1"/>
  <c r="C355" i="1"/>
  <c r="C354" i="1"/>
  <c r="U354" i="1" s="1"/>
  <c r="W354" i="1" s="1"/>
  <c r="U353" i="1"/>
  <c r="C353" i="1"/>
  <c r="C352" i="1"/>
  <c r="U352" i="1" s="1"/>
  <c r="U351" i="1"/>
  <c r="C351" i="1"/>
  <c r="C350" i="1"/>
  <c r="U350" i="1" s="1"/>
  <c r="C349" i="1"/>
  <c r="U349" i="1" s="1"/>
  <c r="C348" i="1"/>
  <c r="U348" i="1" s="1"/>
  <c r="U347" i="1"/>
  <c r="C347" i="1"/>
  <c r="C346" i="1"/>
  <c r="U346" i="1" s="1"/>
  <c r="W346" i="1" s="1"/>
  <c r="U345" i="1"/>
  <c r="C345" i="1"/>
  <c r="C344" i="1"/>
  <c r="U344" i="1" s="1"/>
  <c r="U343" i="1"/>
  <c r="C343" i="1"/>
  <c r="C342" i="1"/>
  <c r="U342" i="1" s="1"/>
  <c r="C341" i="1"/>
  <c r="U341" i="1" s="1"/>
  <c r="C340" i="1"/>
  <c r="U340" i="1" s="1"/>
  <c r="U339" i="1"/>
  <c r="C339" i="1"/>
  <c r="C338" i="1"/>
  <c r="U338" i="1" s="1"/>
  <c r="W338" i="1" s="1"/>
  <c r="U337" i="1"/>
  <c r="C337" i="1"/>
  <c r="C336" i="1"/>
  <c r="U336" i="1" s="1"/>
  <c r="U335" i="1"/>
  <c r="C335" i="1"/>
  <c r="C334" i="1"/>
  <c r="U334" i="1" s="1"/>
  <c r="C333" i="1"/>
  <c r="U333" i="1" s="1"/>
  <c r="C332" i="1"/>
  <c r="U332" i="1" s="1"/>
  <c r="U331" i="1"/>
  <c r="C331" i="1"/>
  <c r="C330" i="1"/>
  <c r="U330" i="1" s="1"/>
  <c r="W330" i="1" s="1"/>
  <c r="U329" i="1"/>
  <c r="C329" i="1"/>
  <c r="C328" i="1"/>
  <c r="U328" i="1" s="1"/>
  <c r="U327" i="1"/>
  <c r="C327" i="1"/>
  <c r="C326" i="1"/>
  <c r="U326" i="1" s="1"/>
  <c r="C325" i="1"/>
  <c r="U325" i="1" s="1"/>
  <c r="C324" i="1"/>
  <c r="U324" i="1" s="1"/>
  <c r="U323" i="1"/>
  <c r="C323" i="1"/>
  <c r="C322" i="1"/>
  <c r="U322" i="1" s="1"/>
  <c r="W322" i="1" s="1"/>
  <c r="U321" i="1"/>
  <c r="C321" i="1"/>
  <c r="C320" i="1"/>
  <c r="U320" i="1" s="1"/>
  <c r="U319" i="1"/>
  <c r="C319" i="1"/>
  <c r="C318" i="1"/>
  <c r="U318" i="1" s="1"/>
  <c r="C317" i="1"/>
  <c r="U317" i="1" s="1"/>
  <c r="C316" i="1"/>
  <c r="U316" i="1" s="1"/>
  <c r="U315" i="1"/>
  <c r="C315" i="1"/>
  <c r="C314" i="1"/>
  <c r="U314" i="1" s="1"/>
  <c r="W314" i="1" s="1"/>
  <c r="U313" i="1"/>
  <c r="C313" i="1"/>
  <c r="C312" i="1"/>
  <c r="U312" i="1" s="1"/>
  <c r="U311" i="1"/>
  <c r="C311" i="1"/>
  <c r="C310" i="1"/>
  <c r="U310" i="1" s="1"/>
  <c r="C309" i="1"/>
  <c r="U309" i="1" s="1"/>
  <c r="C308" i="1"/>
  <c r="U308" i="1" s="1"/>
  <c r="U307" i="1"/>
  <c r="C307" i="1"/>
  <c r="C306" i="1"/>
  <c r="U306" i="1" s="1"/>
  <c r="W306" i="1" s="1"/>
  <c r="U305" i="1"/>
  <c r="C305" i="1"/>
  <c r="C304" i="1"/>
  <c r="U304" i="1" s="1"/>
  <c r="U303" i="1"/>
  <c r="C303" i="1"/>
  <c r="C302" i="1"/>
  <c r="U302" i="1" s="1"/>
  <c r="C301" i="1"/>
  <c r="U301" i="1" s="1"/>
  <c r="C300" i="1"/>
  <c r="U300" i="1" s="1"/>
  <c r="U299" i="1"/>
  <c r="C299" i="1"/>
  <c r="C298" i="1"/>
  <c r="U298" i="1" s="1"/>
  <c r="W298" i="1" s="1"/>
  <c r="U297" i="1"/>
  <c r="C297" i="1"/>
  <c r="C296" i="1"/>
  <c r="U296" i="1" s="1"/>
  <c r="U295" i="1"/>
  <c r="C295" i="1"/>
  <c r="C294" i="1"/>
  <c r="U294" i="1" s="1"/>
  <c r="C293" i="1"/>
  <c r="U293" i="1" s="1"/>
  <c r="C292" i="1"/>
  <c r="U292" i="1" s="1"/>
  <c r="U291" i="1"/>
  <c r="C291" i="1"/>
  <c r="C290" i="1"/>
  <c r="U290" i="1" s="1"/>
  <c r="W290" i="1" s="1"/>
  <c r="U289" i="1"/>
  <c r="C289" i="1"/>
  <c r="C288" i="1"/>
  <c r="U288" i="1" s="1"/>
  <c r="U287" i="1"/>
  <c r="C287" i="1"/>
  <c r="C286" i="1"/>
  <c r="U286" i="1" s="1"/>
  <c r="C285" i="1"/>
  <c r="U285" i="1" s="1"/>
  <c r="C284" i="1"/>
  <c r="U284" i="1" s="1"/>
  <c r="U283" i="1"/>
  <c r="C283" i="1"/>
  <c r="C282" i="1"/>
  <c r="U282" i="1" s="1"/>
  <c r="W282" i="1" s="1"/>
  <c r="U281" i="1"/>
  <c r="C281" i="1"/>
  <c r="C280" i="1"/>
  <c r="U280" i="1" s="1"/>
  <c r="U279" i="1"/>
  <c r="C279" i="1"/>
  <c r="C278" i="1"/>
  <c r="U278" i="1" s="1"/>
  <c r="C277" i="1"/>
  <c r="U277" i="1" s="1"/>
  <c r="C276" i="1"/>
  <c r="U276" i="1" s="1"/>
  <c r="U275" i="1"/>
  <c r="C275" i="1"/>
  <c r="C274" i="1"/>
  <c r="U274" i="1" s="1"/>
  <c r="W274" i="1" s="1"/>
  <c r="U273" i="1"/>
  <c r="C273" i="1"/>
  <c r="C272" i="1"/>
  <c r="U272" i="1" s="1"/>
  <c r="U271" i="1"/>
  <c r="C271" i="1"/>
  <c r="C270" i="1"/>
  <c r="U270" i="1" s="1"/>
  <c r="C269" i="1"/>
  <c r="U269" i="1" s="1"/>
  <c r="C268" i="1"/>
  <c r="U268" i="1" s="1"/>
  <c r="U267" i="1"/>
  <c r="C267" i="1"/>
  <c r="C266" i="1"/>
  <c r="U266" i="1" s="1"/>
  <c r="W266" i="1" s="1"/>
  <c r="U265" i="1"/>
  <c r="C265" i="1"/>
  <c r="C264" i="1"/>
  <c r="U264" i="1" s="1"/>
  <c r="U263" i="1"/>
  <c r="C263" i="1"/>
  <c r="C262" i="1"/>
  <c r="U262" i="1" s="1"/>
  <c r="C261" i="1"/>
  <c r="U261" i="1" s="1"/>
  <c r="C260" i="1"/>
  <c r="U260" i="1" s="1"/>
  <c r="U259" i="1"/>
  <c r="C259" i="1"/>
  <c r="C258" i="1"/>
  <c r="U258" i="1" s="1"/>
  <c r="W258" i="1" s="1"/>
  <c r="U257" i="1"/>
  <c r="C257" i="1"/>
  <c r="C256" i="1"/>
  <c r="U256" i="1" s="1"/>
  <c r="U255" i="1"/>
  <c r="C255" i="1"/>
  <c r="C254" i="1"/>
  <c r="U254" i="1" s="1"/>
  <c r="C253" i="1"/>
  <c r="U253" i="1" s="1"/>
  <c r="C252" i="1"/>
  <c r="U252" i="1" s="1"/>
  <c r="U251" i="1"/>
  <c r="C251" i="1"/>
  <c r="C250" i="1"/>
  <c r="U250" i="1" s="1"/>
  <c r="W250" i="1" s="1"/>
  <c r="U249" i="1"/>
  <c r="C249" i="1"/>
  <c r="C248" i="1"/>
  <c r="U248" i="1" s="1"/>
  <c r="U247" i="1"/>
  <c r="C247" i="1"/>
  <c r="C246" i="1"/>
  <c r="U246" i="1" s="1"/>
  <c r="C245" i="1"/>
  <c r="U245" i="1" s="1"/>
  <c r="C244" i="1"/>
  <c r="U244" i="1" s="1"/>
  <c r="U243" i="1"/>
  <c r="C243" i="1"/>
  <c r="C242" i="1"/>
  <c r="U242" i="1" s="1"/>
  <c r="W242" i="1" s="1"/>
  <c r="U241" i="1"/>
  <c r="C241" i="1"/>
  <c r="C240" i="1"/>
  <c r="U240" i="1" s="1"/>
  <c r="U239" i="1"/>
  <c r="C239" i="1"/>
  <c r="C238" i="1"/>
  <c r="U238" i="1" s="1"/>
  <c r="C237" i="1"/>
  <c r="U237" i="1" s="1"/>
  <c r="C236" i="1"/>
  <c r="U236" i="1" s="1"/>
  <c r="U235" i="1"/>
  <c r="C235" i="1"/>
  <c r="C234" i="1"/>
  <c r="U234" i="1" s="1"/>
  <c r="W234" i="1" s="1"/>
  <c r="U233" i="1"/>
  <c r="C233" i="1"/>
  <c r="C232" i="1"/>
  <c r="U232" i="1" s="1"/>
  <c r="U231" i="1"/>
  <c r="C231" i="1"/>
  <c r="C230" i="1"/>
  <c r="U230" i="1" s="1"/>
  <c r="C229" i="1"/>
  <c r="U229" i="1" s="1"/>
  <c r="C228" i="1"/>
  <c r="U228" i="1" s="1"/>
  <c r="U227" i="1"/>
  <c r="C227" i="1"/>
  <c r="C226" i="1"/>
  <c r="U226" i="1" s="1"/>
  <c r="W226" i="1" s="1"/>
  <c r="U225" i="1"/>
  <c r="C225" i="1"/>
  <c r="C224" i="1"/>
  <c r="U224" i="1" s="1"/>
  <c r="U223" i="1"/>
  <c r="C223" i="1"/>
  <c r="C222" i="1"/>
  <c r="U222" i="1" s="1"/>
  <c r="C221" i="1"/>
  <c r="U221" i="1" s="1"/>
  <c r="C220" i="1"/>
  <c r="U220" i="1" s="1"/>
  <c r="U219" i="1"/>
  <c r="C219" i="1"/>
  <c r="C218" i="1"/>
  <c r="U218" i="1" s="1"/>
  <c r="W218" i="1" s="1"/>
  <c r="U217" i="1"/>
  <c r="C217" i="1"/>
  <c r="C216" i="1"/>
  <c r="U216" i="1" s="1"/>
  <c r="U215" i="1"/>
  <c r="C215" i="1"/>
  <c r="C214" i="1"/>
  <c r="U214" i="1" s="1"/>
  <c r="C213" i="1"/>
  <c r="U213" i="1" s="1"/>
  <c r="C212" i="1"/>
  <c r="U212" i="1" s="1"/>
  <c r="U211" i="1"/>
  <c r="C211" i="1"/>
  <c r="C210" i="1"/>
  <c r="U210" i="1" s="1"/>
  <c r="W210" i="1" s="1"/>
  <c r="U209" i="1"/>
  <c r="C209" i="1"/>
  <c r="C208" i="1"/>
  <c r="U208" i="1" s="1"/>
  <c r="U207" i="1"/>
  <c r="C207" i="1"/>
  <c r="C206" i="1"/>
  <c r="U206" i="1" s="1"/>
  <c r="C205" i="1"/>
  <c r="U205" i="1" s="1"/>
  <c r="C204" i="1"/>
  <c r="U204" i="1" s="1"/>
  <c r="U203" i="1"/>
  <c r="C203" i="1"/>
  <c r="C202" i="1"/>
  <c r="U202" i="1" s="1"/>
  <c r="W202" i="1" s="1"/>
  <c r="U201" i="1"/>
  <c r="C201" i="1"/>
  <c r="C200" i="1"/>
  <c r="U200" i="1" s="1"/>
  <c r="U199" i="1"/>
  <c r="C199" i="1"/>
  <c r="C198" i="1"/>
  <c r="U198" i="1" s="1"/>
  <c r="C197" i="1"/>
  <c r="U197" i="1" s="1"/>
  <c r="C196" i="1"/>
  <c r="U196" i="1" s="1"/>
  <c r="U195" i="1"/>
  <c r="C195" i="1"/>
  <c r="C194" i="1"/>
  <c r="U194" i="1" s="1"/>
  <c r="W194" i="1" s="1"/>
  <c r="U193" i="1"/>
  <c r="C193" i="1"/>
  <c r="C192" i="1"/>
  <c r="U192" i="1" s="1"/>
  <c r="U191" i="1"/>
  <c r="C191" i="1"/>
  <c r="C190" i="1"/>
  <c r="U190" i="1" s="1"/>
  <c r="C189" i="1"/>
  <c r="U189" i="1" s="1"/>
  <c r="C188" i="1"/>
  <c r="U188" i="1" s="1"/>
  <c r="U187" i="1"/>
  <c r="C187" i="1"/>
  <c r="C186" i="1"/>
  <c r="U186" i="1" s="1"/>
  <c r="W186" i="1" s="1"/>
  <c r="U185" i="1"/>
  <c r="C185" i="1"/>
  <c r="C184" i="1"/>
  <c r="U184" i="1" s="1"/>
  <c r="U183" i="1"/>
  <c r="C183" i="1"/>
  <c r="C182" i="1"/>
  <c r="U182" i="1" s="1"/>
  <c r="C181" i="1"/>
  <c r="U181" i="1" s="1"/>
  <c r="C180" i="1"/>
  <c r="U180" i="1" s="1"/>
  <c r="U179" i="1"/>
  <c r="C179" i="1"/>
  <c r="C178" i="1"/>
  <c r="U178" i="1" s="1"/>
  <c r="W178" i="1" s="1"/>
  <c r="U177" i="1"/>
  <c r="C177" i="1"/>
  <c r="C176" i="1"/>
  <c r="U176" i="1" s="1"/>
  <c r="U175" i="1"/>
  <c r="C175" i="1"/>
  <c r="C174" i="1"/>
  <c r="U174" i="1" s="1"/>
  <c r="C173" i="1"/>
  <c r="U173" i="1" s="1"/>
  <c r="C172" i="1"/>
  <c r="U172" i="1" s="1"/>
  <c r="U171" i="1"/>
  <c r="C171" i="1"/>
  <c r="C170" i="1"/>
  <c r="U170" i="1" s="1"/>
  <c r="W170" i="1" s="1"/>
  <c r="U169" i="1"/>
  <c r="C169" i="1"/>
  <c r="C168" i="1"/>
  <c r="U168" i="1" s="1"/>
  <c r="U167" i="1"/>
  <c r="C167" i="1"/>
  <c r="C166" i="1"/>
  <c r="U166" i="1" s="1"/>
  <c r="C165" i="1"/>
  <c r="U165" i="1" s="1"/>
  <c r="C164" i="1"/>
  <c r="U164" i="1" s="1"/>
  <c r="U163" i="1"/>
  <c r="C163" i="1"/>
  <c r="C162" i="1"/>
  <c r="U162" i="1" s="1"/>
  <c r="W162" i="1" s="1"/>
  <c r="U161" i="1"/>
  <c r="C161" i="1"/>
  <c r="C160" i="1"/>
  <c r="U160" i="1" s="1"/>
  <c r="U159" i="1"/>
  <c r="C159" i="1"/>
  <c r="C158" i="1"/>
  <c r="U158" i="1" s="1"/>
  <c r="C157" i="1"/>
  <c r="U157" i="1" s="1"/>
  <c r="C156" i="1"/>
  <c r="U156" i="1" s="1"/>
  <c r="U155" i="1"/>
  <c r="C155" i="1"/>
  <c r="C154" i="1"/>
  <c r="U154" i="1" s="1"/>
  <c r="W154" i="1" s="1"/>
  <c r="U153" i="1"/>
  <c r="C153" i="1"/>
  <c r="C152" i="1"/>
  <c r="U152" i="1" s="1"/>
  <c r="U151" i="1"/>
  <c r="C151" i="1"/>
  <c r="C150" i="1"/>
  <c r="U150" i="1" s="1"/>
  <c r="C149" i="1"/>
  <c r="U149" i="1" s="1"/>
  <c r="C148" i="1"/>
  <c r="U148" i="1" s="1"/>
  <c r="U147" i="1"/>
  <c r="C147" i="1"/>
  <c r="C146" i="1"/>
  <c r="U146" i="1" s="1"/>
  <c r="W146" i="1" s="1"/>
  <c r="U145" i="1"/>
  <c r="C145" i="1"/>
  <c r="C144" i="1"/>
  <c r="U144" i="1" s="1"/>
  <c r="U143" i="1"/>
  <c r="C143" i="1"/>
  <c r="C142" i="1"/>
  <c r="U142" i="1" s="1"/>
  <c r="C141" i="1"/>
  <c r="U141" i="1" s="1"/>
  <c r="C140" i="1"/>
  <c r="U140" i="1" s="1"/>
  <c r="U139" i="1"/>
  <c r="C139" i="1"/>
  <c r="C138" i="1"/>
  <c r="U138" i="1" s="1"/>
  <c r="W138" i="1" s="1"/>
  <c r="U137" i="1"/>
  <c r="C137" i="1"/>
  <c r="C136" i="1"/>
  <c r="U136" i="1" s="1"/>
  <c r="U135" i="1"/>
  <c r="C135" i="1"/>
  <c r="C134" i="1"/>
  <c r="U134" i="1" s="1"/>
  <c r="C133" i="1"/>
  <c r="U133" i="1" s="1"/>
  <c r="C132" i="1"/>
  <c r="U132" i="1" s="1"/>
  <c r="U131" i="1"/>
  <c r="C131" i="1"/>
  <c r="C130" i="1"/>
  <c r="U130" i="1" s="1"/>
  <c r="W130" i="1" s="1"/>
  <c r="U129" i="1"/>
  <c r="C129" i="1"/>
  <c r="C128" i="1"/>
  <c r="U128" i="1" s="1"/>
  <c r="U127" i="1"/>
  <c r="C127" i="1"/>
  <c r="C126" i="1"/>
  <c r="U126" i="1" s="1"/>
  <c r="C125" i="1"/>
  <c r="U125" i="1" s="1"/>
  <c r="C124" i="1"/>
  <c r="U124" i="1" s="1"/>
  <c r="U123" i="1"/>
  <c r="C123" i="1"/>
  <c r="C122" i="1"/>
  <c r="U122" i="1" s="1"/>
  <c r="W122" i="1" s="1"/>
  <c r="U121" i="1"/>
  <c r="C121" i="1"/>
  <c r="C120" i="1"/>
  <c r="U120" i="1" s="1"/>
  <c r="U119" i="1"/>
  <c r="C119" i="1"/>
  <c r="C118" i="1"/>
  <c r="U118" i="1" s="1"/>
  <c r="C117" i="1"/>
  <c r="U117" i="1" s="1"/>
  <c r="C116" i="1"/>
  <c r="U116" i="1" s="1"/>
  <c r="U115" i="1"/>
  <c r="C115" i="1"/>
  <c r="C114" i="1"/>
  <c r="U114" i="1" s="1"/>
  <c r="W114" i="1" s="1"/>
  <c r="U113" i="1"/>
  <c r="C113" i="1"/>
  <c r="C112" i="1"/>
  <c r="U112" i="1" s="1"/>
  <c r="U111" i="1"/>
  <c r="C111" i="1"/>
  <c r="C110" i="1"/>
  <c r="U110" i="1" s="1"/>
  <c r="C109" i="1"/>
  <c r="U109" i="1" s="1"/>
  <c r="C108" i="1"/>
  <c r="U108" i="1" s="1"/>
  <c r="U107" i="1"/>
  <c r="C107" i="1"/>
  <c r="C106" i="1"/>
  <c r="U106" i="1" s="1"/>
  <c r="W106" i="1" s="1"/>
  <c r="U105" i="1"/>
  <c r="C105" i="1"/>
  <c r="C104" i="1"/>
  <c r="U104" i="1" s="1"/>
  <c r="U103" i="1"/>
  <c r="C103" i="1"/>
  <c r="C102" i="1"/>
  <c r="U102" i="1" s="1"/>
  <c r="C101" i="1"/>
  <c r="U101" i="1" s="1"/>
  <c r="C100" i="1"/>
  <c r="U100" i="1" s="1"/>
  <c r="U99" i="1"/>
  <c r="C99" i="1"/>
  <c r="C98" i="1"/>
  <c r="U98" i="1" s="1"/>
  <c r="W98" i="1" s="1"/>
  <c r="U97" i="1"/>
  <c r="C97" i="1"/>
  <c r="C96" i="1"/>
  <c r="U96" i="1" s="1"/>
  <c r="U95" i="1"/>
  <c r="C95" i="1"/>
  <c r="C94" i="1"/>
  <c r="U94" i="1" s="1"/>
  <c r="C93" i="1"/>
  <c r="U93" i="1" s="1"/>
  <c r="C92" i="1"/>
  <c r="U92" i="1" s="1"/>
  <c r="U91" i="1"/>
  <c r="C91" i="1"/>
  <c r="C90" i="1"/>
  <c r="U90" i="1" s="1"/>
  <c r="W90" i="1" s="1"/>
  <c r="U89" i="1"/>
  <c r="C89" i="1"/>
  <c r="C88" i="1"/>
  <c r="U88" i="1" s="1"/>
  <c r="U87" i="1"/>
  <c r="C87" i="1"/>
  <c r="C86" i="1"/>
  <c r="U86" i="1" s="1"/>
  <c r="C85" i="1"/>
  <c r="U85" i="1" s="1"/>
  <c r="C84" i="1"/>
  <c r="U84" i="1" s="1"/>
  <c r="U83" i="1"/>
  <c r="C83" i="1"/>
  <c r="C82" i="1"/>
  <c r="U82" i="1" s="1"/>
  <c r="W82" i="1" s="1"/>
  <c r="U81" i="1"/>
  <c r="C81" i="1"/>
  <c r="C80" i="1"/>
  <c r="U80" i="1" s="1"/>
  <c r="U79" i="1"/>
  <c r="C79" i="1"/>
  <c r="C78" i="1"/>
  <c r="U78" i="1" s="1"/>
  <c r="C77" i="1"/>
  <c r="U77" i="1" s="1"/>
  <c r="C76" i="1"/>
  <c r="U76" i="1" s="1"/>
  <c r="U75" i="1"/>
  <c r="C75" i="1"/>
  <c r="C74" i="1"/>
  <c r="U74" i="1" s="1"/>
  <c r="W74" i="1" s="1"/>
  <c r="U73" i="1"/>
  <c r="C73" i="1"/>
  <c r="C72" i="1"/>
  <c r="U72" i="1" s="1"/>
  <c r="U71" i="1"/>
  <c r="C71" i="1"/>
  <c r="C70" i="1"/>
  <c r="U70" i="1" s="1"/>
  <c r="C69" i="1"/>
  <c r="U69" i="1" s="1"/>
  <c r="C68" i="1"/>
  <c r="U68" i="1" s="1"/>
  <c r="U67" i="1"/>
  <c r="C67" i="1"/>
  <c r="C66" i="1"/>
  <c r="U66" i="1" s="1"/>
  <c r="W66" i="1" s="1"/>
  <c r="U65" i="1"/>
  <c r="C65" i="1"/>
  <c r="C64" i="1"/>
  <c r="U64" i="1" s="1"/>
  <c r="U63" i="1"/>
  <c r="C63" i="1"/>
  <c r="C62" i="1"/>
  <c r="U62" i="1" s="1"/>
  <c r="C61" i="1"/>
  <c r="U61" i="1" s="1"/>
  <c r="C60" i="1"/>
  <c r="U60" i="1" s="1"/>
  <c r="U59" i="1"/>
  <c r="C59" i="1"/>
  <c r="C58" i="1"/>
  <c r="U58" i="1" s="1"/>
  <c r="W58" i="1" s="1"/>
  <c r="U57" i="1"/>
  <c r="C57" i="1"/>
  <c r="C56" i="1"/>
  <c r="U56" i="1" s="1"/>
  <c r="U55" i="1"/>
  <c r="C55" i="1"/>
  <c r="C54" i="1"/>
  <c r="U54" i="1" s="1"/>
  <c r="C53" i="1"/>
  <c r="U53" i="1" s="1"/>
  <c r="C52" i="1"/>
  <c r="U52" i="1" s="1"/>
  <c r="U51" i="1"/>
  <c r="C51" i="1"/>
  <c r="C50" i="1"/>
  <c r="U50" i="1" s="1"/>
  <c r="W50" i="1" s="1"/>
  <c r="U49" i="1"/>
  <c r="C49" i="1"/>
  <c r="C48" i="1"/>
  <c r="U48" i="1" s="1"/>
  <c r="U47" i="1"/>
  <c r="C47" i="1"/>
  <c r="C46" i="1"/>
  <c r="U46" i="1" s="1"/>
  <c r="C45" i="1"/>
  <c r="U45" i="1" s="1"/>
  <c r="C44" i="1"/>
  <c r="U44" i="1" s="1"/>
  <c r="U43" i="1"/>
  <c r="C43" i="1"/>
  <c r="C42" i="1"/>
  <c r="U42" i="1" s="1"/>
  <c r="W42" i="1" s="1"/>
  <c r="U41" i="1"/>
  <c r="C41" i="1"/>
  <c r="C40" i="1"/>
  <c r="U40" i="1" s="1"/>
  <c r="U39" i="1"/>
  <c r="C39" i="1"/>
  <c r="C38" i="1"/>
  <c r="U38" i="1" s="1"/>
  <c r="C37" i="1"/>
  <c r="U37" i="1" s="1"/>
  <c r="C36" i="1"/>
  <c r="U36" i="1" s="1"/>
  <c r="U35" i="1"/>
  <c r="C35" i="1"/>
  <c r="C34" i="1"/>
  <c r="U34" i="1" s="1"/>
  <c r="W34" i="1" s="1"/>
  <c r="U33" i="1"/>
  <c r="C33" i="1"/>
  <c r="C32" i="1"/>
  <c r="U32" i="1" s="1"/>
  <c r="U31" i="1"/>
  <c r="C31" i="1"/>
  <c r="C30" i="1"/>
  <c r="U30" i="1" s="1"/>
  <c r="C29" i="1"/>
  <c r="U29" i="1" s="1"/>
  <c r="C28" i="1"/>
  <c r="U28" i="1" s="1"/>
  <c r="U27" i="1"/>
  <c r="C27" i="1"/>
  <c r="C26" i="1"/>
  <c r="U26" i="1" s="1"/>
  <c r="W26" i="1" s="1"/>
  <c r="U25" i="1"/>
  <c r="C25" i="1"/>
  <c r="C24" i="1"/>
  <c r="U24" i="1" s="1"/>
  <c r="U23" i="1"/>
  <c r="C23" i="1"/>
  <c r="C22" i="1"/>
  <c r="U22" i="1" s="1"/>
  <c r="C21" i="1"/>
  <c r="U21" i="1" s="1"/>
  <c r="C20" i="1"/>
  <c r="U20" i="1" s="1"/>
  <c r="U19" i="1"/>
  <c r="C19" i="1"/>
  <c r="C18" i="1"/>
  <c r="U18" i="1" s="1"/>
  <c r="W18" i="1" s="1"/>
  <c r="U17" i="1"/>
  <c r="C17" i="1"/>
  <c r="C16" i="1"/>
  <c r="U16" i="1" s="1"/>
  <c r="U15" i="1"/>
  <c r="C15" i="1"/>
  <c r="C14" i="1"/>
  <c r="U14" i="1" s="1"/>
  <c r="C13" i="1"/>
  <c r="U13" i="1" s="1"/>
  <c r="C12" i="1"/>
  <c r="U12" i="1" s="1"/>
  <c r="U11" i="1"/>
  <c r="C11" i="1"/>
  <c r="C10" i="1"/>
  <c r="U10" i="1" s="1"/>
  <c r="W10" i="1" s="1"/>
  <c r="U9" i="1"/>
  <c r="C9" i="1"/>
  <c r="C8" i="1"/>
  <c r="U8" i="1" s="1"/>
  <c r="U7" i="1"/>
  <c r="C7" i="1"/>
  <c r="C6" i="1"/>
  <c r="U6" i="1" s="1"/>
  <c r="C5" i="1"/>
  <c r="U5" i="1" s="1"/>
  <c r="C4" i="1"/>
  <c r="U4" i="1" s="1"/>
  <c r="U3" i="1"/>
  <c r="C3" i="1"/>
  <c r="C2" i="1"/>
  <c r="U2" i="1" s="1"/>
  <c r="W6803" i="1" l="1"/>
  <c r="V6803" i="1"/>
  <c r="W7632" i="1"/>
  <c r="V7632" i="1"/>
  <c r="W7636" i="1"/>
  <c r="V7636" i="1"/>
  <c r="W7643" i="1"/>
  <c r="V7643" i="1"/>
  <c r="W7651" i="1"/>
  <c r="V7651" i="1"/>
  <c r="W7654" i="1"/>
  <c r="V7654" i="1"/>
  <c r="W7658" i="1"/>
  <c r="V7658" i="1"/>
  <c r="W7662" i="1"/>
  <c r="V7662" i="1"/>
  <c r="W7666" i="1"/>
  <c r="V7666" i="1"/>
  <c r="W7669" i="1"/>
  <c r="V7669" i="1"/>
  <c r="W7673" i="1"/>
  <c r="V7673" i="1"/>
  <c r="W7677" i="1"/>
  <c r="V7677" i="1"/>
  <c r="W7681" i="1"/>
  <c r="V7681" i="1"/>
  <c r="W7688" i="1"/>
  <c r="V7688" i="1"/>
  <c r="W7692" i="1"/>
  <c r="V7692" i="1"/>
  <c r="W7696" i="1"/>
  <c r="V7696" i="1"/>
  <c r="W7700" i="1"/>
  <c r="V7700" i="1"/>
  <c r="W7707" i="1"/>
  <c r="V7707" i="1"/>
  <c r="W7715" i="1"/>
  <c r="V7715" i="1"/>
  <c r="W7718" i="1"/>
  <c r="V7718" i="1"/>
  <c r="W7722" i="1"/>
  <c r="V7722" i="1"/>
  <c r="W7726" i="1"/>
  <c r="V7726" i="1"/>
  <c r="W7730" i="1"/>
  <c r="V7730" i="1"/>
  <c r="W7733" i="1"/>
  <c r="V7733" i="1"/>
  <c r="W7737" i="1"/>
  <c r="V7737" i="1"/>
  <c r="W7741" i="1"/>
  <c r="V7741" i="1"/>
  <c r="W7745" i="1"/>
  <c r="V7745" i="1"/>
  <c r="W7752" i="1"/>
  <c r="V7752" i="1"/>
  <c r="W7756" i="1"/>
  <c r="V7756" i="1"/>
  <c r="W7760" i="1"/>
  <c r="V7760" i="1"/>
  <c r="W7764" i="1"/>
  <c r="V7764" i="1"/>
  <c r="W7771" i="1"/>
  <c r="V7771" i="1"/>
  <c r="W7778" i="1"/>
  <c r="V7778" i="1"/>
  <c r="W7782" i="1"/>
  <c r="V7782" i="1"/>
  <c r="W7789" i="1"/>
  <c r="V7789" i="1"/>
  <c r="W7793" i="1"/>
  <c r="V7793" i="1"/>
  <c r="W7796" i="1"/>
  <c r="V7796" i="1"/>
  <c r="W7800" i="1"/>
  <c r="V7800" i="1"/>
  <c r="W7803" i="1"/>
  <c r="V7803" i="1"/>
  <c r="W7810" i="1"/>
  <c r="V7810" i="1"/>
  <c r="W7814" i="1"/>
  <c r="V7814" i="1"/>
  <c r="W7821" i="1"/>
  <c r="V7821" i="1"/>
  <c r="W7825" i="1"/>
  <c r="V7825" i="1"/>
  <c r="W7828" i="1"/>
  <c r="V7828" i="1"/>
  <c r="W7832" i="1"/>
  <c r="V7832" i="1"/>
  <c r="W7835" i="1"/>
  <c r="V7835" i="1"/>
  <c r="W7842" i="1"/>
  <c r="V7842" i="1"/>
  <c r="W7846" i="1"/>
  <c r="V7846" i="1"/>
  <c r="W7852" i="1"/>
  <c r="V7852" i="1"/>
  <c r="W7856" i="1"/>
  <c r="V7856" i="1"/>
  <c r="W7859" i="1"/>
  <c r="V7859" i="1"/>
  <c r="W7866" i="1"/>
  <c r="V7866" i="1"/>
  <c r="W7870" i="1"/>
  <c r="V7870" i="1"/>
  <c r="W7873" i="1"/>
  <c r="V7873" i="1"/>
  <c r="W7877" i="1"/>
  <c r="V7877" i="1"/>
  <c r="W7884" i="1"/>
  <c r="V7884" i="1"/>
  <c r="W7888" i="1"/>
  <c r="V7888" i="1"/>
  <c r="W7891" i="1"/>
  <c r="V7891" i="1"/>
  <c r="W7898" i="1"/>
  <c r="V7898" i="1"/>
  <c r="W7902" i="1"/>
  <c r="V7902" i="1"/>
  <c r="W7905" i="1"/>
  <c r="V7905" i="1"/>
  <c r="W7909" i="1"/>
  <c r="V7909" i="1"/>
  <c r="W7916" i="1"/>
  <c r="V7916" i="1"/>
  <c r="W7920" i="1"/>
  <c r="V7920" i="1"/>
  <c r="W7923" i="1"/>
  <c r="V7923" i="1"/>
  <c r="W7930" i="1"/>
  <c r="V7930" i="1"/>
  <c r="W7934" i="1"/>
  <c r="V7934" i="1"/>
  <c r="W7937" i="1"/>
  <c r="V7937" i="1"/>
  <c r="W7941" i="1"/>
  <c r="V7941" i="1"/>
  <c r="W7948" i="1"/>
  <c r="V7948" i="1"/>
  <c r="W7952" i="1"/>
  <c r="V7952" i="1"/>
  <c r="W7955" i="1"/>
  <c r="V7955" i="1"/>
  <c r="W7962" i="1"/>
  <c r="V7962" i="1"/>
  <c r="W7966" i="1"/>
  <c r="V7966" i="1"/>
  <c r="W7969" i="1"/>
  <c r="V7969" i="1"/>
  <c r="W7973" i="1"/>
  <c r="V7973" i="1"/>
  <c r="W7980" i="1"/>
  <c r="V7980" i="1"/>
  <c r="W7984" i="1"/>
  <c r="V7984" i="1"/>
  <c r="W7987" i="1"/>
  <c r="V7987" i="1"/>
  <c r="W7994" i="1"/>
  <c r="V7994" i="1"/>
  <c r="W7997" i="1"/>
  <c r="V7997" i="1"/>
  <c r="W8001" i="1"/>
  <c r="V8001" i="1"/>
  <c r="W8005" i="1"/>
  <c r="V8005" i="1"/>
  <c r="W8009" i="1"/>
  <c r="V8009" i="1"/>
  <c r="W8012" i="1"/>
  <c r="V8012" i="1"/>
  <c r="W8016" i="1"/>
  <c r="V8016" i="1"/>
  <c r="W8019" i="1"/>
  <c r="V8019" i="1"/>
  <c r="W8026" i="1"/>
  <c r="V8026" i="1"/>
  <c r="W8030" i="1"/>
  <c r="V8030" i="1"/>
  <c r="W8033" i="1"/>
  <c r="V8033" i="1"/>
  <c r="W8037" i="1"/>
  <c r="V8037" i="1"/>
  <c r="W8040" i="1"/>
  <c r="V8040" i="1"/>
  <c r="W8043" i="1"/>
  <c r="V8043" i="1"/>
  <c r="W8050" i="1"/>
  <c r="V8050" i="1"/>
  <c r="W8054" i="1"/>
  <c r="V8054" i="1"/>
  <c r="W8057" i="1"/>
  <c r="V8057" i="1"/>
  <c r="W8061" i="1"/>
  <c r="V8061" i="1"/>
  <c r="W8065" i="1"/>
  <c r="V8065" i="1"/>
  <c r="W8068" i="1"/>
  <c r="V8068" i="1"/>
  <c r="W8072" i="1"/>
  <c r="V8072" i="1"/>
  <c r="W8078" i="1"/>
  <c r="V8078" i="1"/>
  <c r="W8084" i="1"/>
  <c r="V8084" i="1"/>
  <c r="W8091" i="1"/>
  <c r="V8091" i="1"/>
  <c r="W8099" i="1"/>
  <c r="V8099" i="1"/>
  <c r="W8110" i="1"/>
  <c r="V8110" i="1"/>
  <c r="W8113" i="1"/>
  <c r="V8113" i="1"/>
  <c r="W8117" i="1"/>
  <c r="V8117" i="1"/>
  <c r="W8120" i="1"/>
  <c r="V8120" i="1"/>
  <c r="W8123" i="1"/>
  <c r="V8123" i="1"/>
  <c r="W8131" i="1"/>
  <c r="V8131" i="1"/>
  <c r="W8142" i="1"/>
  <c r="V8142" i="1"/>
  <c r="W8145" i="1"/>
  <c r="V8145" i="1"/>
  <c r="W8149" i="1"/>
  <c r="V8149" i="1"/>
  <c r="W8152" i="1"/>
  <c r="V8152" i="1"/>
  <c r="W8156" i="1"/>
  <c r="V8156" i="1"/>
  <c r="W8160" i="1"/>
  <c r="V8160" i="1"/>
  <c r="W8163" i="1"/>
  <c r="V8163" i="1"/>
  <c r="W8170" i="1"/>
  <c r="V8170" i="1"/>
  <c r="W8173" i="1"/>
  <c r="V8173" i="1"/>
  <c r="W8180" i="1"/>
  <c r="V8180" i="1"/>
  <c r="W8187" i="1"/>
  <c r="V8187" i="1"/>
  <c r="W8195" i="1"/>
  <c r="V8195" i="1"/>
  <c r="W8203" i="1"/>
  <c r="V8203" i="1"/>
  <c r="W8211" i="1"/>
  <c r="V8211" i="1"/>
  <c r="W8219" i="1"/>
  <c r="V8219" i="1"/>
  <c r="W8227" i="1"/>
  <c r="V8227" i="1"/>
  <c r="W8235" i="1"/>
  <c r="V8235" i="1"/>
  <c r="W8243" i="1"/>
  <c r="V8243" i="1"/>
  <c r="W8251" i="1"/>
  <c r="V8251" i="1"/>
  <c r="W8259" i="1"/>
  <c r="V8259" i="1"/>
  <c r="W8267" i="1"/>
  <c r="V8267" i="1"/>
  <c r="W8275" i="1"/>
  <c r="V8275" i="1"/>
  <c r="W8283" i="1"/>
  <c r="V8283" i="1"/>
  <c r="W8291" i="1"/>
  <c r="V8291" i="1"/>
  <c r="W8299" i="1"/>
  <c r="V8299" i="1"/>
  <c r="W8307" i="1"/>
  <c r="V8307" i="1"/>
  <c r="W8315" i="1"/>
  <c r="V8315" i="1"/>
  <c r="W8323" i="1"/>
  <c r="V8323" i="1"/>
  <c r="W8331" i="1"/>
  <c r="V8331" i="1"/>
  <c r="W8339" i="1"/>
  <c r="V8339" i="1"/>
  <c r="W8347" i="1"/>
  <c r="V8347" i="1"/>
  <c r="W8355" i="1"/>
  <c r="V8355" i="1"/>
  <c r="W8363" i="1"/>
  <c r="V8363" i="1"/>
  <c r="W8371" i="1"/>
  <c r="V8371" i="1"/>
  <c r="W8379" i="1"/>
  <c r="V8379" i="1"/>
  <c r="W8387" i="1"/>
  <c r="V8387" i="1"/>
  <c r="W8395" i="1"/>
  <c r="V8395" i="1"/>
  <c r="V1645" i="1"/>
  <c r="V1629" i="1"/>
  <c r="V1613" i="1"/>
  <c r="V1597" i="1"/>
  <c r="V1581" i="1"/>
  <c r="V1565" i="1"/>
  <c r="V1549" i="1"/>
  <c r="V1533" i="1"/>
  <c r="V1517" i="1"/>
  <c r="V1501" i="1"/>
  <c r="V1485" i="1"/>
  <c r="V1469" i="1"/>
  <c r="V1453" i="1"/>
  <c r="V1437" i="1"/>
  <c r="V1421" i="1"/>
  <c r="V1405" i="1"/>
  <c r="V1389" i="1"/>
  <c r="V1373" i="1"/>
  <c r="V1357" i="1"/>
  <c r="V1341" i="1"/>
  <c r="V1325" i="1"/>
  <c r="V1309" i="1"/>
  <c r="V1293" i="1"/>
  <c r="V1277" i="1"/>
  <c r="V1261" i="1"/>
  <c r="V1245" i="1"/>
  <c r="V1229" i="1"/>
  <c r="V1213" i="1"/>
  <c r="V1197" i="1"/>
  <c r="V1181" i="1"/>
  <c r="V1165" i="1"/>
  <c r="V1149" i="1"/>
  <c r="V1133" i="1"/>
  <c r="V1117" i="1"/>
  <c r="V1101" i="1"/>
  <c r="V1085" i="1"/>
  <c r="V1069" i="1"/>
  <c r="V1053" i="1"/>
  <c r="V1037" i="1"/>
  <c r="V1021" i="1"/>
  <c r="V1005" i="1"/>
  <c r="V989" i="1"/>
  <c r="V973" i="1"/>
  <c r="V957" i="1"/>
  <c r="V941" i="1"/>
  <c r="V925" i="1"/>
  <c r="V909" i="1"/>
  <c r="V893" i="1"/>
  <c r="V877" i="1"/>
  <c r="V861" i="1"/>
  <c r="V845" i="1"/>
  <c r="V829" i="1"/>
  <c r="V813" i="1"/>
  <c r="V797" i="1"/>
  <c r="V781" i="1"/>
  <c r="V765" i="1"/>
  <c r="V749" i="1"/>
  <c r="V733" i="1"/>
  <c r="V717" i="1"/>
  <c r="V701" i="1"/>
  <c r="V685" i="1"/>
  <c r="V669" i="1"/>
  <c r="V653" i="1"/>
  <c r="V637" i="1"/>
  <c r="V621" i="1"/>
  <c r="V605" i="1"/>
  <c r="V589" i="1"/>
  <c r="V573" i="1"/>
  <c r="V557" i="1"/>
  <c r="V541" i="1"/>
  <c r="V525" i="1"/>
  <c r="V509" i="1"/>
  <c r="V493" i="1"/>
  <c r="V477" i="1"/>
  <c r="V461" i="1"/>
  <c r="V445" i="1"/>
  <c r="V426" i="1"/>
  <c r="V394" i="1"/>
  <c r="V362" i="1"/>
  <c r="V330" i="1"/>
  <c r="V298" i="1"/>
  <c r="V266" i="1"/>
  <c r="V234" i="1"/>
  <c r="V202" i="1"/>
  <c r="V170" i="1"/>
  <c r="V138" i="1"/>
  <c r="V106" i="1"/>
  <c r="V74" i="1"/>
  <c r="V42" i="1"/>
  <c r="V10" i="1"/>
  <c r="V8375" i="1"/>
  <c r="V8343" i="1"/>
  <c r="V8311" i="1"/>
  <c r="V8279" i="1"/>
  <c r="V8247" i="1"/>
  <c r="V8215" i="1"/>
  <c r="V8183" i="1"/>
  <c r="V8087" i="1"/>
  <c r="V7959" i="1"/>
  <c r="V7927" i="1"/>
  <c r="V7895" i="1"/>
  <c r="V7863" i="1"/>
  <c r="V7831" i="1"/>
  <c r="V7799" i="1"/>
  <c r="V7767" i="1"/>
  <c r="V7703" i="1"/>
  <c r="V7671" i="1"/>
  <c r="V7639" i="1"/>
  <c r="V7607" i="1"/>
  <c r="V7575" i="1"/>
  <c r="V7543" i="1"/>
  <c r="V7511" i="1"/>
  <c r="V7479" i="1"/>
  <c r="V7447" i="1"/>
  <c r="V7415" i="1"/>
  <c r="V7383" i="1"/>
  <c r="V7351" i="1"/>
  <c r="V7319" i="1"/>
  <c r="V7287" i="1"/>
  <c r="V7255" i="1"/>
  <c r="V7223" i="1"/>
  <c r="V7191" i="1"/>
  <c r="V7159" i="1"/>
  <c r="V7127" i="1"/>
  <c r="V7095" i="1"/>
  <c r="V7063" i="1"/>
  <c r="V7031" i="1"/>
  <c r="V6999" i="1"/>
  <c r="V6967" i="1"/>
  <c r="V6935" i="1"/>
  <c r="V6903" i="1"/>
  <c r="V6871" i="1"/>
  <c r="V6839" i="1"/>
  <c r="V6807" i="1"/>
  <c r="V6775" i="1"/>
  <c r="V6743" i="1"/>
  <c r="V6711" i="1"/>
  <c r="V6679" i="1"/>
  <c r="V6647" i="1"/>
  <c r="V6615" i="1"/>
  <c r="V6583" i="1"/>
  <c r="V6537" i="1"/>
  <c r="V6473" i="1"/>
  <c r="V6409" i="1"/>
  <c r="V6345" i="1"/>
  <c r="V6281" i="1"/>
  <c r="V6217" i="1"/>
  <c r="V6153" i="1"/>
  <c r="W3" i="1"/>
  <c r="V3" i="1"/>
  <c r="W9" i="1"/>
  <c r="V9" i="1"/>
  <c r="W15" i="1"/>
  <c r="V15" i="1"/>
  <c r="W24" i="1"/>
  <c r="V24" i="1"/>
  <c r="W41" i="1"/>
  <c r="V41" i="1"/>
  <c r="W44" i="1"/>
  <c r="V44" i="1"/>
  <c r="W53" i="1"/>
  <c r="V53" i="1"/>
  <c r="W67" i="1"/>
  <c r="V67" i="1"/>
  <c r="W94" i="1"/>
  <c r="V94" i="1"/>
  <c r="W105" i="1"/>
  <c r="V105" i="1"/>
  <c r="W111" i="1"/>
  <c r="V111" i="1"/>
  <c r="W117" i="1"/>
  <c r="V117" i="1"/>
  <c r="W131" i="1"/>
  <c r="V131" i="1"/>
  <c r="W158" i="1"/>
  <c r="V158" i="1"/>
  <c r="W169" i="1"/>
  <c r="V169" i="1"/>
  <c r="W172" i="1"/>
  <c r="V172" i="1"/>
  <c r="W181" i="1"/>
  <c r="V181" i="1"/>
  <c r="W190" i="1"/>
  <c r="V190" i="1"/>
  <c r="W204" i="1"/>
  <c r="V204" i="1"/>
  <c r="W213" i="1"/>
  <c r="V213" i="1"/>
  <c r="W227" i="1"/>
  <c r="V227" i="1"/>
  <c r="W254" i="1"/>
  <c r="V254" i="1"/>
  <c r="W265" i="1"/>
  <c r="V265" i="1"/>
  <c r="W271" i="1"/>
  <c r="V271" i="1"/>
  <c r="W280" i="1"/>
  <c r="V280" i="1"/>
  <c r="W318" i="1"/>
  <c r="V318" i="1"/>
  <c r="W329" i="1"/>
  <c r="V329" i="1"/>
  <c r="W335" i="1"/>
  <c r="V335" i="1"/>
  <c r="W350" i="1"/>
  <c r="V350" i="1"/>
  <c r="W376" i="1"/>
  <c r="V376" i="1"/>
  <c r="W414" i="1"/>
  <c r="V414" i="1"/>
  <c r="W419" i="1"/>
  <c r="V419" i="1"/>
  <c r="W431" i="1"/>
  <c r="V431" i="1"/>
  <c r="W440" i="1"/>
  <c r="V440" i="1"/>
  <c r="W451" i="1"/>
  <c r="V451" i="1"/>
  <c r="W510" i="1"/>
  <c r="V510" i="1"/>
  <c r="W524" i="1"/>
  <c r="V524" i="1"/>
  <c r="W559" i="1"/>
  <c r="V559" i="1"/>
  <c r="W568" i="1"/>
  <c r="V568" i="1"/>
  <c r="W579" i="1"/>
  <c r="V579" i="1"/>
  <c r="W588" i="1"/>
  <c r="V588" i="1"/>
  <c r="W594" i="1"/>
  <c r="V594" i="1"/>
  <c r="W606" i="1"/>
  <c r="V606" i="1"/>
  <c r="W611" i="1"/>
  <c r="V611" i="1"/>
  <c r="W620" i="1"/>
  <c r="V620" i="1"/>
  <c r="W626" i="1"/>
  <c r="V626" i="1"/>
  <c r="W687" i="1"/>
  <c r="V687" i="1"/>
  <c r="W696" i="1"/>
  <c r="V696" i="1"/>
  <c r="W707" i="1"/>
  <c r="V707" i="1"/>
  <c r="W719" i="1"/>
  <c r="V719" i="1"/>
  <c r="W722" i="1"/>
  <c r="V722" i="1"/>
  <c r="W734" i="1"/>
  <c r="V734" i="1"/>
  <c r="W751" i="1"/>
  <c r="V751" i="1"/>
  <c r="W760" i="1"/>
  <c r="V760" i="1"/>
  <c r="W766" i="1"/>
  <c r="V766" i="1"/>
  <c r="W798" i="1"/>
  <c r="V798" i="1"/>
  <c r="W879" i="1"/>
  <c r="V879" i="1"/>
  <c r="W888" i="1"/>
  <c r="V888" i="1"/>
  <c r="W894" i="1"/>
  <c r="V894" i="1"/>
  <c r="W908" i="1"/>
  <c r="V908" i="1"/>
  <c r="W931" i="1"/>
  <c r="V931" i="1"/>
  <c r="W940" i="1"/>
  <c r="V940" i="1"/>
  <c r="W946" i="1"/>
  <c r="V946" i="1"/>
  <c r="W952" i="1"/>
  <c r="V952" i="1"/>
  <c r="W990" i="1"/>
  <c r="V990" i="1"/>
  <c r="W995" i="1"/>
  <c r="V995" i="1"/>
  <c r="W1004" i="1"/>
  <c r="V1004" i="1"/>
  <c r="W1010" i="1"/>
  <c r="V1010" i="1"/>
  <c r="W1071" i="1"/>
  <c r="V1071" i="1"/>
  <c r="W1080" i="1"/>
  <c r="V1080" i="1"/>
  <c r="W1091" i="1"/>
  <c r="V1091" i="1"/>
  <c r="W1100" i="1"/>
  <c r="V1100" i="1"/>
  <c r="W1106" i="1"/>
  <c r="V1106" i="1"/>
  <c r="W1135" i="1"/>
  <c r="V1135" i="1"/>
  <c r="W1144" i="1"/>
  <c r="V1144" i="1"/>
  <c r="W1167" i="1"/>
  <c r="V1167" i="1"/>
  <c r="W1176" i="1"/>
  <c r="V1176" i="1"/>
  <c r="W1187" i="1"/>
  <c r="V1187" i="1"/>
  <c r="W1196" i="1"/>
  <c r="V1196" i="1"/>
  <c r="W1202" i="1"/>
  <c r="V1202" i="1"/>
  <c r="W1246" i="1"/>
  <c r="V1246" i="1"/>
  <c r="W1327" i="1"/>
  <c r="V1327" i="1"/>
  <c r="W1336" i="1"/>
  <c r="V1336" i="1"/>
  <c r="W1347" i="1"/>
  <c r="V1347" i="1"/>
  <c r="W1356" i="1"/>
  <c r="V1356" i="1"/>
  <c r="W1362" i="1"/>
  <c r="V1362" i="1"/>
  <c r="W1368" i="1"/>
  <c r="V1368" i="1"/>
  <c r="W1379" i="1"/>
  <c r="V1379" i="1"/>
  <c r="W1411" i="1"/>
  <c r="V1411" i="1"/>
  <c r="W1420" i="1"/>
  <c r="V1420" i="1"/>
  <c r="W1426" i="1"/>
  <c r="V1426" i="1"/>
  <c r="W1432" i="1"/>
  <c r="V1432" i="1"/>
  <c r="W1443" i="1"/>
  <c r="V1443" i="1"/>
  <c r="W1452" i="1"/>
  <c r="V1452" i="1"/>
  <c r="W1458" i="1"/>
  <c r="V1458" i="1"/>
  <c r="W1470" i="1"/>
  <c r="V1470" i="1"/>
  <c r="W1475" i="1"/>
  <c r="V1475" i="1"/>
  <c r="W1484" i="1"/>
  <c r="V1484" i="1"/>
  <c r="W1490" i="1"/>
  <c r="V1490" i="1"/>
  <c r="W1502" i="1"/>
  <c r="V1502" i="1"/>
  <c r="W1539" i="1"/>
  <c r="V1539" i="1"/>
  <c r="W1548" i="1"/>
  <c r="V1548" i="1"/>
  <c r="W1554" i="1"/>
  <c r="V1554" i="1"/>
  <c r="W1560" i="1"/>
  <c r="V1560" i="1"/>
  <c r="W1586" i="1"/>
  <c r="V1586" i="1"/>
  <c r="W1592" i="1"/>
  <c r="V1592" i="1"/>
  <c r="W1615" i="1"/>
  <c r="V1615" i="1"/>
  <c r="W1618" i="1"/>
  <c r="V1618" i="1"/>
  <c r="W1624" i="1"/>
  <c r="V1624" i="1"/>
  <c r="W1644" i="1"/>
  <c r="V1644" i="1"/>
  <c r="W1647" i="1"/>
  <c r="V1647" i="1"/>
  <c r="W1650" i="1"/>
  <c r="V1650" i="1"/>
  <c r="W1656" i="1"/>
  <c r="V1656" i="1"/>
  <c r="W1667" i="1"/>
  <c r="V1667" i="1"/>
  <c r="W1676" i="1"/>
  <c r="V1676" i="1"/>
  <c r="W1682" i="1"/>
  <c r="V1682" i="1"/>
  <c r="W1688" i="1"/>
  <c r="V1688" i="1"/>
  <c r="W1699" i="1"/>
  <c r="V1699" i="1"/>
  <c r="W1708" i="1"/>
  <c r="V1708" i="1"/>
  <c r="W1714" i="1"/>
  <c r="V1714" i="1"/>
  <c r="W1717" i="1"/>
  <c r="V1717" i="1"/>
  <c r="W1726" i="1"/>
  <c r="V1726" i="1"/>
  <c r="W1737" i="1"/>
  <c r="V1737" i="1"/>
  <c r="W1743" i="1"/>
  <c r="V1743" i="1"/>
  <c r="W1749" i="1"/>
  <c r="V1749" i="1"/>
  <c r="W1758" i="1"/>
  <c r="V1758" i="1"/>
  <c r="W1763" i="1"/>
  <c r="V1763" i="1"/>
  <c r="W1775" i="1"/>
  <c r="V1775" i="1"/>
  <c r="W1784" i="1"/>
  <c r="V1784" i="1"/>
  <c r="W1795" i="1"/>
  <c r="V1795" i="1"/>
  <c r="W1804" i="1"/>
  <c r="V1804" i="1"/>
  <c r="W1810" i="1"/>
  <c r="V1810" i="1"/>
  <c r="W1822" i="1"/>
  <c r="V1822" i="1"/>
  <c r="W1836" i="1"/>
  <c r="V1836" i="1"/>
  <c r="W1842" i="1"/>
  <c r="V1842" i="1"/>
  <c r="W1854" i="1"/>
  <c r="V1854" i="1"/>
  <c r="W1865" i="1"/>
  <c r="V1865" i="1"/>
  <c r="W1874" i="1"/>
  <c r="V1874" i="1"/>
  <c r="W1886" i="1"/>
  <c r="V1886" i="1"/>
  <c r="W1897" i="1"/>
  <c r="V1897" i="1"/>
  <c r="W1906" i="1"/>
  <c r="V1906" i="1"/>
  <c r="W1918" i="1"/>
  <c r="V1918" i="1"/>
  <c r="W1930" i="1"/>
  <c r="V1930" i="1"/>
  <c r="W1936" i="1"/>
  <c r="V1936" i="1"/>
  <c r="W1949" i="1"/>
  <c r="V1949" i="1"/>
  <c r="W1955" i="1"/>
  <c r="V1955" i="1"/>
  <c r="W1962" i="1"/>
  <c r="V1962" i="1"/>
  <c r="W1971" i="1"/>
  <c r="V1971" i="1"/>
  <c r="W1984" i="1"/>
  <c r="V1984" i="1"/>
  <c r="W1994" i="1"/>
  <c r="V1994" i="1"/>
  <c r="W2000" i="1"/>
  <c r="V2000" i="1"/>
  <c r="W2010" i="1"/>
  <c r="V2010" i="1"/>
  <c r="W2019" i="1"/>
  <c r="V2019" i="1"/>
  <c r="W2029" i="1"/>
  <c r="V2029" i="1"/>
  <c r="W2045" i="1"/>
  <c r="V2045" i="1"/>
  <c r="W2056" i="1"/>
  <c r="V2056" i="1"/>
  <c r="W2067" i="1"/>
  <c r="V2067" i="1"/>
  <c r="W2075" i="1"/>
  <c r="V2075" i="1"/>
  <c r="W2086" i="1"/>
  <c r="V2086" i="1"/>
  <c r="W2097" i="1"/>
  <c r="V2097" i="1"/>
  <c r="W2109" i="1"/>
  <c r="V2109" i="1"/>
  <c r="W2120" i="1"/>
  <c r="V2120" i="1"/>
  <c r="W2127" i="1"/>
  <c r="V2127" i="1"/>
  <c r="W2142" i="1"/>
  <c r="V2142" i="1"/>
  <c r="W2150" i="1"/>
  <c r="V2150" i="1"/>
  <c r="W2161" i="1"/>
  <c r="V2161" i="1"/>
  <c r="W2173" i="1"/>
  <c r="V2173" i="1"/>
  <c r="W2180" i="1"/>
  <c r="V2180" i="1"/>
  <c r="W2191" i="1"/>
  <c r="V2191" i="1"/>
  <c r="W2203" i="1"/>
  <c r="V2203" i="1"/>
  <c r="W2210" i="1"/>
  <c r="V2210" i="1"/>
  <c r="W2225" i="1"/>
  <c r="V2225" i="1"/>
  <c r="W2229" i="1"/>
  <c r="V2229" i="1"/>
  <c r="W2240" i="1"/>
  <c r="V2240" i="1"/>
  <c r="W2252" i="1"/>
  <c r="V2252" i="1"/>
  <c r="W2259" i="1"/>
  <c r="V2259" i="1"/>
  <c r="W2270" i="1"/>
  <c r="V2270" i="1"/>
  <c r="W2278" i="1"/>
  <c r="V2278" i="1"/>
  <c r="W2297" i="1"/>
  <c r="V2297" i="1"/>
  <c r="W2308" i="1"/>
  <c r="V2308" i="1"/>
  <c r="W2316" i="1"/>
  <c r="V2316" i="1"/>
  <c r="W2323" i="1"/>
  <c r="V2323" i="1"/>
  <c r="W2334" i="1"/>
  <c r="V2334" i="1"/>
  <c r="W2346" i="1"/>
  <c r="V2346" i="1"/>
  <c r="W2365" i="1"/>
  <c r="V2365" i="1"/>
  <c r="W2376" i="1"/>
  <c r="V2376" i="1"/>
  <c r="W2383" i="1"/>
  <c r="V2383" i="1"/>
  <c r="W2395" i="1"/>
  <c r="V2395" i="1"/>
  <c r="W2406" i="1"/>
  <c r="V2406" i="1"/>
  <c r="W2418" i="1"/>
  <c r="V2418" i="1"/>
  <c r="W2426" i="1"/>
  <c r="V2426" i="1"/>
  <c r="W2437" i="1"/>
  <c r="V2437" i="1"/>
  <c r="W2445" i="1"/>
  <c r="V2445" i="1"/>
  <c r="W2457" i="1"/>
  <c r="V2457" i="1"/>
  <c r="W2464" i="1"/>
  <c r="V2464" i="1"/>
  <c r="W2476" i="1"/>
  <c r="V2476" i="1"/>
  <c r="W2488" i="1"/>
  <c r="V2488" i="1"/>
  <c r="W2495" i="1"/>
  <c r="V2495" i="1"/>
  <c r="W2507" i="1"/>
  <c r="V2507" i="1"/>
  <c r="W2522" i="1"/>
  <c r="V2522" i="1"/>
  <c r="W2533" i="1"/>
  <c r="V2533" i="1"/>
  <c r="W2545" i="1"/>
  <c r="V2545" i="1"/>
  <c r="W2557" i="1"/>
  <c r="V2557" i="1"/>
  <c r="W2568" i="1"/>
  <c r="V2568" i="1"/>
  <c r="W2580" i="1"/>
  <c r="V2580" i="1"/>
  <c r="W2588" i="1"/>
  <c r="V2588" i="1"/>
  <c r="W2599" i="1"/>
  <c r="V2599" i="1"/>
  <c r="W2607" i="1"/>
  <c r="V2607" i="1"/>
  <c r="W2619" i="1"/>
  <c r="V2619" i="1"/>
  <c r="W2626" i="1"/>
  <c r="V2626" i="1"/>
  <c r="W2638" i="1"/>
  <c r="V2638" i="1"/>
  <c r="W2650" i="1"/>
  <c r="V2650" i="1"/>
  <c r="W2661" i="1"/>
  <c r="V2661" i="1"/>
  <c r="W2673" i="1"/>
  <c r="V2673" i="1"/>
  <c r="W2681" i="1"/>
  <c r="V2681" i="1"/>
  <c r="W2692" i="1"/>
  <c r="V2692" i="1"/>
  <c r="W2704" i="1"/>
  <c r="V2704" i="1"/>
  <c r="W2712" i="1"/>
  <c r="V2712" i="1"/>
  <c r="W2723" i="1"/>
  <c r="V2723" i="1"/>
  <c r="W2727" i="1"/>
  <c r="V2727" i="1"/>
  <c r="W2739" i="1"/>
  <c r="V2739" i="1"/>
  <c r="W2750" i="1"/>
  <c r="V2750" i="1"/>
  <c r="W2758" i="1"/>
  <c r="V2758" i="1"/>
  <c r="W2770" i="1"/>
  <c r="V2770" i="1"/>
  <c r="W2778" i="1"/>
  <c r="V2778" i="1"/>
  <c r="W2793" i="1"/>
  <c r="V2793" i="1"/>
  <c r="W2805" i="1"/>
  <c r="V2805" i="1"/>
  <c r="W2816" i="1"/>
  <c r="V2816" i="1"/>
  <c r="W2828" i="1"/>
  <c r="V2828" i="1"/>
  <c r="W2836" i="1"/>
  <c r="V2836" i="1"/>
  <c r="W2847" i="1"/>
  <c r="V2847" i="1"/>
  <c r="W2859" i="1"/>
  <c r="V2859" i="1"/>
  <c r="W2871" i="1"/>
  <c r="V2871" i="1"/>
  <c r="W2882" i="1"/>
  <c r="V2882" i="1"/>
  <c r="W2894" i="1"/>
  <c r="V2894" i="1"/>
  <c r="W2906" i="1"/>
  <c r="V2906" i="1"/>
  <c r="W2917" i="1"/>
  <c r="V2917" i="1"/>
  <c r="W2928" i="1"/>
  <c r="V2928" i="1"/>
  <c r="W2940" i="1"/>
  <c r="V2940" i="1"/>
  <c r="W2951" i="1"/>
  <c r="V2951" i="1"/>
  <c r="W2962" i="1"/>
  <c r="V2962" i="1"/>
  <c r="W2970" i="1"/>
  <c r="V2970" i="1"/>
  <c r="W2985" i="1"/>
  <c r="V2985" i="1"/>
  <c r="W3001" i="1"/>
  <c r="V3001" i="1"/>
  <c r="W3008" i="1"/>
  <c r="V3008" i="1"/>
  <c r="W3016" i="1"/>
  <c r="V3016" i="1"/>
  <c r="W3032" i="1"/>
  <c r="V3032" i="1"/>
  <c r="W3039" i="1"/>
  <c r="V3039" i="1"/>
  <c r="W3051" i="1"/>
  <c r="V3051" i="1"/>
  <c r="W3059" i="1"/>
  <c r="V3059" i="1"/>
  <c r="W3070" i="1"/>
  <c r="V3070" i="1"/>
  <c r="W3082" i="1"/>
  <c r="V3082" i="1"/>
  <c r="W3090" i="1"/>
  <c r="V3090" i="1"/>
  <c r="W3105" i="1"/>
  <c r="V3105" i="1"/>
  <c r="W3117" i="1"/>
  <c r="V3117" i="1"/>
  <c r="W3125" i="1"/>
  <c r="V3125" i="1"/>
  <c r="W3136" i="1"/>
  <c r="V3136" i="1"/>
  <c r="W3148" i="1"/>
  <c r="V3148" i="1"/>
  <c r="W3156" i="1"/>
  <c r="V3156" i="1"/>
  <c r="W3167" i="1"/>
  <c r="V3167" i="1"/>
  <c r="W3171" i="1"/>
  <c r="V3171" i="1"/>
  <c r="W3183" i="1"/>
  <c r="V3183" i="1"/>
  <c r="W3191" i="1"/>
  <c r="V3191" i="1"/>
  <c r="W3202" i="1"/>
  <c r="V3202" i="1"/>
  <c r="W3210" i="1"/>
  <c r="V3210" i="1"/>
  <c r="W3222" i="1"/>
  <c r="V3222" i="1"/>
  <c r="W3233" i="1"/>
  <c r="V3233" i="1"/>
  <c r="W3241" i="1"/>
  <c r="V3241" i="1"/>
  <c r="W3249" i="1"/>
  <c r="V3249" i="1"/>
  <c r="W3261" i="1"/>
  <c r="V3261" i="1"/>
  <c r="W3272" i="1"/>
  <c r="V3272" i="1"/>
  <c r="W3280" i="1"/>
  <c r="V3280" i="1"/>
  <c r="W3292" i="1"/>
  <c r="V3292" i="1"/>
  <c r="W3299" i="1"/>
  <c r="V3299" i="1"/>
  <c r="W3311" i="1"/>
  <c r="V3311" i="1"/>
  <c r="W3323" i="1"/>
  <c r="V3323" i="1"/>
  <c r="W3334" i="1"/>
  <c r="V3334" i="1"/>
  <c r="W3342" i="1"/>
  <c r="V3342" i="1"/>
  <c r="W3353" i="1"/>
  <c r="V3353" i="1"/>
  <c r="W3360" i="1"/>
  <c r="V3360" i="1"/>
  <c r="W3372" i="1"/>
  <c r="V3372" i="1"/>
  <c r="W3386" i="1"/>
  <c r="V3386" i="1"/>
  <c r="W3393" i="1"/>
  <c r="V3393" i="1"/>
  <c r="W3404" i="1"/>
  <c r="V3404" i="1"/>
  <c r="W3414" i="1"/>
  <c r="V3414" i="1"/>
  <c r="W3422" i="1"/>
  <c r="V3422" i="1"/>
  <c r="W3432" i="1"/>
  <c r="V3432" i="1"/>
  <c r="W3443" i="1"/>
  <c r="V3443" i="1"/>
  <c r="W3453" i="1"/>
  <c r="V3453" i="1"/>
  <c r="W3463" i="1"/>
  <c r="V3463" i="1"/>
  <c r="W3470" i="1"/>
  <c r="V3470" i="1"/>
  <c r="W3483" i="1"/>
  <c r="V3483" i="1"/>
  <c r="W3490" i="1"/>
  <c r="V3490" i="1"/>
  <c r="W3501" i="1"/>
  <c r="V3501" i="1"/>
  <c r="W3514" i="1"/>
  <c r="V3514" i="1"/>
  <c r="W3521" i="1"/>
  <c r="V3521" i="1"/>
  <c r="W3532" i="1"/>
  <c r="V3532" i="1"/>
  <c r="W3545" i="1"/>
  <c r="V3545" i="1"/>
  <c r="W3552" i="1"/>
  <c r="V3552" i="1"/>
  <c r="W3563" i="1"/>
  <c r="V3563" i="1"/>
  <c r="W3581" i="1"/>
  <c r="V3581" i="1"/>
  <c r="W3588" i="1"/>
  <c r="V3588" i="1"/>
  <c r="W3599" i="1"/>
  <c r="V3599" i="1"/>
  <c r="W3609" i="1"/>
  <c r="V3609" i="1"/>
  <c r="W3620" i="1"/>
  <c r="V3620" i="1"/>
  <c r="W3631" i="1"/>
  <c r="V3631" i="1"/>
  <c r="W3645" i="1"/>
  <c r="V3645" i="1"/>
  <c r="W3653" i="1"/>
  <c r="V3653" i="1"/>
  <c r="W3664" i="1"/>
  <c r="V3664" i="1"/>
  <c r="W3675" i="1"/>
  <c r="V3675" i="1"/>
  <c r="W3687" i="1"/>
  <c r="V3687" i="1"/>
  <c r="W3698" i="1"/>
  <c r="V3698" i="1"/>
  <c r="W3705" i="1"/>
  <c r="V3705" i="1"/>
  <c r="W3719" i="1"/>
  <c r="V3719" i="1"/>
  <c r="W3728" i="1"/>
  <c r="V3728" i="1"/>
  <c r="W3742" i="1"/>
  <c r="V3742" i="1"/>
  <c r="W3745" i="1"/>
  <c r="V3745" i="1"/>
  <c r="W3756" i="1"/>
  <c r="V3756" i="1"/>
  <c r="W3762" i="1"/>
  <c r="V3762" i="1"/>
  <c r="W3773" i="1"/>
  <c r="V3773" i="1"/>
  <c r="W3786" i="1"/>
  <c r="V3786" i="1"/>
  <c r="W3803" i="1"/>
  <c r="V3803" i="1"/>
  <c r="W3813" i="1"/>
  <c r="V3813" i="1"/>
  <c r="W3823" i="1"/>
  <c r="V3823" i="1"/>
  <c r="W3830" i="1"/>
  <c r="V3830" i="1"/>
  <c r="W3843" i="1"/>
  <c r="V3843" i="1"/>
  <c r="W3850" i="1"/>
  <c r="V3850" i="1"/>
  <c r="W3867" i="1"/>
  <c r="V3867" i="1"/>
  <c r="W3873" i="1"/>
  <c r="V3873" i="1"/>
  <c r="W3884" i="1"/>
  <c r="V3884" i="1"/>
  <c r="W3890" i="1"/>
  <c r="V3890" i="1"/>
  <c r="W3897" i="1"/>
  <c r="V3897" i="1"/>
  <c r="W3907" i="1"/>
  <c r="V3907" i="1"/>
  <c r="W3920" i="1"/>
  <c r="V3920" i="1"/>
  <c r="W3931" i="1"/>
  <c r="V3931" i="1"/>
  <c r="W3941" i="1"/>
  <c r="V3941" i="1"/>
  <c r="W3948" i="1"/>
  <c r="V3948" i="1"/>
  <c r="W3958" i="1"/>
  <c r="V3958" i="1"/>
  <c r="W3965" i="1"/>
  <c r="V3965" i="1"/>
  <c r="W3978" i="1"/>
  <c r="V3978" i="1"/>
  <c r="W3988" i="1"/>
  <c r="V3988" i="1"/>
  <c r="W4001" i="1"/>
  <c r="V4001" i="1"/>
  <c r="W4008" i="1"/>
  <c r="V4008" i="1"/>
  <c r="W4015" i="1"/>
  <c r="V4015" i="1"/>
  <c r="W4025" i="1"/>
  <c r="V4025" i="1"/>
  <c r="W4039" i="1"/>
  <c r="V4039" i="1"/>
  <c r="W4052" i="1"/>
  <c r="V4052" i="1"/>
  <c r="W4065" i="1"/>
  <c r="V4065" i="1"/>
  <c r="W4076" i="1"/>
  <c r="V4076" i="1"/>
  <c r="W4082" i="1"/>
  <c r="V4082" i="1"/>
  <c r="W4093" i="1"/>
  <c r="V4093" i="1"/>
  <c r="W4103" i="1"/>
  <c r="V4103" i="1"/>
  <c r="W4116" i="1"/>
  <c r="V4116" i="1"/>
  <c r="W4126" i="1"/>
  <c r="V4126" i="1"/>
  <c r="W4136" i="1"/>
  <c r="V4136" i="1"/>
  <c r="W4146" i="1"/>
  <c r="V4146" i="1"/>
  <c r="W4150" i="1"/>
  <c r="V4150" i="1"/>
  <c r="W4167" i="1"/>
  <c r="V4167" i="1"/>
  <c r="W4180" i="1"/>
  <c r="V4180" i="1"/>
  <c r="W4190" i="1"/>
  <c r="V4190" i="1"/>
  <c r="W4197" i="1"/>
  <c r="V4197" i="1"/>
  <c r="W4207" i="1"/>
  <c r="V4207" i="1"/>
  <c r="W4214" i="1"/>
  <c r="V4214" i="1"/>
  <c r="W4227" i="1"/>
  <c r="V4227" i="1"/>
  <c r="W4234" i="1"/>
  <c r="V4234" i="1"/>
  <c r="W4251" i="1"/>
  <c r="V4251" i="1"/>
  <c r="W4261" i="1"/>
  <c r="V4261" i="1"/>
  <c r="W4271" i="1"/>
  <c r="V4271" i="1"/>
  <c r="W4281" i="1"/>
  <c r="V4281" i="1"/>
  <c r="W4291" i="1"/>
  <c r="V4291" i="1"/>
  <c r="W4304" i="1"/>
  <c r="V4304" i="1"/>
  <c r="W4315" i="1"/>
  <c r="V4315" i="1"/>
  <c r="W4325" i="1"/>
  <c r="V4325" i="1"/>
  <c r="W4328" i="1"/>
  <c r="V4328" i="1"/>
  <c r="W4338" i="1"/>
  <c r="V4338" i="1"/>
  <c r="W4345" i="1"/>
  <c r="V4345" i="1"/>
  <c r="W4359" i="1"/>
  <c r="V4359" i="1"/>
  <c r="W4368" i="1"/>
  <c r="V4368" i="1"/>
  <c r="W4379" i="1"/>
  <c r="V4379" i="1"/>
  <c r="W4386" i="1"/>
  <c r="V4386" i="1"/>
  <c r="W4397" i="1"/>
  <c r="V4397" i="1"/>
  <c r="W4411" i="1"/>
  <c r="V4411" i="1"/>
  <c r="W4422" i="1"/>
  <c r="V4422" i="1"/>
  <c r="W4432" i="1"/>
  <c r="V4432" i="1"/>
  <c r="W4446" i="1"/>
  <c r="V4446" i="1"/>
  <c r="W4453" i="1"/>
  <c r="V4453" i="1"/>
  <c r="W4463" i="1"/>
  <c r="V4463" i="1"/>
  <c r="W4473" i="1"/>
  <c r="V4473" i="1"/>
  <c r="W4480" i="1"/>
  <c r="V4480" i="1"/>
  <c r="W4494" i="1"/>
  <c r="V4494" i="1"/>
  <c r="W4497" i="1"/>
  <c r="V4497" i="1"/>
  <c r="W4508" i="1"/>
  <c r="V4508" i="1"/>
  <c r="W4518" i="1"/>
  <c r="V4518" i="1"/>
  <c r="W4525" i="1"/>
  <c r="V4525" i="1"/>
  <c r="W4538" i="1"/>
  <c r="V4538" i="1"/>
  <c r="W4555" i="1"/>
  <c r="V4555" i="1"/>
  <c r="W4566" i="1"/>
  <c r="V4566" i="1"/>
  <c r="W4573" i="1"/>
  <c r="V4573" i="1"/>
  <c r="W4587" i="1"/>
  <c r="V4587" i="1"/>
  <c r="W4598" i="1"/>
  <c r="V4598" i="1"/>
  <c r="W4605" i="1"/>
  <c r="V4605" i="1"/>
  <c r="W4622" i="1"/>
  <c r="V4622" i="1"/>
  <c r="W4633" i="1"/>
  <c r="V4633" i="1"/>
  <c r="W4644" i="1"/>
  <c r="V4644" i="1"/>
  <c r="W4654" i="1"/>
  <c r="V4654" i="1"/>
  <c r="W4664" i="1"/>
  <c r="V4664" i="1"/>
  <c r="W4671" i="1"/>
  <c r="V4671" i="1"/>
  <c r="W4681" i="1"/>
  <c r="V4681" i="1"/>
  <c r="W4691" i="1"/>
  <c r="V4691" i="1"/>
  <c r="W4704" i="1"/>
  <c r="V4704" i="1"/>
  <c r="W4718" i="1"/>
  <c r="V4718" i="1"/>
  <c r="W4725" i="1"/>
  <c r="V4725" i="1"/>
  <c r="W4732" i="1"/>
  <c r="V4732" i="1"/>
  <c r="W4746" i="1"/>
  <c r="V4746" i="1"/>
  <c r="W4757" i="1"/>
  <c r="V4757" i="1"/>
  <c r="W4767" i="1"/>
  <c r="V4767" i="1"/>
  <c r="W4777" i="1"/>
  <c r="V4777" i="1"/>
  <c r="W4789" i="1"/>
  <c r="V4789" i="1"/>
  <c r="W4799" i="1"/>
  <c r="V4799" i="1"/>
  <c r="W4806" i="1"/>
  <c r="V4806" i="1"/>
  <c r="W4821" i="1"/>
  <c r="V4821" i="1"/>
  <c r="W4838" i="1"/>
  <c r="V4838" i="1"/>
  <c r="W4845" i="1"/>
  <c r="V4845" i="1"/>
  <c r="W4852" i="1"/>
  <c r="V4852" i="1"/>
  <c r="W4858" i="1"/>
  <c r="V4858" i="1"/>
  <c r="W4869" i="1"/>
  <c r="V4869" i="1"/>
  <c r="W4879" i="1"/>
  <c r="V4879" i="1"/>
  <c r="W4889" i="1"/>
  <c r="V4889" i="1"/>
  <c r="W4901" i="1"/>
  <c r="V4901" i="1"/>
  <c r="W4911" i="1"/>
  <c r="V4911" i="1"/>
  <c r="W4921" i="1"/>
  <c r="V4921" i="1"/>
  <c r="W4933" i="1"/>
  <c r="V4933" i="1"/>
  <c r="W4947" i="1"/>
  <c r="V4947" i="1"/>
  <c r="W4950" i="1"/>
  <c r="V4950" i="1"/>
  <c r="W4965" i="1"/>
  <c r="V4965" i="1"/>
  <c r="W4979" i="1"/>
  <c r="V4979" i="1"/>
  <c r="W4985" i="1"/>
  <c r="V4985" i="1"/>
  <c r="W4997" i="1"/>
  <c r="V4997" i="1"/>
  <c r="W5003" i="1"/>
  <c r="V5003" i="1"/>
  <c r="W5014" i="1"/>
  <c r="V5014" i="1"/>
  <c r="W5021" i="1"/>
  <c r="V5021" i="1"/>
  <c r="W5035" i="1"/>
  <c r="V5035" i="1"/>
  <c r="W5043" i="1"/>
  <c r="V5043" i="1"/>
  <c r="W5053" i="1"/>
  <c r="V5053" i="1"/>
  <c r="W5067" i="1"/>
  <c r="V5067" i="1"/>
  <c r="W5078" i="1"/>
  <c r="V5078" i="1"/>
  <c r="W5086" i="1"/>
  <c r="V5086" i="1"/>
  <c r="W5098" i="1"/>
  <c r="V5098" i="1"/>
  <c r="W5112" i="1"/>
  <c r="V5112" i="1"/>
  <c r="W5120" i="1"/>
  <c r="V5120" i="1"/>
  <c r="W5132" i="1"/>
  <c r="V5132" i="1"/>
  <c r="W5142" i="1"/>
  <c r="V5142" i="1"/>
  <c r="W5150" i="1"/>
  <c r="V5150" i="1"/>
  <c r="W5162" i="1"/>
  <c r="V5162" i="1"/>
  <c r="W5176" i="1"/>
  <c r="V5176" i="1"/>
  <c r="W5184" i="1"/>
  <c r="V5184" i="1"/>
  <c r="W5196" i="1"/>
  <c r="V5196" i="1"/>
  <c r="W5206" i="1"/>
  <c r="V5206" i="1"/>
  <c r="W5214" i="1"/>
  <c r="V5214" i="1"/>
  <c r="W5230" i="1"/>
  <c r="V5230" i="1"/>
  <c r="W5242" i="1"/>
  <c r="V5242" i="1"/>
  <c r="W5249" i="1"/>
  <c r="V5249" i="1"/>
  <c r="W5260" i="1"/>
  <c r="V5260" i="1"/>
  <c r="W5268" i="1"/>
  <c r="V5268" i="1"/>
  <c r="W5279" i="1"/>
  <c r="V5279" i="1"/>
  <c r="W5287" i="1"/>
  <c r="V5287" i="1"/>
  <c r="W5297" i="1"/>
  <c r="V5297" i="1"/>
  <c r="W5310" i="1"/>
  <c r="V5310" i="1"/>
  <c r="W5323" i="1"/>
  <c r="V5323" i="1"/>
  <c r="W5334" i="1"/>
  <c r="V5334" i="1"/>
  <c r="W5349" i="1"/>
  <c r="V5349" i="1"/>
  <c r="W5360" i="1"/>
  <c r="V5360" i="1"/>
  <c r="W5374" i="1"/>
  <c r="V5374" i="1"/>
  <c r="W5381" i="1"/>
  <c r="V5381" i="1"/>
  <c r="W5392" i="1"/>
  <c r="V5392" i="1"/>
  <c r="W5399" i="1"/>
  <c r="V5399" i="1"/>
  <c r="W5413" i="1"/>
  <c r="V5413" i="1"/>
  <c r="W5420" i="1"/>
  <c r="V5420" i="1"/>
  <c r="W5431" i="1"/>
  <c r="V5431" i="1"/>
  <c r="W5438" i="1"/>
  <c r="V5438" i="1"/>
  <c r="W5452" i="1"/>
  <c r="V5452" i="1"/>
  <c r="W5459" i="1"/>
  <c r="V5459" i="1"/>
  <c r="W5466" i="1"/>
  <c r="V5466" i="1"/>
  <c r="W5481" i="1"/>
  <c r="V5481" i="1"/>
  <c r="W5488" i="1"/>
  <c r="V5488" i="1"/>
  <c r="W5498" i="1"/>
  <c r="V5498" i="1"/>
  <c r="W5516" i="1"/>
  <c r="V5516" i="1"/>
  <c r="W5523" i="1"/>
  <c r="V5523" i="1"/>
  <c r="W5534" i="1"/>
  <c r="V5534" i="1"/>
  <c r="W5548" i="1"/>
  <c r="V5548" i="1"/>
  <c r="W5555" i="1"/>
  <c r="V5555" i="1"/>
  <c r="W5566" i="1"/>
  <c r="V5566" i="1"/>
  <c r="W5580" i="1"/>
  <c r="V5580" i="1"/>
  <c r="W5587" i="1"/>
  <c r="V5587" i="1"/>
  <c r="W5594" i="1"/>
  <c r="V5594" i="1"/>
  <c r="W5609" i="1"/>
  <c r="V5609" i="1"/>
  <c r="W5619" i="1"/>
  <c r="V5619" i="1"/>
  <c r="W5626" i="1"/>
  <c r="V5626" i="1"/>
  <c r="W5637" i="1"/>
  <c r="V5637" i="1"/>
  <c r="W5648" i="1"/>
  <c r="V5648" i="1"/>
  <c r="W5658" i="1"/>
  <c r="V5658" i="1"/>
  <c r="W5673" i="1"/>
  <c r="V5673" i="1"/>
  <c r="W5683" i="1"/>
  <c r="V5683" i="1"/>
  <c r="W5697" i="1"/>
  <c r="V5697" i="1"/>
  <c r="W5704" i="1"/>
  <c r="V5704" i="1"/>
  <c r="W5714" i="1"/>
  <c r="V5714" i="1"/>
  <c r="W5732" i="1"/>
  <c r="V5732" i="1"/>
  <c r="W5739" i="1"/>
  <c r="V5739" i="1"/>
  <c r="W5750" i="1"/>
  <c r="V5750" i="1"/>
  <c r="W5760" i="1"/>
  <c r="V5760" i="1"/>
  <c r="W5766" i="1"/>
  <c r="V5766" i="1"/>
  <c r="W5780" i="1"/>
  <c r="V5780" i="1"/>
  <c r="W5790" i="1"/>
  <c r="V5790" i="1"/>
  <c r="W5803" i="1"/>
  <c r="V5803" i="1"/>
  <c r="W5820" i="1"/>
  <c r="V5820" i="1"/>
  <c r="W5831" i="1"/>
  <c r="V5831" i="1"/>
  <c r="W5838" i="1"/>
  <c r="V5838" i="1"/>
  <c r="W5849" i="1"/>
  <c r="V5849" i="1"/>
  <c r="W5856" i="1"/>
  <c r="V5856" i="1"/>
  <c r="W5870" i="1"/>
  <c r="V5870" i="1"/>
  <c r="W5881" i="1"/>
  <c r="V5881" i="1"/>
  <c r="W5888" i="1"/>
  <c r="V5888" i="1"/>
  <c r="W5898" i="1"/>
  <c r="V5898" i="1"/>
  <c r="W5906" i="1"/>
  <c r="V5906" i="1"/>
  <c r="W5921" i="1"/>
  <c r="V5921" i="1"/>
  <c r="W5932" i="1"/>
  <c r="V5932" i="1"/>
  <c r="W5940" i="1"/>
  <c r="V5940" i="1"/>
  <c r="W5951" i="1"/>
  <c r="V5951" i="1"/>
  <c r="W5958" i="1"/>
  <c r="V5958" i="1"/>
  <c r="W5965" i="1"/>
  <c r="V5965" i="1"/>
  <c r="W5983" i="1"/>
  <c r="V5983" i="1"/>
  <c r="W5990" i="1"/>
  <c r="V5990" i="1"/>
  <c r="W6002" i="1"/>
  <c r="V6002" i="1"/>
  <c r="W6016" i="1"/>
  <c r="V6016" i="1"/>
  <c r="W6023" i="1"/>
  <c r="V6023" i="1"/>
  <c r="W6035" i="1"/>
  <c r="V6035" i="1"/>
  <c r="W6046" i="1"/>
  <c r="V6046" i="1"/>
  <c r="W6061" i="1"/>
  <c r="V6061" i="1"/>
  <c r="W6069" i="1"/>
  <c r="V6069" i="1"/>
  <c r="W6080" i="1"/>
  <c r="V6080" i="1"/>
  <c r="W6091" i="1"/>
  <c r="V6091" i="1"/>
  <c r="W6099" i="1"/>
  <c r="V6099" i="1"/>
  <c r="W6133" i="1"/>
  <c r="V6133" i="1"/>
  <c r="W6140" i="1"/>
  <c r="V6140" i="1"/>
  <c r="W6155" i="1"/>
  <c r="V6155" i="1"/>
  <c r="W6163" i="1"/>
  <c r="V6163" i="1"/>
  <c r="W6170" i="1"/>
  <c r="V6170" i="1"/>
  <c r="W6178" i="1"/>
  <c r="V6178" i="1"/>
  <c r="W6189" i="1"/>
  <c r="V6189" i="1"/>
  <c r="W6200" i="1"/>
  <c r="V6200" i="1"/>
  <c r="W6208" i="1"/>
  <c r="V6208" i="1"/>
  <c r="W6219" i="1"/>
  <c r="V6219" i="1"/>
  <c r="W6234" i="1"/>
  <c r="V6234" i="1"/>
  <c r="W6242" i="1"/>
  <c r="V6242" i="1"/>
  <c r="W6253" i="1"/>
  <c r="V6253" i="1"/>
  <c r="W6264" i="1"/>
  <c r="V6264" i="1"/>
  <c r="W6276" i="1"/>
  <c r="V6276" i="1"/>
  <c r="W6283" i="1"/>
  <c r="V6283" i="1"/>
  <c r="W6294" i="1"/>
  <c r="V6294" i="1"/>
  <c r="W6325" i="1"/>
  <c r="V6325" i="1"/>
  <c r="W6331" i="1"/>
  <c r="V6331" i="1"/>
  <c r="W6342" i="1"/>
  <c r="V6342" i="1"/>
  <c r="W6350" i="1"/>
  <c r="V6350" i="1"/>
  <c r="W6360" i="1"/>
  <c r="V6360" i="1"/>
  <c r="W6372" i="1"/>
  <c r="V6372" i="1"/>
  <c r="W6401" i="1"/>
  <c r="V6401" i="1"/>
  <c r="W6408" i="1"/>
  <c r="V6408" i="1"/>
  <c r="W6419" i="1"/>
  <c r="V6419" i="1"/>
  <c r="W6422" i="1"/>
  <c r="V6422" i="1"/>
  <c r="W6430" i="1"/>
  <c r="V6430" i="1"/>
  <c r="W6448" i="1"/>
  <c r="V6448" i="1"/>
  <c r="W6459" i="1"/>
  <c r="V6459" i="1"/>
  <c r="W6470" i="1"/>
  <c r="V6470" i="1"/>
  <c r="W6478" i="1"/>
  <c r="V6478" i="1"/>
  <c r="W6488" i="1"/>
  <c r="V6488" i="1"/>
  <c r="W6500" i="1"/>
  <c r="V6500" i="1"/>
  <c r="W6529" i="1"/>
  <c r="V6529" i="1"/>
  <c r="W6540" i="1"/>
  <c r="V6540" i="1"/>
  <c r="W6547" i="1"/>
  <c r="V6547" i="1"/>
  <c r="W6558" i="1"/>
  <c r="V6558" i="1"/>
  <c r="W6576" i="1"/>
  <c r="V6576" i="1"/>
  <c r="W6598" i="1"/>
  <c r="V6598" i="1"/>
  <c r="W6609" i="1"/>
  <c r="V6609" i="1"/>
  <c r="W6612" i="1"/>
  <c r="V6612" i="1"/>
  <c r="W6619" i="1"/>
  <c r="V6619" i="1"/>
  <c r="W6633" i="1"/>
  <c r="V6633" i="1"/>
  <c r="W6642" i="1"/>
  <c r="V6642" i="1"/>
  <c r="W6656" i="1"/>
  <c r="V6656" i="1"/>
  <c r="W6659" i="1"/>
  <c r="V6659" i="1"/>
  <c r="W6670" i="1"/>
  <c r="V6670" i="1"/>
  <c r="W6694" i="1"/>
  <c r="V6694" i="1"/>
  <c r="W6708" i="1"/>
  <c r="V6708" i="1"/>
  <c r="W6712" i="1"/>
  <c r="V6712" i="1"/>
  <c r="W6715" i="1"/>
  <c r="V6715" i="1"/>
  <c r="W6722" i="1"/>
  <c r="V6722" i="1"/>
  <c r="W6733" i="1"/>
  <c r="V6733" i="1"/>
  <c r="W6821" i="1"/>
  <c r="V6821" i="1"/>
  <c r="W6828" i="1"/>
  <c r="V6828" i="1"/>
  <c r="W6846" i="1"/>
  <c r="V6846" i="1"/>
  <c r="W6860" i="1"/>
  <c r="V6860" i="1"/>
  <c r="W6874" i="1"/>
  <c r="V6874" i="1"/>
  <c r="W6885" i="1"/>
  <c r="V6885" i="1"/>
  <c r="W6896" i="1"/>
  <c r="V6896" i="1"/>
  <c r="W6902" i="1"/>
  <c r="V6902" i="1"/>
  <c r="W6912" i="1"/>
  <c r="V6912" i="1"/>
  <c r="W6925" i="1"/>
  <c r="V6925" i="1"/>
  <c r="W6932" i="1"/>
  <c r="V6932" i="1"/>
  <c r="W6936" i="1"/>
  <c r="V6936" i="1"/>
  <c r="W6939" i="1"/>
  <c r="V6939" i="1"/>
  <c r="W6950" i="1"/>
  <c r="V6950" i="1"/>
  <c r="W6961" i="1"/>
  <c r="V6961" i="1"/>
  <c r="W6982" i="1"/>
  <c r="V6982" i="1"/>
  <c r="W6993" i="1"/>
  <c r="V6993" i="1"/>
  <c r="W7000" i="1"/>
  <c r="V7000" i="1"/>
  <c r="W7006" i="1"/>
  <c r="V7006" i="1"/>
  <c r="W7030" i="1"/>
  <c r="V7030" i="1"/>
  <c r="W7054" i="1"/>
  <c r="V7054" i="1"/>
  <c r="W7068" i="1"/>
  <c r="V7068" i="1"/>
  <c r="W7078" i="1"/>
  <c r="V7078" i="1"/>
  <c r="W7081" i="1"/>
  <c r="V7081" i="1"/>
  <c r="W7090" i="1"/>
  <c r="V7090" i="1"/>
  <c r="W7100" i="1"/>
  <c r="V7100" i="1"/>
  <c r="W7122" i="1"/>
  <c r="V7122" i="1"/>
  <c r="W7129" i="1"/>
  <c r="V7129" i="1"/>
  <c r="W7150" i="1"/>
  <c r="V7150" i="1"/>
  <c r="W7160" i="1"/>
  <c r="V7160" i="1"/>
  <c r="W7163" i="1"/>
  <c r="V7163" i="1"/>
  <c r="W7171" i="1"/>
  <c r="V7171" i="1"/>
  <c r="W7178" i="1"/>
  <c r="V7178" i="1"/>
  <c r="W7185" i="1"/>
  <c r="V7185" i="1"/>
  <c r="W7192" i="1"/>
  <c r="V7192" i="1"/>
  <c r="W7195" i="1"/>
  <c r="V7195" i="1"/>
  <c r="W7206" i="1"/>
  <c r="V7206" i="1"/>
  <c r="W7213" i="1"/>
  <c r="V7213" i="1"/>
  <c r="W7217" i="1"/>
  <c r="V7217" i="1"/>
  <c r="W7220" i="1"/>
  <c r="V7220" i="1"/>
  <c r="W7230" i="1"/>
  <c r="V7230" i="1"/>
  <c r="W7237" i="1"/>
  <c r="V7237" i="1"/>
  <c r="W7244" i="1"/>
  <c r="V7244" i="1"/>
  <c r="W7259" i="1"/>
  <c r="V7259" i="1"/>
  <c r="W7267" i="1"/>
  <c r="V7267" i="1"/>
  <c r="W7274" i="1"/>
  <c r="V7274" i="1"/>
  <c r="W7282" i="1"/>
  <c r="V7282" i="1"/>
  <c r="W7289" i="1"/>
  <c r="V7289" i="1"/>
  <c r="W7297" i="1"/>
  <c r="V7297" i="1"/>
  <c r="W7308" i="1"/>
  <c r="V7308" i="1"/>
  <c r="W7316" i="1"/>
  <c r="V7316" i="1"/>
  <c r="W7334" i="1"/>
  <c r="V7334" i="1"/>
  <c r="W7342" i="1"/>
  <c r="V7342" i="1"/>
  <c r="W7349" i="1"/>
  <c r="V7349" i="1"/>
  <c r="W7357" i="1"/>
  <c r="V7357" i="1"/>
  <c r="W7361" i="1"/>
  <c r="V7361" i="1"/>
  <c r="W7372" i="1"/>
  <c r="V7372" i="1"/>
  <c r="W7380" i="1"/>
  <c r="V7380" i="1"/>
  <c r="W7398" i="1"/>
  <c r="V7398" i="1"/>
  <c r="W7406" i="1"/>
  <c r="V7406" i="1"/>
  <c r="W7413" i="1"/>
  <c r="V7413" i="1"/>
  <c r="W7421" i="1"/>
  <c r="V7421" i="1"/>
  <c r="W7432" i="1"/>
  <c r="V7432" i="1"/>
  <c r="W7440" i="1"/>
  <c r="V7440" i="1"/>
  <c r="W7451" i="1"/>
  <c r="V7451" i="1"/>
  <c r="W7459" i="1"/>
  <c r="V7459" i="1"/>
  <c r="W7466" i="1"/>
  <c r="V7466" i="1"/>
  <c r="W7474" i="1"/>
  <c r="V7474" i="1"/>
  <c r="W7485" i="1"/>
  <c r="V7485" i="1"/>
  <c r="W7496" i="1"/>
  <c r="V7496" i="1"/>
  <c r="W7504" i="1"/>
  <c r="V7504" i="1"/>
  <c r="W7508" i="1"/>
  <c r="V7508" i="1"/>
  <c r="W7515" i="1"/>
  <c r="V7515" i="1"/>
  <c r="W7523" i="1"/>
  <c r="V7523" i="1"/>
  <c r="W7534" i="1"/>
  <c r="V7534" i="1"/>
  <c r="W7549" i="1"/>
  <c r="V7549" i="1"/>
  <c r="W7587" i="1"/>
  <c r="V7587" i="1"/>
  <c r="W7598" i="1"/>
  <c r="V7598" i="1"/>
  <c r="W7609" i="1"/>
  <c r="V7609" i="1"/>
  <c r="W7624" i="1"/>
  <c r="V7624" i="1"/>
  <c r="W4" i="1"/>
  <c r="V4" i="1"/>
  <c r="W7" i="1"/>
  <c r="V7" i="1"/>
  <c r="W22" i="1"/>
  <c r="V22" i="1"/>
  <c r="W59" i="1"/>
  <c r="V59" i="1"/>
  <c r="W86" i="1"/>
  <c r="V86" i="1"/>
  <c r="W112" i="1"/>
  <c r="V112" i="1"/>
  <c r="W123" i="1"/>
  <c r="V123" i="1"/>
  <c r="W135" i="1"/>
  <c r="V135" i="1"/>
  <c r="W144" i="1"/>
  <c r="V144" i="1"/>
  <c r="W161" i="1"/>
  <c r="V161" i="1"/>
  <c r="W167" i="1"/>
  <c r="V167" i="1"/>
  <c r="W176" i="1"/>
  <c r="V176" i="1"/>
  <c r="W187" i="1"/>
  <c r="V187" i="1"/>
  <c r="W196" i="1"/>
  <c r="V196" i="1"/>
  <c r="W199" i="1"/>
  <c r="V199" i="1"/>
  <c r="W208" i="1"/>
  <c r="V208" i="1"/>
  <c r="W246" i="1"/>
  <c r="V246" i="1"/>
  <c r="W257" i="1"/>
  <c r="V257" i="1"/>
  <c r="W263" i="1"/>
  <c r="V263" i="1"/>
  <c r="W278" i="1"/>
  <c r="V278" i="1"/>
  <c r="W283" i="1"/>
  <c r="V283" i="1"/>
  <c r="W295" i="1"/>
  <c r="V295" i="1"/>
  <c r="W304" i="1"/>
  <c r="V304" i="1"/>
  <c r="W321" i="1"/>
  <c r="V321" i="1"/>
  <c r="W347" i="1"/>
  <c r="V347" i="1"/>
  <c r="W365" i="1"/>
  <c r="V365" i="1"/>
  <c r="W385" i="1"/>
  <c r="V385" i="1"/>
  <c r="W388" i="1"/>
  <c r="V388" i="1"/>
  <c r="W397" i="1"/>
  <c r="V397" i="1"/>
  <c r="W411" i="1"/>
  <c r="V411" i="1"/>
  <c r="W423" i="1"/>
  <c r="V423" i="1"/>
  <c r="W432" i="1"/>
  <c r="V432" i="1"/>
  <c r="W443" i="1"/>
  <c r="V443" i="1"/>
  <c r="W452" i="1"/>
  <c r="V452" i="1"/>
  <c r="W458" i="1"/>
  <c r="V458" i="1"/>
  <c r="W470" i="1"/>
  <c r="V470" i="1"/>
  <c r="W475" i="1"/>
  <c r="V475" i="1"/>
  <c r="W507" i="1"/>
  <c r="V507" i="1"/>
  <c r="W516" i="1"/>
  <c r="V516" i="1"/>
  <c r="W522" i="1"/>
  <c r="V522" i="1"/>
  <c r="W539" i="1"/>
  <c r="V539" i="1"/>
  <c r="W548" i="1"/>
  <c r="V548" i="1"/>
  <c r="W554" i="1"/>
  <c r="V554" i="1"/>
  <c r="W566" i="1"/>
  <c r="V566" i="1"/>
  <c r="W615" i="1"/>
  <c r="V615" i="1"/>
  <c r="W624" i="1"/>
  <c r="V624" i="1"/>
  <c r="W635" i="1"/>
  <c r="V635" i="1"/>
  <c r="W644" i="1"/>
  <c r="V644" i="1"/>
  <c r="W656" i="1"/>
  <c r="V656" i="1"/>
  <c r="W667" i="1"/>
  <c r="V667" i="1"/>
  <c r="W676" i="1"/>
  <c r="V676" i="1"/>
  <c r="W682" i="1"/>
  <c r="V682" i="1"/>
  <c r="W746" i="1"/>
  <c r="V746" i="1"/>
  <c r="W807" i="1"/>
  <c r="V807" i="1"/>
  <c r="W816" i="1"/>
  <c r="V816" i="1"/>
  <c r="W822" i="1"/>
  <c r="V822" i="1"/>
  <c r="W836" i="1"/>
  <c r="V836" i="1"/>
  <c r="W848" i="1"/>
  <c r="V848" i="1"/>
  <c r="W871" i="1"/>
  <c r="V871" i="1"/>
  <c r="W880" i="1"/>
  <c r="V880" i="1"/>
  <c r="W891" i="1"/>
  <c r="V891" i="1"/>
  <c r="W923" i="1"/>
  <c r="V923" i="1"/>
  <c r="W955" i="1"/>
  <c r="V955" i="1"/>
  <c r="W964" i="1"/>
  <c r="V964" i="1"/>
  <c r="W970" i="1"/>
  <c r="V970" i="1"/>
  <c r="W999" i="1"/>
  <c r="V999" i="1"/>
  <c r="W1002" i="1"/>
  <c r="V1002" i="1"/>
  <c r="W1014" i="1"/>
  <c r="V1014" i="1"/>
  <c r="W1019" i="1"/>
  <c r="V1019" i="1"/>
  <c r="W1028" i="1"/>
  <c r="V1028" i="1"/>
  <c r="W1034" i="1"/>
  <c r="V1034" i="1"/>
  <c r="W1063" i="1"/>
  <c r="V1063" i="1"/>
  <c r="W1072" i="1"/>
  <c r="V1072" i="1"/>
  <c r="W1092" i="1"/>
  <c r="V1092" i="1"/>
  <c r="W1095" i="1"/>
  <c r="V1095" i="1"/>
  <c r="W1098" i="1"/>
  <c r="V1098" i="1"/>
  <c r="W1104" i="1"/>
  <c r="V1104" i="1"/>
  <c r="W1110" i="1"/>
  <c r="V1110" i="1"/>
  <c r="W1115" i="1"/>
  <c r="V1115" i="1"/>
  <c r="W1124" i="1"/>
  <c r="V1124" i="1"/>
  <c r="W1127" i="1"/>
  <c r="V1127" i="1"/>
  <c r="W1130" i="1"/>
  <c r="V1130" i="1"/>
  <c r="W1136" i="1"/>
  <c r="V1136" i="1"/>
  <c r="W1142" i="1"/>
  <c r="V1142" i="1"/>
  <c r="W1147" i="1"/>
  <c r="V1147" i="1"/>
  <c r="W1156" i="1"/>
  <c r="V1156" i="1"/>
  <c r="W1159" i="1"/>
  <c r="V1159" i="1"/>
  <c r="W1162" i="1"/>
  <c r="V1162" i="1"/>
  <c r="W1174" i="1"/>
  <c r="V1174" i="1"/>
  <c r="W1179" i="1"/>
  <c r="V1179" i="1"/>
  <c r="W1188" i="1"/>
  <c r="V1188" i="1"/>
  <c r="W1191" i="1"/>
  <c r="V1191" i="1"/>
  <c r="W1194" i="1"/>
  <c r="V1194" i="1"/>
  <c r="W1200" i="1"/>
  <c r="V1200" i="1"/>
  <c r="W1206" i="1"/>
  <c r="V1206" i="1"/>
  <c r="W1211" i="1"/>
  <c r="V1211" i="1"/>
  <c r="W1220" i="1"/>
  <c r="V1220" i="1"/>
  <c r="W1223" i="1"/>
  <c r="V1223" i="1"/>
  <c r="W1226" i="1"/>
  <c r="V1226" i="1"/>
  <c r="W1232" i="1"/>
  <c r="V1232" i="1"/>
  <c r="W1238" i="1"/>
  <c r="V1238" i="1"/>
  <c r="W1243" i="1"/>
  <c r="V1243" i="1"/>
  <c r="W1252" i="1"/>
  <c r="V1252" i="1"/>
  <c r="W1255" i="1"/>
  <c r="V1255" i="1"/>
  <c r="W1258" i="1"/>
  <c r="V1258" i="1"/>
  <c r="W1264" i="1"/>
  <c r="V1264" i="1"/>
  <c r="W1270" i="1"/>
  <c r="V1270" i="1"/>
  <c r="W1275" i="1"/>
  <c r="V1275" i="1"/>
  <c r="W1284" i="1"/>
  <c r="V1284" i="1"/>
  <c r="W1287" i="1"/>
  <c r="V1287" i="1"/>
  <c r="W1290" i="1"/>
  <c r="V1290" i="1"/>
  <c r="W1296" i="1"/>
  <c r="V1296" i="1"/>
  <c r="W1302" i="1"/>
  <c r="V1302" i="1"/>
  <c r="W1307" i="1"/>
  <c r="V1307" i="1"/>
  <c r="W1316" i="1"/>
  <c r="V1316" i="1"/>
  <c r="W1319" i="1"/>
  <c r="V1319" i="1"/>
  <c r="W1322" i="1"/>
  <c r="V1322" i="1"/>
  <c r="W1328" i="1"/>
  <c r="V1328" i="1"/>
  <c r="W1334" i="1"/>
  <c r="V1334" i="1"/>
  <c r="W1339" i="1"/>
  <c r="V1339" i="1"/>
  <c r="W1348" i="1"/>
  <c r="V1348" i="1"/>
  <c r="W1351" i="1"/>
  <c r="V1351" i="1"/>
  <c r="W1354" i="1"/>
  <c r="V1354" i="1"/>
  <c r="W1360" i="1"/>
  <c r="V1360" i="1"/>
  <c r="W1366" i="1"/>
  <c r="V1366" i="1"/>
  <c r="W1371" i="1"/>
  <c r="V1371" i="1"/>
  <c r="W1380" i="1"/>
  <c r="V1380" i="1"/>
  <c r="W1383" i="1"/>
  <c r="V1383" i="1"/>
  <c r="W1386" i="1"/>
  <c r="V1386" i="1"/>
  <c r="W1392" i="1"/>
  <c r="V1392" i="1"/>
  <c r="W1398" i="1"/>
  <c r="V1398" i="1"/>
  <c r="W1403" i="1"/>
  <c r="V1403" i="1"/>
  <c r="W1412" i="1"/>
  <c r="V1412" i="1"/>
  <c r="W1415" i="1"/>
  <c r="V1415" i="1"/>
  <c r="W1418" i="1"/>
  <c r="V1418" i="1"/>
  <c r="W1424" i="1"/>
  <c r="V1424" i="1"/>
  <c r="W1430" i="1"/>
  <c r="V1430" i="1"/>
  <c r="W1435" i="1"/>
  <c r="V1435" i="1"/>
  <c r="W1444" i="1"/>
  <c r="V1444" i="1"/>
  <c r="W1447" i="1"/>
  <c r="V1447" i="1"/>
  <c r="W1450" i="1"/>
  <c r="V1450" i="1"/>
  <c r="W1456" i="1"/>
  <c r="V1456" i="1"/>
  <c r="W1462" i="1"/>
  <c r="V1462" i="1"/>
  <c r="W1467" i="1"/>
  <c r="V1467" i="1"/>
  <c r="W1476" i="1"/>
  <c r="V1476" i="1"/>
  <c r="W1479" i="1"/>
  <c r="V1479" i="1"/>
  <c r="W1482" i="1"/>
  <c r="V1482" i="1"/>
  <c r="W1488" i="1"/>
  <c r="V1488" i="1"/>
  <c r="W1494" i="1"/>
  <c r="V1494" i="1"/>
  <c r="W1499" i="1"/>
  <c r="V1499" i="1"/>
  <c r="W1508" i="1"/>
  <c r="V1508" i="1"/>
  <c r="W1511" i="1"/>
  <c r="V1511" i="1"/>
  <c r="W1514" i="1"/>
  <c r="V1514" i="1"/>
  <c r="W1520" i="1"/>
  <c r="V1520" i="1"/>
  <c r="W1526" i="1"/>
  <c r="V1526" i="1"/>
  <c r="W1531" i="1"/>
  <c r="V1531" i="1"/>
  <c r="W1540" i="1"/>
  <c r="V1540" i="1"/>
  <c r="W1543" i="1"/>
  <c r="V1543" i="1"/>
  <c r="W1546" i="1"/>
  <c r="V1546" i="1"/>
  <c r="W1552" i="1"/>
  <c r="V1552" i="1"/>
  <c r="W1558" i="1"/>
  <c r="V1558" i="1"/>
  <c r="W1563" i="1"/>
  <c r="V1563" i="1"/>
  <c r="W1572" i="1"/>
  <c r="V1572" i="1"/>
  <c r="W1575" i="1"/>
  <c r="V1575" i="1"/>
  <c r="W1578" i="1"/>
  <c r="V1578" i="1"/>
  <c r="W1584" i="1"/>
  <c r="V1584" i="1"/>
  <c r="W1590" i="1"/>
  <c r="V1590" i="1"/>
  <c r="W1595" i="1"/>
  <c r="V1595" i="1"/>
  <c r="W1604" i="1"/>
  <c r="V1604" i="1"/>
  <c r="W1607" i="1"/>
  <c r="V1607" i="1"/>
  <c r="W1610" i="1"/>
  <c r="V1610" i="1"/>
  <c r="W1616" i="1"/>
  <c r="V1616" i="1"/>
  <c r="W1622" i="1"/>
  <c r="V1622" i="1"/>
  <c r="W1627" i="1"/>
  <c r="V1627" i="1"/>
  <c r="W1636" i="1"/>
  <c r="V1636" i="1"/>
  <c r="W1639" i="1"/>
  <c r="V1639" i="1"/>
  <c r="W1642" i="1"/>
  <c r="V1642" i="1"/>
  <c r="W1648" i="1"/>
  <c r="V1648" i="1"/>
  <c r="W1654" i="1"/>
  <c r="V1654" i="1"/>
  <c r="W1659" i="1"/>
  <c r="V1659" i="1"/>
  <c r="W1665" i="1"/>
  <c r="V1665" i="1"/>
  <c r="W1668" i="1"/>
  <c r="V1668" i="1"/>
  <c r="W1671" i="1"/>
  <c r="V1671" i="1"/>
  <c r="W1674" i="1"/>
  <c r="V1674" i="1"/>
  <c r="W1677" i="1"/>
  <c r="V1677" i="1"/>
  <c r="W1680" i="1"/>
  <c r="V1680" i="1"/>
  <c r="W1686" i="1"/>
  <c r="V1686" i="1"/>
  <c r="W1691" i="1"/>
  <c r="V1691" i="1"/>
  <c r="W1697" i="1"/>
  <c r="V1697" i="1"/>
  <c r="W1700" i="1"/>
  <c r="V1700" i="1"/>
  <c r="W1703" i="1"/>
  <c r="V1703" i="1"/>
  <c r="W1706" i="1"/>
  <c r="V1706" i="1"/>
  <c r="W1709" i="1"/>
  <c r="V1709" i="1"/>
  <c r="W1712" i="1"/>
  <c r="V1712" i="1"/>
  <c r="W1718" i="1"/>
  <c r="V1718" i="1"/>
  <c r="W1723" i="1"/>
  <c r="V1723" i="1"/>
  <c r="W1729" i="1"/>
  <c r="V1729" i="1"/>
  <c r="W1732" i="1"/>
  <c r="V1732" i="1"/>
  <c r="W1735" i="1"/>
  <c r="V1735" i="1"/>
  <c r="W1738" i="1"/>
  <c r="V1738" i="1"/>
  <c r="W1741" i="1"/>
  <c r="V1741" i="1"/>
  <c r="W1744" i="1"/>
  <c r="V1744" i="1"/>
  <c r="W1750" i="1"/>
  <c r="V1750" i="1"/>
  <c r="W1755" i="1"/>
  <c r="V1755" i="1"/>
  <c r="W1761" i="1"/>
  <c r="V1761" i="1"/>
  <c r="W1764" i="1"/>
  <c r="V1764" i="1"/>
  <c r="W1767" i="1"/>
  <c r="V1767" i="1"/>
  <c r="W1770" i="1"/>
  <c r="V1770" i="1"/>
  <c r="W1773" i="1"/>
  <c r="V1773" i="1"/>
  <c r="W1776" i="1"/>
  <c r="V1776" i="1"/>
  <c r="W1782" i="1"/>
  <c r="V1782" i="1"/>
  <c r="W1787" i="1"/>
  <c r="V1787" i="1"/>
  <c r="W1793" i="1"/>
  <c r="V1793" i="1"/>
  <c r="W1796" i="1"/>
  <c r="V1796" i="1"/>
  <c r="W1799" i="1"/>
  <c r="V1799" i="1"/>
  <c r="W1802" i="1"/>
  <c r="V1802" i="1"/>
  <c r="W1805" i="1"/>
  <c r="V1805" i="1"/>
  <c r="W1808" i="1"/>
  <c r="V1808" i="1"/>
  <c r="W1814" i="1"/>
  <c r="V1814" i="1"/>
  <c r="W1819" i="1"/>
  <c r="V1819" i="1"/>
  <c r="W1825" i="1"/>
  <c r="V1825" i="1"/>
  <c r="W1828" i="1"/>
  <c r="V1828" i="1"/>
  <c r="W1831" i="1"/>
  <c r="V1831" i="1"/>
  <c r="W1834" i="1"/>
  <c r="V1834" i="1"/>
  <c r="W1837" i="1"/>
  <c r="V1837" i="1"/>
  <c r="W1840" i="1"/>
  <c r="V1840" i="1"/>
  <c r="W1846" i="1"/>
  <c r="V1846" i="1"/>
  <c r="W1851" i="1"/>
  <c r="V1851" i="1"/>
  <c r="W1857" i="1"/>
  <c r="V1857" i="1"/>
  <c r="W1860" i="1"/>
  <c r="V1860" i="1"/>
  <c r="W1863" i="1"/>
  <c r="V1863" i="1"/>
  <c r="W1866" i="1"/>
  <c r="V1866" i="1"/>
  <c r="W1869" i="1"/>
  <c r="V1869" i="1"/>
  <c r="W1872" i="1"/>
  <c r="V1872" i="1"/>
  <c r="W1878" i="1"/>
  <c r="V1878" i="1"/>
  <c r="W1883" i="1"/>
  <c r="V1883" i="1"/>
  <c r="W1889" i="1"/>
  <c r="V1889" i="1"/>
  <c r="W1892" i="1"/>
  <c r="V1892" i="1"/>
  <c r="W1895" i="1"/>
  <c r="V1895" i="1"/>
  <c r="W1898" i="1"/>
  <c r="V1898" i="1"/>
  <c r="W1901" i="1"/>
  <c r="V1901" i="1"/>
  <c r="W1904" i="1"/>
  <c r="V1904" i="1"/>
  <c r="W1910" i="1"/>
  <c r="V1910" i="1"/>
  <c r="W1915" i="1"/>
  <c r="V1915" i="1"/>
  <c r="W1921" i="1"/>
  <c r="V1921" i="1"/>
  <c r="W1924" i="1"/>
  <c r="V1924" i="1"/>
  <c r="W1927" i="1"/>
  <c r="V1927" i="1"/>
  <c r="W1934" i="1"/>
  <c r="V1934" i="1"/>
  <c r="W1937" i="1"/>
  <c r="V1937" i="1"/>
  <c r="W1940" i="1"/>
  <c r="V1940" i="1"/>
  <c r="W1943" i="1"/>
  <c r="V1943" i="1"/>
  <c r="W1950" i="1"/>
  <c r="V1950" i="1"/>
  <c r="W1953" i="1"/>
  <c r="V1953" i="1"/>
  <c r="W1956" i="1"/>
  <c r="V1956" i="1"/>
  <c r="W1959" i="1"/>
  <c r="V1959" i="1"/>
  <c r="W1966" i="1"/>
  <c r="V1966" i="1"/>
  <c r="W1969" i="1"/>
  <c r="V1969" i="1"/>
  <c r="W1972" i="1"/>
  <c r="V1972" i="1"/>
  <c r="W1975" i="1"/>
  <c r="V1975" i="1"/>
  <c r="W1982" i="1"/>
  <c r="V1982" i="1"/>
  <c r="W1985" i="1"/>
  <c r="V1985" i="1"/>
  <c r="W1988" i="1"/>
  <c r="V1988" i="1"/>
  <c r="W1991" i="1"/>
  <c r="V1991" i="1"/>
  <c r="W1998" i="1"/>
  <c r="V1998" i="1"/>
  <c r="W2001" i="1"/>
  <c r="V2001" i="1"/>
  <c r="W2004" i="1"/>
  <c r="V2004" i="1"/>
  <c r="W2007" i="1"/>
  <c r="V2007" i="1"/>
  <c r="W2014" i="1"/>
  <c r="V2014" i="1"/>
  <c r="W2017" i="1"/>
  <c r="V2017" i="1"/>
  <c r="W2020" i="1"/>
  <c r="V2020" i="1"/>
  <c r="W2023" i="1"/>
  <c r="V2023" i="1"/>
  <c r="W2030" i="1"/>
  <c r="V2030" i="1"/>
  <c r="W2033" i="1"/>
  <c r="V2033" i="1"/>
  <c r="W2036" i="1"/>
  <c r="V2036" i="1"/>
  <c r="W2039" i="1"/>
  <c r="V2039" i="1"/>
  <c r="W2046" i="1"/>
  <c r="V2046" i="1"/>
  <c r="W2049" i="1"/>
  <c r="V2049" i="1"/>
  <c r="W2053" i="1"/>
  <c r="V2053" i="1"/>
  <c r="W2057" i="1"/>
  <c r="V2057" i="1"/>
  <c r="W2061" i="1"/>
  <c r="V2061" i="1"/>
  <c r="W2064" i="1"/>
  <c r="V2064" i="1"/>
  <c r="W2068" i="1"/>
  <c r="V2068" i="1"/>
  <c r="W2072" i="1"/>
  <c r="V2072" i="1"/>
  <c r="W2076" i="1"/>
  <c r="V2076" i="1"/>
  <c r="W2079" i="1"/>
  <c r="V2079" i="1"/>
  <c r="W2083" i="1"/>
  <c r="V2083" i="1"/>
  <c r="W2087" i="1"/>
  <c r="V2087" i="1"/>
  <c r="W2091" i="1"/>
  <c r="V2091" i="1"/>
  <c r="W2094" i="1"/>
  <c r="V2094" i="1"/>
  <c r="W2098" i="1"/>
  <c r="V2098" i="1"/>
  <c r="W2102" i="1"/>
  <c r="V2102" i="1"/>
  <c r="W2106" i="1"/>
  <c r="V2106" i="1"/>
  <c r="W2113" i="1"/>
  <c r="V2113" i="1"/>
  <c r="W2117" i="1"/>
  <c r="V2117" i="1"/>
  <c r="W2121" i="1"/>
  <c r="V2121" i="1"/>
  <c r="W2125" i="1"/>
  <c r="V2125" i="1"/>
  <c r="W2128" i="1"/>
  <c r="V2128" i="1"/>
  <c r="W2132" i="1"/>
  <c r="V2132" i="1"/>
  <c r="W2136" i="1"/>
  <c r="V2136" i="1"/>
  <c r="W2140" i="1"/>
  <c r="V2140" i="1"/>
  <c r="W2143" i="1"/>
  <c r="V2143" i="1"/>
  <c r="W2147" i="1"/>
  <c r="V2147" i="1"/>
  <c r="W2151" i="1"/>
  <c r="V2151" i="1"/>
  <c r="W2155" i="1"/>
  <c r="V2155" i="1"/>
  <c r="W2158" i="1"/>
  <c r="V2158" i="1"/>
  <c r="W2162" i="1"/>
  <c r="V2162" i="1"/>
  <c r="W2166" i="1"/>
  <c r="V2166" i="1"/>
  <c r="W2170" i="1"/>
  <c r="V2170" i="1"/>
  <c r="W2177" i="1"/>
  <c r="V2177" i="1"/>
  <c r="W2181" i="1"/>
  <c r="V2181" i="1"/>
  <c r="W2185" i="1"/>
  <c r="V2185" i="1"/>
  <c r="W2189" i="1"/>
  <c r="V2189" i="1"/>
  <c r="W2192" i="1"/>
  <c r="V2192" i="1"/>
  <c r="W2196" i="1"/>
  <c r="V2196" i="1"/>
  <c r="W2200" i="1"/>
  <c r="V2200" i="1"/>
  <c r="W2204" i="1"/>
  <c r="V2204" i="1"/>
  <c r="W2207" i="1"/>
  <c r="V2207" i="1"/>
  <c r="W2211" i="1"/>
  <c r="V2211" i="1"/>
  <c r="W2215" i="1"/>
  <c r="V2215" i="1"/>
  <c r="W2219" i="1"/>
  <c r="V2219" i="1"/>
  <c r="W2222" i="1"/>
  <c r="V2222" i="1"/>
  <c r="W2226" i="1"/>
  <c r="V2226" i="1"/>
  <c r="W2230" i="1"/>
  <c r="V2230" i="1"/>
  <c r="W2234" i="1"/>
  <c r="V2234" i="1"/>
  <c r="W2241" i="1"/>
  <c r="V2241" i="1"/>
  <c r="W2245" i="1"/>
  <c r="V2245" i="1"/>
  <c r="W2249" i="1"/>
  <c r="V2249" i="1"/>
  <c r="W2253" i="1"/>
  <c r="V2253" i="1"/>
  <c r="W2256" i="1"/>
  <c r="V2256" i="1"/>
  <c r="W2260" i="1"/>
  <c r="V2260" i="1"/>
  <c r="W2264" i="1"/>
  <c r="V2264" i="1"/>
  <c r="W2268" i="1"/>
  <c r="V2268" i="1"/>
  <c r="W2271" i="1"/>
  <c r="V2271" i="1"/>
  <c r="W2275" i="1"/>
  <c r="V2275" i="1"/>
  <c r="W2279" i="1"/>
  <c r="V2279" i="1"/>
  <c r="W2283" i="1"/>
  <c r="V2283" i="1"/>
  <c r="W2286" i="1"/>
  <c r="V2286" i="1"/>
  <c r="W2290" i="1"/>
  <c r="V2290" i="1"/>
  <c r="W2294" i="1"/>
  <c r="V2294" i="1"/>
  <c r="W2298" i="1"/>
  <c r="V2298" i="1"/>
  <c r="W2305" i="1"/>
  <c r="V2305" i="1"/>
  <c r="W2309" i="1"/>
  <c r="V2309" i="1"/>
  <c r="W2313" i="1"/>
  <c r="V2313" i="1"/>
  <c r="W2317" i="1"/>
  <c r="V2317" i="1"/>
  <c r="W2320" i="1"/>
  <c r="V2320" i="1"/>
  <c r="W2324" i="1"/>
  <c r="V2324" i="1"/>
  <c r="W2328" i="1"/>
  <c r="V2328" i="1"/>
  <c r="W2332" i="1"/>
  <c r="V2332" i="1"/>
  <c r="W2335" i="1"/>
  <c r="V2335" i="1"/>
  <c r="W2339" i="1"/>
  <c r="V2339" i="1"/>
  <c r="W2343" i="1"/>
  <c r="V2343" i="1"/>
  <c r="W2347" i="1"/>
  <c r="V2347" i="1"/>
  <c r="W2350" i="1"/>
  <c r="V2350" i="1"/>
  <c r="W2354" i="1"/>
  <c r="V2354" i="1"/>
  <c r="W2358" i="1"/>
  <c r="V2358" i="1"/>
  <c r="W2362" i="1"/>
  <c r="V2362" i="1"/>
  <c r="W2369" i="1"/>
  <c r="V2369" i="1"/>
  <c r="W2373" i="1"/>
  <c r="V2373" i="1"/>
  <c r="W2377" i="1"/>
  <c r="V2377" i="1"/>
  <c r="W2381" i="1"/>
  <c r="V2381" i="1"/>
  <c r="W2384" i="1"/>
  <c r="V2384" i="1"/>
  <c r="W2388" i="1"/>
  <c r="V2388" i="1"/>
  <c r="W2392" i="1"/>
  <c r="V2392" i="1"/>
  <c r="W2396" i="1"/>
  <c r="V2396" i="1"/>
  <c r="W2399" i="1"/>
  <c r="V2399" i="1"/>
  <c r="W2403" i="1"/>
  <c r="V2403" i="1"/>
  <c r="W2407" i="1"/>
  <c r="V2407" i="1"/>
  <c r="W2411" i="1"/>
  <c r="V2411" i="1"/>
  <c r="W2415" i="1"/>
  <c r="V2415" i="1"/>
  <c r="W2419" i="1"/>
  <c r="V2419" i="1"/>
  <c r="W2423" i="1"/>
  <c r="V2423" i="1"/>
  <c r="W2427" i="1"/>
  <c r="V2427" i="1"/>
  <c r="W2430" i="1"/>
  <c r="V2430" i="1"/>
  <c r="W2434" i="1"/>
  <c r="V2434" i="1"/>
  <c r="W2438" i="1"/>
  <c r="V2438" i="1"/>
  <c r="W2442" i="1"/>
  <c r="V2442" i="1"/>
  <c r="W2446" i="1"/>
  <c r="V2446" i="1"/>
  <c r="W2450" i="1"/>
  <c r="V2450" i="1"/>
  <c r="W2454" i="1"/>
  <c r="V2454" i="1"/>
  <c r="W2458" i="1"/>
  <c r="V2458" i="1"/>
  <c r="W2465" i="1"/>
  <c r="V2465" i="1"/>
  <c r="W2469" i="1"/>
  <c r="V2469" i="1"/>
  <c r="W2473" i="1"/>
  <c r="V2473" i="1"/>
  <c r="W2477" i="1"/>
  <c r="V2477" i="1"/>
  <c r="W2481" i="1"/>
  <c r="V2481" i="1"/>
  <c r="W2485" i="1"/>
  <c r="V2485" i="1"/>
  <c r="W2489" i="1"/>
  <c r="V2489" i="1"/>
  <c r="W2493" i="1"/>
  <c r="V2493" i="1"/>
  <c r="W2496" i="1"/>
  <c r="V2496" i="1"/>
  <c r="W2500" i="1"/>
  <c r="V2500" i="1"/>
  <c r="W2504" i="1"/>
  <c r="V2504" i="1"/>
  <c r="W2508" i="1"/>
  <c r="V2508" i="1"/>
  <c r="W2511" i="1"/>
  <c r="V2511" i="1"/>
  <c r="W2515" i="1"/>
  <c r="V2515" i="1"/>
  <c r="W2519" i="1"/>
  <c r="V2519" i="1"/>
  <c r="W2523" i="1"/>
  <c r="V2523" i="1"/>
  <c r="W2526" i="1"/>
  <c r="V2526" i="1"/>
  <c r="W2530" i="1"/>
  <c r="V2530" i="1"/>
  <c r="W2534" i="1"/>
  <c r="V2534" i="1"/>
  <c r="W2538" i="1"/>
  <c r="V2538" i="1"/>
  <c r="W2542" i="1"/>
  <c r="V2542" i="1"/>
  <c r="W2546" i="1"/>
  <c r="V2546" i="1"/>
  <c r="W2550" i="1"/>
  <c r="V2550" i="1"/>
  <c r="W2554" i="1"/>
  <c r="V2554" i="1"/>
  <c r="W2561" i="1"/>
  <c r="V2561" i="1"/>
  <c r="W2565" i="1"/>
  <c r="V2565" i="1"/>
  <c r="W2569" i="1"/>
  <c r="V2569" i="1"/>
  <c r="W2573" i="1"/>
  <c r="V2573" i="1"/>
  <c r="W2577" i="1"/>
  <c r="V2577" i="1"/>
  <c r="W2581" i="1"/>
  <c r="V2581" i="1"/>
  <c r="W2585" i="1"/>
  <c r="V2585" i="1"/>
  <c r="W2589" i="1"/>
  <c r="V2589" i="1"/>
  <c r="W2592" i="1"/>
  <c r="V2592" i="1"/>
  <c r="W2596" i="1"/>
  <c r="V2596" i="1"/>
  <c r="W2600" i="1"/>
  <c r="V2600" i="1"/>
  <c r="W2604" i="1"/>
  <c r="V2604" i="1"/>
  <c r="W2608" i="1"/>
  <c r="V2608" i="1"/>
  <c r="W2612" i="1"/>
  <c r="V2612" i="1"/>
  <c r="W2616" i="1"/>
  <c r="V2616" i="1"/>
  <c r="W2620" i="1"/>
  <c r="V2620" i="1"/>
  <c r="W2623" i="1"/>
  <c r="V2623" i="1"/>
  <c r="W2627" i="1"/>
  <c r="V2627" i="1"/>
  <c r="W2631" i="1"/>
  <c r="V2631" i="1"/>
  <c r="W2635" i="1"/>
  <c r="V2635" i="1"/>
  <c r="W2639" i="1"/>
  <c r="V2639" i="1"/>
  <c r="W2643" i="1"/>
  <c r="V2643" i="1"/>
  <c r="W2647" i="1"/>
  <c r="V2647" i="1"/>
  <c r="W2651" i="1"/>
  <c r="V2651" i="1"/>
  <c r="W2654" i="1"/>
  <c r="V2654" i="1"/>
  <c r="W2658" i="1"/>
  <c r="V2658" i="1"/>
  <c r="W2662" i="1"/>
  <c r="V2662" i="1"/>
  <c r="W2666" i="1"/>
  <c r="V2666" i="1"/>
  <c r="W2670" i="1"/>
  <c r="V2670" i="1"/>
  <c r="W2674" i="1"/>
  <c r="V2674" i="1"/>
  <c r="W2678" i="1"/>
  <c r="V2678" i="1"/>
  <c r="W2682" i="1"/>
  <c r="V2682" i="1"/>
  <c r="W2689" i="1"/>
  <c r="V2689" i="1"/>
  <c r="W2693" i="1"/>
  <c r="V2693" i="1"/>
  <c r="W2697" i="1"/>
  <c r="V2697" i="1"/>
  <c r="W2701" i="1"/>
  <c r="V2701" i="1"/>
  <c r="W2705" i="1"/>
  <c r="V2705" i="1"/>
  <c r="W2709" i="1"/>
  <c r="V2709" i="1"/>
  <c r="W2713" i="1"/>
  <c r="V2713" i="1"/>
  <c r="W2717" i="1"/>
  <c r="V2717" i="1"/>
  <c r="W2720" i="1"/>
  <c r="V2720" i="1"/>
  <c r="W2724" i="1"/>
  <c r="V2724" i="1"/>
  <c r="W2728" i="1"/>
  <c r="V2728" i="1"/>
  <c r="W2732" i="1"/>
  <c r="V2732" i="1"/>
  <c r="W2736" i="1"/>
  <c r="V2736" i="1"/>
  <c r="W2740" i="1"/>
  <c r="V2740" i="1"/>
  <c r="W2744" i="1"/>
  <c r="V2744" i="1"/>
  <c r="W2748" i="1"/>
  <c r="V2748" i="1"/>
  <c r="W2751" i="1"/>
  <c r="V2751" i="1"/>
  <c r="W2755" i="1"/>
  <c r="V2755" i="1"/>
  <c r="W2759" i="1"/>
  <c r="V2759" i="1"/>
  <c r="W2763" i="1"/>
  <c r="V2763" i="1"/>
  <c r="W2767" i="1"/>
  <c r="V2767" i="1"/>
  <c r="W2771" i="1"/>
  <c r="V2771" i="1"/>
  <c r="W2775" i="1"/>
  <c r="V2775" i="1"/>
  <c r="W2779" i="1"/>
  <c r="V2779" i="1"/>
  <c r="W2782" i="1"/>
  <c r="V2782" i="1"/>
  <c r="W2786" i="1"/>
  <c r="V2786" i="1"/>
  <c r="W2790" i="1"/>
  <c r="V2790" i="1"/>
  <c r="W2794" i="1"/>
  <c r="V2794" i="1"/>
  <c r="W2798" i="1"/>
  <c r="V2798" i="1"/>
  <c r="W2802" i="1"/>
  <c r="V2802" i="1"/>
  <c r="W2806" i="1"/>
  <c r="V2806" i="1"/>
  <c r="W2810" i="1"/>
  <c r="V2810" i="1"/>
  <c r="W2817" i="1"/>
  <c r="V2817" i="1"/>
  <c r="W2821" i="1"/>
  <c r="V2821" i="1"/>
  <c r="W2825" i="1"/>
  <c r="V2825" i="1"/>
  <c r="W2829" i="1"/>
  <c r="V2829" i="1"/>
  <c r="W2833" i="1"/>
  <c r="V2833" i="1"/>
  <c r="W2837" i="1"/>
  <c r="V2837" i="1"/>
  <c r="W2841" i="1"/>
  <c r="V2841" i="1"/>
  <c r="W2845" i="1"/>
  <c r="V2845" i="1"/>
  <c r="W2848" i="1"/>
  <c r="V2848" i="1"/>
  <c r="W2852" i="1"/>
  <c r="V2852" i="1"/>
  <c r="W2856" i="1"/>
  <c r="V2856" i="1"/>
  <c r="W2860" i="1"/>
  <c r="V2860" i="1"/>
  <c r="W2864" i="1"/>
  <c r="V2864" i="1"/>
  <c r="W2868" i="1"/>
  <c r="V2868" i="1"/>
  <c r="W2872" i="1"/>
  <c r="V2872" i="1"/>
  <c r="W2876" i="1"/>
  <c r="V2876" i="1"/>
  <c r="W2879" i="1"/>
  <c r="V2879" i="1"/>
  <c r="W2883" i="1"/>
  <c r="V2883" i="1"/>
  <c r="W2887" i="1"/>
  <c r="V2887" i="1"/>
  <c r="W2891" i="1"/>
  <c r="V2891" i="1"/>
  <c r="W2895" i="1"/>
  <c r="V2895" i="1"/>
  <c r="W2899" i="1"/>
  <c r="V2899" i="1"/>
  <c r="W2903" i="1"/>
  <c r="V2903" i="1"/>
  <c r="W2907" i="1"/>
  <c r="V2907" i="1"/>
  <c r="W2910" i="1"/>
  <c r="V2910" i="1"/>
  <c r="W2914" i="1"/>
  <c r="V2914" i="1"/>
  <c r="W2918" i="1"/>
  <c r="V2918" i="1"/>
  <c r="W2922" i="1"/>
  <c r="V2922" i="1"/>
  <c r="W2929" i="1"/>
  <c r="V2929" i="1"/>
  <c r="W2933" i="1"/>
  <c r="V2933" i="1"/>
  <c r="W2937" i="1"/>
  <c r="V2937" i="1"/>
  <c r="W2941" i="1"/>
  <c r="V2941" i="1"/>
  <c r="W2944" i="1"/>
  <c r="V2944" i="1"/>
  <c r="W2948" i="1"/>
  <c r="V2948" i="1"/>
  <c r="W2952" i="1"/>
  <c r="V2952" i="1"/>
  <c r="W2956" i="1"/>
  <c r="V2956" i="1"/>
  <c r="W2959" i="1"/>
  <c r="V2959" i="1"/>
  <c r="W2963" i="1"/>
  <c r="V2963" i="1"/>
  <c r="W2967" i="1"/>
  <c r="V2967" i="1"/>
  <c r="W2971" i="1"/>
  <c r="V2971" i="1"/>
  <c r="W2974" i="1"/>
  <c r="V2974" i="1"/>
  <c r="W2978" i="1"/>
  <c r="V2978" i="1"/>
  <c r="W2982" i="1"/>
  <c r="V2982" i="1"/>
  <c r="W2986" i="1"/>
  <c r="V2986" i="1"/>
  <c r="W2990" i="1"/>
  <c r="V2990" i="1"/>
  <c r="W2994" i="1"/>
  <c r="V2994" i="1"/>
  <c r="W2998" i="1"/>
  <c r="V2998" i="1"/>
  <c r="W3002" i="1"/>
  <c r="V3002" i="1"/>
  <c r="W3009" i="1"/>
  <c r="V3009" i="1"/>
  <c r="W3013" i="1"/>
  <c r="V3013" i="1"/>
  <c r="W3017" i="1"/>
  <c r="V3017" i="1"/>
  <c r="W3021" i="1"/>
  <c r="V3021" i="1"/>
  <c r="W3025" i="1"/>
  <c r="V3025" i="1"/>
  <c r="W3029" i="1"/>
  <c r="V3029" i="1"/>
  <c r="W3033" i="1"/>
  <c r="V3033" i="1"/>
  <c r="W3037" i="1"/>
  <c r="V3037" i="1"/>
  <c r="W3040" i="1"/>
  <c r="V3040" i="1"/>
  <c r="W3044" i="1"/>
  <c r="V3044" i="1"/>
  <c r="W3048" i="1"/>
  <c r="V3048" i="1"/>
  <c r="W3052" i="1"/>
  <c r="V3052" i="1"/>
  <c r="W3056" i="1"/>
  <c r="V3056" i="1"/>
  <c r="W3060" i="1"/>
  <c r="V3060" i="1"/>
  <c r="W3064" i="1"/>
  <c r="V3064" i="1"/>
  <c r="W3068" i="1"/>
  <c r="V3068" i="1"/>
  <c r="W3071" i="1"/>
  <c r="V3071" i="1"/>
  <c r="W3075" i="1"/>
  <c r="V3075" i="1"/>
  <c r="W3079" i="1"/>
  <c r="V3079" i="1"/>
  <c r="W3083" i="1"/>
  <c r="V3083" i="1"/>
  <c r="W3087" i="1"/>
  <c r="V3087" i="1"/>
  <c r="W3091" i="1"/>
  <c r="V3091" i="1"/>
  <c r="W3095" i="1"/>
  <c r="V3095" i="1"/>
  <c r="W3099" i="1"/>
  <c r="V3099" i="1"/>
  <c r="W3102" i="1"/>
  <c r="V3102" i="1"/>
  <c r="W3106" i="1"/>
  <c r="V3106" i="1"/>
  <c r="W3110" i="1"/>
  <c r="V3110" i="1"/>
  <c r="W3114" i="1"/>
  <c r="V3114" i="1"/>
  <c r="W3118" i="1"/>
  <c r="V3118" i="1"/>
  <c r="W3122" i="1"/>
  <c r="V3122" i="1"/>
  <c r="W3126" i="1"/>
  <c r="V3126" i="1"/>
  <c r="W3130" i="1"/>
  <c r="V3130" i="1"/>
  <c r="W3137" i="1"/>
  <c r="V3137" i="1"/>
  <c r="W3141" i="1"/>
  <c r="V3141" i="1"/>
  <c r="W3145" i="1"/>
  <c r="V3145" i="1"/>
  <c r="W3149" i="1"/>
  <c r="V3149" i="1"/>
  <c r="W3153" i="1"/>
  <c r="V3153" i="1"/>
  <c r="W3157" i="1"/>
  <c r="V3157" i="1"/>
  <c r="W3161" i="1"/>
  <c r="V3161" i="1"/>
  <c r="W3165" i="1"/>
  <c r="V3165" i="1"/>
  <c r="W3168" i="1"/>
  <c r="V3168" i="1"/>
  <c r="W3172" i="1"/>
  <c r="V3172" i="1"/>
  <c r="W3176" i="1"/>
  <c r="V3176" i="1"/>
  <c r="W3180" i="1"/>
  <c r="V3180" i="1"/>
  <c r="W3184" i="1"/>
  <c r="V3184" i="1"/>
  <c r="W3188" i="1"/>
  <c r="V3188" i="1"/>
  <c r="W3192" i="1"/>
  <c r="V3192" i="1"/>
  <c r="W3196" i="1"/>
  <c r="V3196" i="1"/>
  <c r="W3199" i="1"/>
  <c r="V3199" i="1"/>
  <c r="W3203" i="1"/>
  <c r="V3203" i="1"/>
  <c r="W3207" i="1"/>
  <c r="V3207" i="1"/>
  <c r="W3211" i="1"/>
  <c r="V3211" i="1"/>
  <c r="W3215" i="1"/>
  <c r="V3215" i="1"/>
  <c r="W3219" i="1"/>
  <c r="V3219" i="1"/>
  <c r="W3223" i="1"/>
  <c r="V3223" i="1"/>
  <c r="W3227" i="1"/>
  <c r="V3227" i="1"/>
  <c r="W3230" i="1"/>
  <c r="V3230" i="1"/>
  <c r="W3234" i="1"/>
  <c r="V3234" i="1"/>
  <c r="W3238" i="1"/>
  <c r="V3238" i="1"/>
  <c r="W3242" i="1"/>
  <c r="V3242" i="1"/>
  <c r="W3246" i="1"/>
  <c r="V3246" i="1"/>
  <c r="W3250" i="1"/>
  <c r="V3250" i="1"/>
  <c r="W3254" i="1"/>
  <c r="V3254" i="1"/>
  <c r="W3258" i="1"/>
  <c r="V3258" i="1"/>
  <c r="W3265" i="1"/>
  <c r="V3265" i="1"/>
  <c r="W3269" i="1"/>
  <c r="V3269" i="1"/>
  <c r="W3273" i="1"/>
  <c r="V3273" i="1"/>
  <c r="W3277" i="1"/>
  <c r="V3277" i="1"/>
  <c r="W3281" i="1"/>
  <c r="V3281" i="1"/>
  <c r="W3285" i="1"/>
  <c r="V3285" i="1"/>
  <c r="W3289" i="1"/>
  <c r="V3289" i="1"/>
  <c r="W3293" i="1"/>
  <c r="V3293" i="1"/>
  <c r="W3296" i="1"/>
  <c r="V3296" i="1"/>
  <c r="W3300" i="1"/>
  <c r="V3300" i="1"/>
  <c r="W3304" i="1"/>
  <c r="V3304" i="1"/>
  <c r="W3308" i="1"/>
  <c r="V3308" i="1"/>
  <c r="W3312" i="1"/>
  <c r="V3312" i="1"/>
  <c r="W3316" i="1"/>
  <c r="V3316" i="1"/>
  <c r="W3320" i="1"/>
  <c r="V3320" i="1"/>
  <c r="W3324" i="1"/>
  <c r="V3324" i="1"/>
  <c r="W3327" i="1"/>
  <c r="V3327" i="1"/>
  <c r="W3331" i="1"/>
  <c r="V3331" i="1"/>
  <c r="W3335" i="1"/>
  <c r="V3335" i="1"/>
  <c r="W3339" i="1"/>
  <c r="V3339" i="1"/>
  <c r="W3343" i="1"/>
  <c r="V3343" i="1"/>
  <c r="W3347" i="1"/>
  <c r="V3347" i="1"/>
  <c r="W3351" i="1"/>
  <c r="V3351" i="1"/>
  <c r="W3354" i="1"/>
  <c r="V3354" i="1"/>
  <c r="W3358" i="1"/>
  <c r="V3358" i="1"/>
  <c r="W3361" i="1"/>
  <c r="V3361" i="1"/>
  <c r="W3365" i="1"/>
  <c r="V3365" i="1"/>
  <c r="W3369" i="1"/>
  <c r="V3369" i="1"/>
  <c r="W3373" i="1"/>
  <c r="V3373" i="1"/>
  <c r="W3376" i="1"/>
  <c r="V3376" i="1"/>
  <c r="W3380" i="1"/>
  <c r="V3380" i="1"/>
  <c r="W3383" i="1"/>
  <c r="V3383" i="1"/>
  <c r="W3387" i="1"/>
  <c r="V3387" i="1"/>
  <c r="W3391" i="1"/>
  <c r="V3391" i="1"/>
  <c r="W3394" i="1"/>
  <c r="V3394" i="1"/>
  <c r="W3401" i="1"/>
  <c r="V3401" i="1"/>
  <c r="W3405" i="1"/>
  <c r="V3405" i="1"/>
  <c r="W3408" i="1"/>
  <c r="V3408" i="1"/>
  <c r="W3412" i="1"/>
  <c r="V3412" i="1"/>
  <c r="W3415" i="1"/>
  <c r="V3415" i="1"/>
  <c r="W3419" i="1"/>
  <c r="V3419" i="1"/>
  <c r="W3423" i="1"/>
  <c r="V3423" i="1"/>
  <c r="W3426" i="1"/>
  <c r="V3426" i="1"/>
  <c r="W3433" i="1"/>
  <c r="V3433" i="1"/>
  <c r="W3437" i="1"/>
  <c r="V3437" i="1"/>
  <c r="W3440" i="1"/>
  <c r="V3440" i="1"/>
  <c r="W3444" i="1"/>
  <c r="V3444" i="1"/>
  <c r="W3447" i="1"/>
  <c r="V3447" i="1"/>
  <c r="W3450" i="1"/>
  <c r="V3450" i="1"/>
  <c r="W3454" i="1"/>
  <c r="V3454" i="1"/>
  <c r="W3457" i="1"/>
  <c r="V3457" i="1"/>
  <c r="W3461" i="1"/>
  <c r="V3461" i="1"/>
  <c r="W3467" i="1"/>
  <c r="V3467" i="1"/>
  <c r="W3471" i="1"/>
  <c r="V3471" i="1"/>
  <c r="W3474" i="1"/>
  <c r="V3474" i="1"/>
  <c r="W3480" i="1"/>
  <c r="V3480" i="1"/>
  <c r="W3484" i="1"/>
  <c r="V3484" i="1"/>
  <c r="W3491" i="1"/>
  <c r="V3491" i="1"/>
  <c r="W3494" i="1"/>
  <c r="V3494" i="1"/>
  <c r="W3498" i="1"/>
  <c r="V3498" i="1"/>
  <c r="W3502" i="1"/>
  <c r="V3502" i="1"/>
  <c r="W3505" i="1"/>
  <c r="V3505" i="1"/>
  <c r="W3509" i="1"/>
  <c r="V3509" i="1"/>
  <c r="W3515" i="1"/>
  <c r="V3515" i="1"/>
  <c r="W3519" i="1"/>
  <c r="V3519" i="1"/>
  <c r="W3522" i="1"/>
  <c r="V3522" i="1"/>
  <c r="W3529" i="1"/>
  <c r="V3529" i="1"/>
  <c r="W3533" i="1"/>
  <c r="V3533" i="1"/>
  <c r="W3536" i="1"/>
  <c r="V3536" i="1"/>
  <c r="W3540" i="1"/>
  <c r="V3540" i="1"/>
  <c r="W3543" i="1"/>
  <c r="V3543" i="1"/>
  <c r="W3546" i="1"/>
  <c r="V3546" i="1"/>
  <c r="W3550" i="1"/>
  <c r="V3550" i="1"/>
  <c r="W3553" i="1"/>
  <c r="V3553" i="1"/>
  <c r="W3557" i="1"/>
  <c r="V3557" i="1"/>
  <c r="W3560" i="1"/>
  <c r="V3560" i="1"/>
  <c r="W3564" i="1"/>
  <c r="V3564" i="1"/>
  <c r="W3571" i="1"/>
  <c r="V3571" i="1"/>
  <c r="W3574" i="1"/>
  <c r="V3574" i="1"/>
  <c r="W3578" i="1"/>
  <c r="V3578" i="1"/>
  <c r="W3582" i="1"/>
  <c r="V3582" i="1"/>
  <c r="W3585" i="1"/>
  <c r="V3585" i="1"/>
  <c r="W3589" i="1"/>
  <c r="V3589" i="1"/>
  <c r="W3592" i="1"/>
  <c r="V3592" i="1"/>
  <c r="W3596" i="1"/>
  <c r="V3596" i="1"/>
  <c r="W3603" i="1"/>
  <c r="V3603" i="1"/>
  <c r="W3606" i="1"/>
  <c r="V3606" i="1"/>
  <c r="W3610" i="1"/>
  <c r="V3610" i="1"/>
  <c r="W3614" i="1"/>
  <c r="V3614" i="1"/>
  <c r="W3617" i="1"/>
  <c r="V3617" i="1"/>
  <c r="W3621" i="1"/>
  <c r="V3621" i="1"/>
  <c r="W3624" i="1"/>
  <c r="V3624" i="1"/>
  <c r="W3628" i="1"/>
  <c r="V3628" i="1"/>
  <c r="W3635" i="1"/>
  <c r="V3635" i="1"/>
  <c r="W3638" i="1"/>
  <c r="V3638" i="1"/>
  <c r="W3642" i="1"/>
  <c r="V3642" i="1"/>
  <c r="W3646" i="1"/>
  <c r="V3646" i="1"/>
  <c r="W3650" i="1"/>
  <c r="V3650" i="1"/>
  <c r="W3654" i="1"/>
  <c r="V3654" i="1"/>
  <c r="W3658" i="1"/>
  <c r="V3658" i="1"/>
  <c r="W3665" i="1"/>
  <c r="V3665" i="1"/>
  <c r="W3669" i="1"/>
  <c r="V3669" i="1"/>
  <c r="W3672" i="1"/>
  <c r="V3672" i="1"/>
  <c r="W3676" i="1"/>
  <c r="V3676" i="1"/>
  <c r="W3680" i="1"/>
  <c r="V3680" i="1"/>
  <c r="W3684" i="1"/>
  <c r="V3684" i="1"/>
  <c r="W3688" i="1"/>
  <c r="V3688" i="1"/>
  <c r="W3692" i="1"/>
  <c r="V3692" i="1"/>
  <c r="W3695" i="1"/>
  <c r="V3695" i="1"/>
  <c r="W3699" i="1"/>
  <c r="V3699" i="1"/>
  <c r="W3703" i="1"/>
  <c r="V3703" i="1"/>
  <c r="W3706" i="1"/>
  <c r="V3706" i="1"/>
  <c r="W3712" i="1"/>
  <c r="V3712" i="1"/>
  <c r="W3716" i="1"/>
  <c r="V3716" i="1"/>
  <c r="W3723" i="1"/>
  <c r="V3723" i="1"/>
  <c r="W3726" i="1"/>
  <c r="V3726" i="1"/>
  <c r="W3729" i="1"/>
  <c r="V3729" i="1"/>
  <c r="W3733" i="1"/>
  <c r="V3733" i="1"/>
  <c r="W3736" i="1"/>
  <c r="V3736" i="1"/>
  <c r="W3740" i="1"/>
  <c r="V3740" i="1"/>
  <c r="W3743" i="1"/>
  <c r="V3743" i="1"/>
  <c r="W3746" i="1"/>
  <c r="V3746" i="1"/>
  <c r="W3750" i="1"/>
  <c r="V3750" i="1"/>
  <c r="W3753" i="1"/>
  <c r="V3753" i="1"/>
  <c r="W3757" i="1"/>
  <c r="V3757" i="1"/>
  <c r="W3763" i="1"/>
  <c r="V3763" i="1"/>
  <c r="W3767" i="1"/>
  <c r="V3767" i="1"/>
  <c r="W3770" i="1"/>
  <c r="V3770" i="1"/>
  <c r="W3776" i="1"/>
  <c r="V3776" i="1"/>
  <c r="W3780" i="1"/>
  <c r="V3780" i="1"/>
  <c r="W3787" i="1"/>
  <c r="V3787" i="1"/>
  <c r="W3790" i="1"/>
  <c r="V3790" i="1"/>
  <c r="W3793" i="1"/>
  <c r="V3793" i="1"/>
  <c r="W3797" i="1"/>
  <c r="V3797" i="1"/>
  <c r="W3800" i="1"/>
  <c r="V3800" i="1"/>
  <c r="W3804" i="1"/>
  <c r="V3804" i="1"/>
  <c r="W3807" i="1"/>
  <c r="V3807" i="1"/>
  <c r="W3810" i="1"/>
  <c r="V3810" i="1"/>
  <c r="W3814" i="1"/>
  <c r="V3814" i="1"/>
  <c r="W3817" i="1"/>
  <c r="V3817" i="1"/>
  <c r="W3821" i="1"/>
  <c r="V3821" i="1"/>
  <c r="W3827" i="1"/>
  <c r="V3827" i="1"/>
  <c r="W3831" i="1"/>
  <c r="V3831" i="1"/>
  <c r="W3834" i="1"/>
  <c r="V3834" i="1"/>
  <c r="W3840" i="1"/>
  <c r="V3840" i="1"/>
  <c r="W3844" i="1"/>
  <c r="V3844" i="1"/>
  <c r="W3851" i="1"/>
  <c r="V3851" i="1"/>
  <c r="W3854" i="1"/>
  <c r="V3854" i="1"/>
  <c r="W3857" i="1"/>
  <c r="V3857" i="1"/>
  <c r="W3861" i="1"/>
  <c r="V3861" i="1"/>
  <c r="W3864" i="1"/>
  <c r="V3864" i="1"/>
  <c r="W3868" i="1"/>
  <c r="V3868" i="1"/>
  <c r="W3871" i="1"/>
  <c r="V3871" i="1"/>
  <c r="W3874" i="1"/>
  <c r="V3874" i="1"/>
  <c r="W3878" i="1"/>
  <c r="V3878" i="1"/>
  <c r="W3881" i="1"/>
  <c r="V3881" i="1"/>
  <c r="W3885" i="1"/>
  <c r="V3885" i="1"/>
  <c r="W3891" i="1"/>
  <c r="V3891" i="1"/>
  <c r="W3895" i="1"/>
  <c r="V3895" i="1"/>
  <c r="W3898" i="1"/>
  <c r="V3898" i="1"/>
  <c r="W3904" i="1"/>
  <c r="V3904" i="1"/>
  <c r="W3908" i="1"/>
  <c r="V3908" i="1"/>
  <c r="W3915" i="1"/>
  <c r="V3915" i="1"/>
  <c r="W3918" i="1"/>
  <c r="V3918" i="1"/>
  <c r="W3921" i="1"/>
  <c r="V3921" i="1"/>
  <c r="W3925" i="1"/>
  <c r="V3925" i="1"/>
  <c r="W3928" i="1"/>
  <c r="V3928" i="1"/>
  <c r="W3932" i="1"/>
  <c r="V3932" i="1"/>
  <c r="W3935" i="1"/>
  <c r="V3935" i="1"/>
  <c r="W3938" i="1"/>
  <c r="V3938" i="1"/>
  <c r="W3942" i="1"/>
  <c r="V3942" i="1"/>
  <c r="W3945" i="1"/>
  <c r="V3945" i="1"/>
  <c r="W3949" i="1"/>
  <c r="V3949" i="1"/>
  <c r="W3955" i="1"/>
  <c r="V3955" i="1"/>
  <c r="W3959" i="1"/>
  <c r="V3959" i="1"/>
  <c r="W3962" i="1"/>
  <c r="V3962" i="1"/>
  <c r="W3968" i="1"/>
  <c r="V3968" i="1"/>
  <c r="W3972" i="1"/>
  <c r="V3972" i="1"/>
  <c r="W3979" i="1"/>
  <c r="V3979" i="1"/>
  <c r="W3982" i="1"/>
  <c r="V3982" i="1"/>
  <c r="W3985" i="1"/>
  <c r="V3985" i="1"/>
  <c r="W3989" i="1"/>
  <c r="V3989" i="1"/>
  <c r="W3992" i="1"/>
  <c r="V3992" i="1"/>
  <c r="W3996" i="1"/>
  <c r="V3996" i="1"/>
  <c r="W3999" i="1"/>
  <c r="V3999" i="1"/>
  <c r="W4002" i="1"/>
  <c r="V4002" i="1"/>
  <c r="W4006" i="1"/>
  <c r="V4006" i="1"/>
  <c r="W4009" i="1"/>
  <c r="V4009" i="1"/>
  <c r="W4013" i="1"/>
  <c r="V4013" i="1"/>
  <c r="W4019" i="1"/>
  <c r="V4019" i="1"/>
  <c r="W4023" i="1"/>
  <c r="V4023" i="1"/>
  <c r="W4026" i="1"/>
  <c r="V4026" i="1"/>
  <c r="W4032" i="1"/>
  <c r="V4032" i="1"/>
  <c r="W4036" i="1"/>
  <c r="V4036" i="1"/>
  <c r="W4043" i="1"/>
  <c r="V4043" i="1"/>
  <c r="W4046" i="1"/>
  <c r="V4046" i="1"/>
  <c r="W4049" i="1"/>
  <c r="V4049" i="1"/>
  <c r="W4053" i="1"/>
  <c r="V4053" i="1"/>
  <c r="W4056" i="1"/>
  <c r="V4056" i="1"/>
  <c r="W4060" i="1"/>
  <c r="V4060" i="1"/>
  <c r="W4063" i="1"/>
  <c r="V4063" i="1"/>
  <c r="W4066" i="1"/>
  <c r="V4066" i="1"/>
  <c r="W4070" i="1"/>
  <c r="V4070" i="1"/>
  <c r="W4073" i="1"/>
  <c r="V4073" i="1"/>
  <c r="W4077" i="1"/>
  <c r="V4077" i="1"/>
  <c r="W4083" i="1"/>
  <c r="V4083" i="1"/>
  <c r="W4087" i="1"/>
  <c r="V4087" i="1"/>
  <c r="W4090" i="1"/>
  <c r="V4090" i="1"/>
  <c r="W4096" i="1"/>
  <c r="V4096" i="1"/>
  <c r="W4100" i="1"/>
  <c r="V4100" i="1"/>
  <c r="W4107" i="1"/>
  <c r="V4107" i="1"/>
  <c r="W4110" i="1"/>
  <c r="V4110" i="1"/>
  <c r="W4113" i="1"/>
  <c r="V4113" i="1"/>
  <c r="W4117" i="1"/>
  <c r="V4117" i="1"/>
  <c r="W4120" i="1"/>
  <c r="V4120" i="1"/>
  <c r="W4124" i="1"/>
  <c r="V4124" i="1"/>
  <c r="W4127" i="1"/>
  <c r="V4127" i="1"/>
  <c r="W4130" i="1"/>
  <c r="V4130" i="1"/>
  <c r="W4134" i="1"/>
  <c r="V4134" i="1"/>
  <c r="W4137" i="1"/>
  <c r="V4137" i="1"/>
  <c r="W4141" i="1"/>
  <c r="V4141" i="1"/>
  <c r="W4147" i="1"/>
  <c r="V4147" i="1"/>
  <c r="W4151" i="1"/>
  <c r="V4151" i="1"/>
  <c r="W4154" i="1"/>
  <c r="V4154" i="1"/>
  <c r="W4160" i="1"/>
  <c r="V4160" i="1"/>
  <c r="W4164" i="1"/>
  <c r="V4164" i="1"/>
  <c r="W4171" i="1"/>
  <c r="V4171" i="1"/>
  <c r="W4174" i="1"/>
  <c r="V4174" i="1"/>
  <c r="W4177" i="1"/>
  <c r="V4177" i="1"/>
  <c r="W4181" i="1"/>
  <c r="V4181" i="1"/>
  <c r="W4184" i="1"/>
  <c r="V4184" i="1"/>
  <c r="W4188" i="1"/>
  <c r="V4188" i="1"/>
  <c r="W4191" i="1"/>
  <c r="V4191" i="1"/>
  <c r="W4194" i="1"/>
  <c r="V4194" i="1"/>
  <c r="W4198" i="1"/>
  <c r="V4198" i="1"/>
  <c r="W4201" i="1"/>
  <c r="V4201" i="1"/>
  <c r="W4205" i="1"/>
  <c r="V4205" i="1"/>
  <c r="W4211" i="1"/>
  <c r="V4211" i="1"/>
  <c r="W4215" i="1"/>
  <c r="V4215" i="1"/>
  <c r="W4218" i="1"/>
  <c r="V4218" i="1"/>
  <c r="W4224" i="1"/>
  <c r="V4224" i="1"/>
  <c r="W4228" i="1"/>
  <c r="V4228" i="1"/>
  <c r="W4235" i="1"/>
  <c r="V4235" i="1"/>
  <c r="W4238" i="1"/>
  <c r="V4238" i="1"/>
  <c r="W4241" i="1"/>
  <c r="V4241" i="1"/>
  <c r="W4245" i="1"/>
  <c r="V4245" i="1"/>
  <c r="W4248" i="1"/>
  <c r="V4248" i="1"/>
  <c r="W4252" i="1"/>
  <c r="V4252" i="1"/>
  <c r="W4255" i="1"/>
  <c r="V4255" i="1"/>
  <c r="W4258" i="1"/>
  <c r="V4258" i="1"/>
  <c r="W4262" i="1"/>
  <c r="V4262" i="1"/>
  <c r="W4265" i="1"/>
  <c r="V4265" i="1"/>
  <c r="W4269" i="1"/>
  <c r="V4269" i="1"/>
  <c r="W4275" i="1"/>
  <c r="V4275" i="1"/>
  <c r="W4279" i="1"/>
  <c r="V4279" i="1"/>
  <c r="W4282" i="1"/>
  <c r="V4282" i="1"/>
  <c r="W4288" i="1"/>
  <c r="V4288" i="1"/>
  <c r="W4292" i="1"/>
  <c r="V4292" i="1"/>
  <c r="W4299" i="1"/>
  <c r="V4299" i="1"/>
  <c r="W4302" i="1"/>
  <c r="V4302" i="1"/>
  <c r="W4305" i="1"/>
  <c r="V4305" i="1"/>
  <c r="W4309" i="1"/>
  <c r="V4309" i="1"/>
  <c r="W4312" i="1"/>
  <c r="V4312" i="1"/>
  <c r="W4316" i="1"/>
  <c r="V4316" i="1"/>
  <c r="W4319" i="1"/>
  <c r="V4319" i="1"/>
  <c r="W4322" i="1"/>
  <c r="V4322" i="1"/>
  <c r="W4326" i="1"/>
  <c r="V4326" i="1"/>
  <c r="W4329" i="1"/>
  <c r="V4329" i="1"/>
  <c r="W4333" i="1"/>
  <c r="V4333" i="1"/>
  <c r="W4339" i="1"/>
  <c r="V4339" i="1"/>
  <c r="W4343" i="1"/>
  <c r="V4343" i="1"/>
  <c r="W4346" i="1"/>
  <c r="V4346" i="1"/>
  <c r="W4352" i="1"/>
  <c r="V4352" i="1"/>
  <c r="W4356" i="1"/>
  <c r="V4356" i="1"/>
  <c r="W4363" i="1"/>
  <c r="V4363" i="1"/>
  <c r="W4366" i="1"/>
  <c r="V4366" i="1"/>
  <c r="W4369" i="1"/>
  <c r="V4369" i="1"/>
  <c r="W4373" i="1"/>
  <c r="V4373" i="1"/>
  <c r="W4376" i="1"/>
  <c r="V4376" i="1"/>
  <c r="W4380" i="1"/>
  <c r="V4380" i="1"/>
  <c r="W4383" i="1"/>
  <c r="V4383" i="1"/>
  <c r="W4387" i="1"/>
  <c r="V4387" i="1"/>
  <c r="W4391" i="1"/>
  <c r="V4391" i="1"/>
  <c r="W4394" i="1"/>
  <c r="V4394" i="1"/>
  <c r="W4401" i="1"/>
  <c r="V4401" i="1"/>
  <c r="W4405" i="1"/>
  <c r="V4405" i="1"/>
  <c r="W4408" i="1"/>
  <c r="V4408" i="1"/>
  <c r="W4412" i="1"/>
  <c r="V4412" i="1"/>
  <c r="W4415" i="1"/>
  <c r="V4415" i="1"/>
  <c r="W4419" i="1"/>
  <c r="V4419" i="1"/>
  <c r="W4423" i="1"/>
  <c r="V4423" i="1"/>
  <c r="W4426" i="1"/>
  <c r="V4426" i="1"/>
  <c r="W4433" i="1"/>
  <c r="V4433" i="1"/>
  <c r="W4437" i="1"/>
  <c r="V4437" i="1"/>
  <c r="W4440" i="1"/>
  <c r="V4440" i="1"/>
  <c r="W4444" i="1"/>
  <c r="V4444" i="1"/>
  <c r="W4447" i="1"/>
  <c r="V4447" i="1"/>
  <c r="W4450" i="1"/>
  <c r="V4450" i="1"/>
  <c r="W4454" i="1"/>
  <c r="V4454" i="1"/>
  <c r="W4457" i="1"/>
  <c r="V4457" i="1"/>
  <c r="W4461" i="1"/>
  <c r="V4461" i="1"/>
  <c r="W4467" i="1"/>
  <c r="V4467" i="1"/>
  <c r="W4471" i="1"/>
  <c r="V4471" i="1"/>
  <c r="W4474" i="1"/>
  <c r="V4474" i="1"/>
  <c r="W4481" i="1"/>
  <c r="V4481" i="1"/>
  <c r="W4485" i="1"/>
  <c r="V4485" i="1"/>
  <c r="W4488" i="1"/>
  <c r="V4488" i="1"/>
  <c r="W4492" i="1"/>
  <c r="V4492" i="1"/>
  <c r="W4495" i="1"/>
  <c r="V4495" i="1"/>
  <c r="W4498" i="1"/>
  <c r="V4498" i="1"/>
  <c r="W4502" i="1"/>
  <c r="V4502" i="1"/>
  <c r="W4505" i="1"/>
  <c r="V4505" i="1"/>
  <c r="W4509" i="1"/>
  <c r="V4509" i="1"/>
  <c r="W4515" i="1"/>
  <c r="V4515" i="1"/>
  <c r="W4519" i="1"/>
  <c r="V4519" i="1"/>
  <c r="W4522" i="1"/>
  <c r="V4522" i="1"/>
  <c r="W4528" i="1"/>
  <c r="V4528" i="1"/>
  <c r="W4532" i="1"/>
  <c r="V4532" i="1"/>
  <c r="W4539" i="1"/>
  <c r="V4539" i="1"/>
  <c r="W4542" i="1"/>
  <c r="V4542" i="1"/>
  <c r="W4545" i="1"/>
  <c r="V4545" i="1"/>
  <c r="W4549" i="1"/>
  <c r="V4549" i="1"/>
  <c r="W4552" i="1"/>
  <c r="V4552" i="1"/>
  <c r="W4556" i="1"/>
  <c r="V4556" i="1"/>
  <c r="W4559" i="1"/>
  <c r="V4559" i="1"/>
  <c r="W4563" i="1"/>
  <c r="V4563" i="1"/>
  <c r="W4567" i="1"/>
  <c r="V4567" i="1"/>
  <c r="W4570" i="1"/>
  <c r="V4570" i="1"/>
  <c r="W4577" i="1"/>
  <c r="V4577" i="1"/>
  <c r="W4581" i="1"/>
  <c r="V4581" i="1"/>
  <c r="W4584" i="1"/>
  <c r="V4584" i="1"/>
  <c r="W4588" i="1"/>
  <c r="V4588" i="1"/>
  <c r="W4591" i="1"/>
  <c r="V4591" i="1"/>
  <c r="W4595" i="1"/>
  <c r="V4595" i="1"/>
  <c r="W4599" i="1"/>
  <c r="V4599" i="1"/>
  <c r="W4602" i="1"/>
  <c r="V4602" i="1"/>
  <c r="W4609" i="1"/>
  <c r="V4609" i="1"/>
  <c r="W4613" i="1"/>
  <c r="V4613" i="1"/>
  <c r="W4616" i="1"/>
  <c r="V4616" i="1"/>
  <c r="W4620" i="1"/>
  <c r="V4620" i="1"/>
  <c r="W4623" i="1"/>
  <c r="V4623" i="1"/>
  <c r="W4627" i="1"/>
  <c r="V4627" i="1"/>
  <c r="W4631" i="1"/>
  <c r="V4631" i="1"/>
  <c r="W4634" i="1"/>
  <c r="V4634" i="1"/>
  <c r="W4641" i="1"/>
  <c r="V4641" i="1"/>
  <c r="W4645" i="1"/>
  <c r="V4645" i="1"/>
  <c r="W4648" i="1"/>
  <c r="V4648" i="1"/>
  <c r="W4652" i="1"/>
  <c r="V4652" i="1"/>
  <c r="W4655" i="1"/>
  <c r="V4655" i="1"/>
  <c r="W4658" i="1"/>
  <c r="V4658" i="1"/>
  <c r="W4662" i="1"/>
  <c r="V4662" i="1"/>
  <c r="W4665" i="1"/>
  <c r="V4665" i="1"/>
  <c r="W4669" i="1"/>
  <c r="V4669" i="1"/>
  <c r="W4675" i="1"/>
  <c r="V4675" i="1"/>
  <c r="W4679" i="1"/>
  <c r="V4679" i="1"/>
  <c r="W4682" i="1"/>
  <c r="V4682" i="1"/>
  <c r="W4688" i="1"/>
  <c r="V4688" i="1"/>
  <c r="W4692" i="1"/>
  <c r="V4692" i="1"/>
  <c r="W4699" i="1"/>
  <c r="V4699" i="1"/>
  <c r="W4702" i="1"/>
  <c r="V4702" i="1"/>
  <c r="W4705" i="1"/>
  <c r="V4705" i="1"/>
  <c r="W4709" i="1"/>
  <c r="V4709" i="1"/>
  <c r="W4712" i="1"/>
  <c r="V4712" i="1"/>
  <c r="W4716" i="1"/>
  <c r="V4716" i="1"/>
  <c r="W4719" i="1"/>
  <c r="V4719" i="1"/>
  <c r="W4722" i="1"/>
  <c r="V4722" i="1"/>
  <c r="W4726" i="1"/>
  <c r="V4726" i="1"/>
  <c r="W4729" i="1"/>
  <c r="V4729" i="1"/>
  <c r="W4733" i="1"/>
  <c r="V4733" i="1"/>
  <c r="W4739" i="1"/>
  <c r="V4739" i="1"/>
  <c r="W4743" i="1"/>
  <c r="V4743" i="1"/>
  <c r="W4747" i="1"/>
  <c r="V4747" i="1"/>
  <c r="W4750" i="1"/>
  <c r="V4750" i="1"/>
  <c r="W4754" i="1"/>
  <c r="V4754" i="1"/>
  <c r="W4760" i="1"/>
  <c r="V4760" i="1"/>
  <c r="W4764" i="1"/>
  <c r="V4764" i="1"/>
  <c r="W4768" i="1"/>
  <c r="V4768" i="1"/>
  <c r="W4772" i="1"/>
  <c r="V4772" i="1"/>
  <c r="W4775" i="1"/>
  <c r="V4775" i="1"/>
  <c r="W4778" i="1"/>
  <c r="V4778" i="1"/>
  <c r="W4782" i="1"/>
  <c r="V4782" i="1"/>
  <c r="W4786" i="1"/>
  <c r="V4786" i="1"/>
  <c r="W4792" i="1"/>
  <c r="V4792" i="1"/>
  <c r="W4796" i="1"/>
  <c r="V4796" i="1"/>
  <c r="W4800" i="1"/>
  <c r="V4800" i="1"/>
  <c r="W4804" i="1"/>
  <c r="V4804" i="1"/>
  <c r="W4807" i="1"/>
  <c r="V4807" i="1"/>
  <c r="W4810" i="1"/>
  <c r="V4810" i="1"/>
  <c r="W4814" i="1"/>
  <c r="V4814" i="1"/>
  <c r="W4818" i="1"/>
  <c r="V4818" i="1"/>
  <c r="W4824" i="1"/>
  <c r="V4824" i="1"/>
  <c r="W4828" i="1"/>
  <c r="V4828" i="1"/>
  <c r="W4832" i="1"/>
  <c r="V4832" i="1"/>
  <c r="W4836" i="1"/>
  <c r="V4836" i="1"/>
  <c r="W4839" i="1"/>
  <c r="V4839" i="1"/>
  <c r="W4842" i="1"/>
  <c r="V4842" i="1"/>
  <c r="W4849" i="1"/>
  <c r="V4849" i="1"/>
  <c r="W4853" i="1"/>
  <c r="V4853" i="1"/>
  <c r="W4859" i="1"/>
  <c r="V4859" i="1"/>
  <c r="W4862" i="1"/>
  <c r="V4862" i="1"/>
  <c r="W4866" i="1"/>
  <c r="V4866" i="1"/>
  <c r="W4872" i="1"/>
  <c r="V4872" i="1"/>
  <c r="W4876" i="1"/>
  <c r="V4876" i="1"/>
  <c r="W4880" i="1"/>
  <c r="V4880" i="1"/>
  <c r="W4884" i="1"/>
  <c r="V4884" i="1"/>
  <c r="W4887" i="1"/>
  <c r="V4887" i="1"/>
  <c r="W4890" i="1"/>
  <c r="V4890" i="1"/>
  <c r="W4894" i="1"/>
  <c r="V4894" i="1"/>
  <c r="W4898" i="1"/>
  <c r="V4898" i="1"/>
  <c r="W4904" i="1"/>
  <c r="V4904" i="1"/>
  <c r="W4908" i="1"/>
  <c r="V4908" i="1"/>
  <c r="W4912" i="1"/>
  <c r="V4912" i="1"/>
  <c r="W4916" i="1"/>
  <c r="V4916" i="1"/>
  <c r="W4919" i="1"/>
  <c r="V4919" i="1"/>
  <c r="W4922" i="1"/>
  <c r="V4922" i="1"/>
  <c r="W4926" i="1"/>
  <c r="V4926" i="1"/>
  <c r="W4930" i="1"/>
  <c r="V4930" i="1"/>
  <c r="W4936" i="1"/>
  <c r="V4936" i="1"/>
  <c r="W4940" i="1"/>
  <c r="V4940" i="1"/>
  <c r="W4944" i="1"/>
  <c r="V4944" i="1"/>
  <c r="W4948" i="1"/>
  <c r="V4948" i="1"/>
  <c r="W4951" i="1"/>
  <c r="V4951" i="1"/>
  <c r="W4954" i="1"/>
  <c r="V4954" i="1"/>
  <c r="W4958" i="1"/>
  <c r="V4958" i="1"/>
  <c r="W4962" i="1"/>
  <c r="V4962" i="1"/>
  <c r="W4968" i="1"/>
  <c r="V4968" i="1"/>
  <c r="W4972" i="1"/>
  <c r="V4972" i="1"/>
  <c r="W4976" i="1"/>
  <c r="V4976" i="1"/>
  <c r="W4980" i="1"/>
  <c r="V4980" i="1"/>
  <c r="W4983" i="1"/>
  <c r="V4983" i="1"/>
  <c r="W4986" i="1"/>
  <c r="V4986" i="1"/>
  <c r="W4990" i="1"/>
  <c r="V4990" i="1"/>
  <c r="W4994" i="1"/>
  <c r="V4994" i="1"/>
  <c r="W5000" i="1"/>
  <c r="V5000" i="1"/>
  <c r="W5004" i="1"/>
  <c r="V5004" i="1"/>
  <c r="W5008" i="1"/>
  <c r="V5008" i="1"/>
  <c r="W5012" i="1"/>
  <c r="V5012" i="1"/>
  <c r="W5015" i="1"/>
  <c r="V5015" i="1"/>
  <c r="W5018" i="1"/>
  <c r="V5018" i="1"/>
  <c r="W5022" i="1"/>
  <c r="V5022" i="1"/>
  <c r="W5026" i="1"/>
  <c r="V5026" i="1"/>
  <c r="W5032" i="1"/>
  <c r="V5032" i="1"/>
  <c r="W5036" i="1"/>
  <c r="V5036" i="1"/>
  <c r="W5040" i="1"/>
  <c r="V5040" i="1"/>
  <c r="W5044" i="1"/>
  <c r="V5044" i="1"/>
  <c r="W5047" i="1"/>
  <c r="V5047" i="1"/>
  <c r="W5050" i="1"/>
  <c r="V5050" i="1"/>
  <c r="W5054" i="1"/>
  <c r="V5054" i="1"/>
  <c r="W5058" i="1"/>
  <c r="V5058" i="1"/>
  <c r="W5064" i="1"/>
  <c r="V5064" i="1"/>
  <c r="W5068" i="1"/>
  <c r="V5068" i="1"/>
  <c r="W5072" i="1"/>
  <c r="V5072" i="1"/>
  <c r="W5076" i="1"/>
  <c r="V5076" i="1"/>
  <c r="W5079" i="1"/>
  <c r="V5079" i="1"/>
  <c r="W5083" i="1"/>
  <c r="V5083" i="1"/>
  <c r="W5087" i="1"/>
  <c r="V5087" i="1"/>
  <c r="W5091" i="1"/>
  <c r="V5091" i="1"/>
  <c r="W5095" i="1"/>
  <c r="V5095" i="1"/>
  <c r="W5099" i="1"/>
  <c r="V5099" i="1"/>
  <c r="W5102" i="1"/>
  <c r="V5102" i="1"/>
  <c r="W5106" i="1"/>
  <c r="V5106" i="1"/>
  <c r="W5113" i="1"/>
  <c r="V5113" i="1"/>
  <c r="W5117" i="1"/>
  <c r="V5117" i="1"/>
  <c r="W5121" i="1"/>
  <c r="V5121" i="1"/>
  <c r="W5125" i="1"/>
  <c r="V5125" i="1"/>
  <c r="W5129" i="1"/>
  <c r="V5129" i="1"/>
  <c r="W5133" i="1"/>
  <c r="V5133" i="1"/>
  <c r="W5136" i="1"/>
  <c r="V5136" i="1"/>
  <c r="W5140" i="1"/>
  <c r="V5140" i="1"/>
  <c r="W5143" i="1"/>
  <c r="V5143" i="1"/>
  <c r="W5147" i="1"/>
  <c r="V5147" i="1"/>
  <c r="W5151" i="1"/>
  <c r="V5151" i="1"/>
  <c r="W5155" i="1"/>
  <c r="V5155" i="1"/>
  <c r="W5159" i="1"/>
  <c r="V5159" i="1"/>
  <c r="W5163" i="1"/>
  <c r="V5163" i="1"/>
  <c r="W5166" i="1"/>
  <c r="V5166" i="1"/>
  <c r="W5170" i="1"/>
  <c r="V5170" i="1"/>
  <c r="W5177" i="1"/>
  <c r="V5177" i="1"/>
  <c r="W5181" i="1"/>
  <c r="V5181" i="1"/>
  <c r="W5185" i="1"/>
  <c r="V5185" i="1"/>
  <c r="W5189" i="1"/>
  <c r="V5189" i="1"/>
  <c r="W5193" i="1"/>
  <c r="V5193" i="1"/>
  <c r="W5197" i="1"/>
  <c r="V5197" i="1"/>
  <c r="W5200" i="1"/>
  <c r="V5200" i="1"/>
  <c r="W5204" i="1"/>
  <c r="V5204" i="1"/>
  <c r="W5207" i="1"/>
  <c r="V5207" i="1"/>
  <c r="W5211" i="1"/>
  <c r="V5211" i="1"/>
  <c r="W5215" i="1"/>
  <c r="V5215" i="1"/>
  <c r="W5219" i="1"/>
  <c r="V5219" i="1"/>
  <c r="W5223" i="1"/>
  <c r="V5223" i="1"/>
  <c r="W5227" i="1"/>
  <c r="V5227" i="1"/>
  <c r="W5231" i="1"/>
  <c r="V5231" i="1"/>
  <c r="W5235" i="1"/>
  <c r="V5235" i="1"/>
  <c r="W5239" i="1"/>
  <c r="V5239" i="1"/>
  <c r="W5243" i="1"/>
  <c r="V5243" i="1"/>
  <c r="W5246" i="1"/>
  <c r="V5246" i="1"/>
  <c r="W5250" i="1"/>
  <c r="V5250" i="1"/>
  <c r="W5257" i="1"/>
  <c r="V5257" i="1"/>
  <c r="W5261" i="1"/>
  <c r="V5261" i="1"/>
  <c r="W5265" i="1"/>
  <c r="V5265" i="1"/>
  <c r="W5269" i="1"/>
  <c r="V5269" i="1"/>
  <c r="W5273" i="1"/>
  <c r="V5273" i="1"/>
  <c r="W5277" i="1"/>
  <c r="V5277" i="1"/>
  <c r="W5280" i="1"/>
  <c r="V5280" i="1"/>
  <c r="W5284" i="1"/>
  <c r="V5284" i="1"/>
  <c r="W5290" i="1"/>
  <c r="V5290" i="1"/>
  <c r="W5294" i="1"/>
  <c r="V5294" i="1"/>
  <c r="W5301" i="1"/>
  <c r="V5301" i="1"/>
  <c r="W5304" i="1"/>
  <c r="V5304" i="1"/>
  <c r="W5307" i="1"/>
  <c r="V5307" i="1"/>
  <c r="W5311" i="1"/>
  <c r="V5311" i="1"/>
  <c r="W5314" i="1"/>
  <c r="V5314" i="1"/>
  <c r="W5318" i="1"/>
  <c r="V5318" i="1"/>
  <c r="W5321" i="1"/>
  <c r="V5321" i="1"/>
  <c r="W5324" i="1"/>
  <c r="V5324" i="1"/>
  <c r="W5328" i="1"/>
  <c r="V5328" i="1"/>
  <c r="W5331" i="1"/>
  <c r="V5331" i="1"/>
  <c r="W5335" i="1"/>
  <c r="V5335" i="1"/>
  <c r="W5340" i="1"/>
  <c r="V5340" i="1"/>
  <c r="W5346" i="1"/>
  <c r="V5346" i="1"/>
  <c r="W5350" i="1"/>
  <c r="V5350" i="1"/>
  <c r="W5357" i="1"/>
  <c r="V5357" i="1"/>
  <c r="W5361" i="1"/>
  <c r="V5361" i="1"/>
  <c r="W5364" i="1"/>
  <c r="V5364" i="1"/>
  <c r="W5368" i="1"/>
  <c r="V5368" i="1"/>
  <c r="W5371" i="1"/>
  <c r="V5371" i="1"/>
  <c r="W5375" i="1"/>
  <c r="V5375" i="1"/>
  <c r="W5378" i="1"/>
  <c r="V5378" i="1"/>
  <c r="W5382" i="1"/>
  <c r="V5382" i="1"/>
  <c r="W5389" i="1"/>
  <c r="V5389" i="1"/>
  <c r="W5393" i="1"/>
  <c r="V5393" i="1"/>
  <c r="W5396" i="1"/>
  <c r="V5396" i="1"/>
  <c r="W5400" i="1"/>
  <c r="V5400" i="1"/>
  <c r="W5403" i="1"/>
  <c r="V5403" i="1"/>
  <c r="W5407" i="1"/>
  <c r="V5407" i="1"/>
  <c r="W5410" i="1"/>
  <c r="V5410" i="1"/>
  <c r="W5414" i="1"/>
  <c r="V5414" i="1"/>
  <c r="W5421" i="1"/>
  <c r="V5421" i="1"/>
  <c r="W5425" i="1"/>
  <c r="V5425" i="1"/>
  <c r="W5428" i="1"/>
  <c r="V5428" i="1"/>
  <c r="W5432" i="1"/>
  <c r="V5432" i="1"/>
  <c r="W5435" i="1"/>
  <c r="V5435" i="1"/>
  <c r="W5439" i="1"/>
  <c r="V5439" i="1"/>
  <c r="W5442" i="1"/>
  <c r="V5442" i="1"/>
  <c r="W5446" i="1"/>
  <c r="V5446" i="1"/>
  <c r="W5453" i="1"/>
  <c r="V5453" i="1"/>
  <c r="W5457" i="1"/>
  <c r="V5457" i="1"/>
  <c r="W5460" i="1"/>
  <c r="V5460" i="1"/>
  <c r="W5464" i="1"/>
  <c r="V5464" i="1"/>
  <c r="W5467" i="1"/>
  <c r="V5467" i="1"/>
  <c r="W5471" i="1"/>
  <c r="V5471" i="1"/>
  <c r="W5474" i="1"/>
  <c r="V5474" i="1"/>
  <c r="W5478" i="1"/>
  <c r="V5478" i="1"/>
  <c r="W5485" i="1"/>
  <c r="V5485" i="1"/>
  <c r="W5489" i="1"/>
  <c r="V5489" i="1"/>
  <c r="W5492" i="1"/>
  <c r="V5492" i="1"/>
  <c r="W5496" i="1"/>
  <c r="V5496" i="1"/>
  <c r="W5499" i="1"/>
  <c r="V5499" i="1"/>
  <c r="W5503" i="1"/>
  <c r="V5503" i="1"/>
  <c r="W5506" i="1"/>
  <c r="V5506" i="1"/>
  <c r="W5510" i="1"/>
  <c r="V5510" i="1"/>
  <c r="W5517" i="1"/>
  <c r="V5517" i="1"/>
  <c r="W5521" i="1"/>
  <c r="V5521" i="1"/>
  <c r="W5524" i="1"/>
  <c r="V5524" i="1"/>
  <c r="W5528" i="1"/>
  <c r="V5528" i="1"/>
  <c r="W5531" i="1"/>
  <c r="V5531" i="1"/>
  <c r="W5535" i="1"/>
  <c r="V5535" i="1"/>
  <c r="W5538" i="1"/>
  <c r="V5538" i="1"/>
  <c r="W5542" i="1"/>
  <c r="V5542" i="1"/>
  <c r="W5549" i="1"/>
  <c r="V5549" i="1"/>
  <c r="W5553" i="1"/>
  <c r="V5553" i="1"/>
  <c r="W5556" i="1"/>
  <c r="V5556" i="1"/>
  <c r="W5560" i="1"/>
  <c r="V5560" i="1"/>
  <c r="W5563" i="1"/>
  <c r="V5563" i="1"/>
  <c r="W5567" i="1"/>
  <c r="V5567" i="1"/>
  <c r="W5570" i="1"/>
  <c r="V5570" i="1"/>
  <c r="W5574" i="1"/>
  <c r="V5574" i="1"/>
  <c r="W5581" i="1"/>
  <c r="V5581" i="1"/>
  <c r="W5585" i="1"/>
  <c r="V5585" i="1"/>
  <c r="W5588" i="1"/>
  <c r="V5588" i="1"/>
  <c r="W5592" i="1"/>
  <c r="V5592" i="1"/>
  <c r="W5595" i="1"/>
  <c r="V5595" i="1"/>
  <c r="W5599" i="1"/>
  <c r="V5599" i="1"/>
  <c r="W5602" i="1"/>
  <c r="V5602" i="1"/>
  <c r="W5606" i="1"/>
  <c r="V5606" i="1"/>
  <c r="W5613" i="1"/>
  <c r="V5613" i="1"/>
  <c r="W5617" i="1"/>
  <c r="V5617" i="1"/>
  <c r="W5620" i="1"/>
  <c r="V5620" i="1"/>
  <c r="W5624" i="1"/>
  <c r="V5624" i="1"/>
  <c r="W5627" i="1"/>
  <c r="V5627" i="1"/>
  <c r="W5631" i="1"/>
  <c r="V5631" i="1"/>
  <c r="W5634" i="1"/>
  <c r="V5634" i="1"/>
  <c r="W5638" i="1"/>
  <c r="V5638" i="1"/>
  <c r="W5645" i="1"/>
  <c r="V5645" i="1"/>
  <c r="W5649" i="1"/>
  <c r="V5649" i="1"/>
  <c r="W5652" i="1"/>
  <c r="V5652" i="1"/>
  <c r="W5656" i="1"/>
  <c r="V5656" i="1"/>
  <c r="W5659" i="1"/>
  <c r="V5659" i="1"/>
  <c r="W5663" i="1"/>
  <c r="V5663" i="1"/>
  <c r="W5666" i="1"/>
  <c r="V5666" i="1"/>
  <c r="W5670" i="1"/>
  <c r="V5670" i="1"/>
  <c r="W5677" i="1"/>
  <c r="V5677" i="1"/>
  <c r="W5681" i="1"/>
  <c r="V5681" i="1"/>
  <c r="W5687" i="1"/>
  <c r="V5687" i="1"/>
  <c r="W5690" i="1"/>
  <c r="V5690" i="1"/>
  <c r="W5694" i="1"/>
  <c r="V5694" i="1"/>
  <c r="W5701" i="1"/>
  <c r="V5701" i="1"/>
  <c r="W5705" i="1"/>
  <c r="V5705" i="1"/>
  <c r="W5708" i="1"/>
  <c r="V5708" i="1"/>
  <c r="W5712" i="1"/>
  <c r="V5712" i="1"/>
  <c r="W5715" i="1"/>
  <c r="V5715" i="1"/>
  <c r="W5719" i="1"/>
  <c r="V5719" i="1"/>
  <c r="W5722" i="1"/>
  <c r="V5722" i="1"/>
  <c r="W5726" i="1"/>
  <c r="V5726" i="1"/>
  <c r="W5733" i="1"/>
  <c r="V5733" i="1"/>
  <c r="W5737" i="1"/>
  <c r="V5737" i="1"/>
  <c r="W5740" i="1"/>
  <c r="V5740" i="1"/>
  <c r="W5744" i="1"/>
  <c r="V5744" i="1"/>
  <c r="W5747" i="1"/>
  <c r="V5747" i="1"/>
  <c r="W5751" i="1"/>
  <c r="V5751" i="1"/>
  <c r="W5754" i="1"/>
  <c r="V5754" i="1"/>
  <c r="W5757" i="1"/>
  <c r="V5757" i="1"/>
  <c r="W5761" i="1"/>
  <c r="V5761" i="1"/>
  <c r="W5767" i="1"/>
  <c r="V5767" i="1"/>
  <c r="W5770" i="1"/>
  <c r="V5770" i="1"/>
  <c r="W5774" i="1"/>
  <c r="V5774" i="1"/>
  <c r="W5781" i="1"/>
  <c r="V5781" i="1"/>
  <c r="W5785" i="1"/>
  <c r="V5785" i="1"/>
  <c r="W5791" i="1"/>
  <c r="V5791" i="1"/>
  <c r="W5794" i="1"/>
  <c r="V5794" i="1"/>
  <c r="W5797" i="1"/>
  <c r="V5797" i="1"/>
  <c r="W5801" i="1"/>
  <c r="V5801" i="1"/>
  <c r="W5807" i="1"/>
  <c r="V5807" i="1"/>
  <c r="W5810" i="1"/>
  <c r="V5810" i="1"/>
  <c r="W5814" i="1"/>
  <c r="V5814" i="1"/>
  <c r="W5821" i="1"/>
  <c r="V5821" i="1"/>
  <c r="W5825" i="1"/>
  <c r="V5825" i="1"/>
  <c r="W5828" i="1"/>
  <c r="V5828" i="1"/>
  <c r="W5832" i="1"/>
  <c r="V5832" i="1"/>
  <c r="W5835" i="1"/>
  <c r="V5835" i="1"/>
  <c r="W5839" i="1"/>
  <c r="V5839" i="1"/>
  <c r="W5842" i="1"/>
  <c r="V5842" i="1"/>
  <c r="W5846" i="1"/>
  <c r="V5846" i="1"/>
  <c r="W5853" i="1"/>
  <c r="V5853" i="1"/>
  <c r="W5857" i="1"/>
  <c r="V5857" i="1"/>
  <c r="W5860" i="1"/>
  <c r="V5860" i="1"/>
  <c r="W5864" i="1"/>
  <c r="V5864" i="1"/>
  <c r="W5867" i="1"/>
  <c r="V5867" i="1"/>
  <c r="W5871" i="1"/>
  <c r="V5871" i="1"/>
  <c r="W5874" i="1"/>
  <c r="V5874" i="1"/>
  <c r="W5878" i="1"/>
  <c r="V5878" i="1"/>
  <c r="W5885" i="1"/>
  <c r="V5885" i="1"/>
  <c r="W5889" i="1"/>
  <c r="V5889" i="1"/>
  <c r="W5892" i="1"/>
  <c r="V5892" i="1"/>
  <c r="W5896" i="1"/>
  <c r="V5896" i="1"/>
  <c r="W5899" i="1"/>
  <c r="V5899" i="1"/>
  <c r="W5903" i="1"/>
  <c r="V5903" i="1"/>
  <c r="W5907" i="1"/>
  <c r="V5907" i="1"/>
  <c r="W5910" i="1"/>
  <c r="V5910" i="1"/>
  <c r="W5914" i="1"/>
  <c r="V5914" i="1"/>
  <c r="W5918" i="1"/>
  <c r="V5918" i="1"/>
  <c r="W5922" i="1"/>
  <c r="V5922" i="1"/>
  <c r="W5929" i="1"/>
  <c r="V5929" i="1"/>
  <c r="W5933" i="1"/>
  <c r="V5933" i="1"/>
  <c r="W5937" i="1"/>
  <c r="V5937" i="1"/>
  <c r="W5941" i="1"/>
  <c r="V5941" i="1"/>
  <c r="W5944" i="1"/>
  <c r="V5944" i="1"/>
  <c r="W5948" i="1"/>
  <c r="V5948" i="1"/>
  <c r="W5952" i="1"/>
  <c r="V5952" i="1"/>
  <c r="W5956" i="1"/>
  <c r="V5956" i="1"/>
  <c r="W5959" i="1"/>
  <c r="V5959" i="1"/>
  <c r="W5962" i="1"/>
  <c r="V5962" i="1"/>
  <c r="W5966" i="1"/>
  <c r="V5966" i="1"/>
  <c r="W5970" i="1"/>
  <c r="V5970" i="1"/>
  <c r="W5976" i="1"/>
  <c r="V5976" i="1"/>
  <c r="W5980" i="1"/>
  <c r="V5980" i="1"/>
  <c r="W5984" i="1"/>
  <c r="V5984" i="1"/>
  <c r="W5988" i="1"/>
  <c r="V5988" i="1"/>
  <c r="W5991" i="1"/>
  <c r="V5991" i="1"/>
  <c r="W5995" i="1"/>
  <c r="V5995" i="1"/>
  <c r="W5999" i="1"/>
  <c r="V5999" i="1"/>
  <c r="W6003" i="1"/>
  <c r="V6003" i="1"/>
  <c r="W6006" i="1"/>
  <c r="V6006" i="1"/>
  <c r="W6009" i="1"/>
  <c r="V6009" i="1"/>
  <c r="W6013" i="1"/>
  <c r="V6013" i="1"/>
  <c r="W6017" i="1"/>
  <c r="V6017" i="1"/>
  <c r="W6021" i="1"/>
  <c r="V6021" i="1"/>
  <c r="W6024" i="1"/>
  <c r="V6024" i="1"/>
  <c r="W6028" i="1"/>
  <c r="V6028" i="1"/>
  <c r="W6032" i="1"/>
  <c r="V6032" i="1"/>
  <c r="W6036" i="1"/>
  <c r="V6036" i="1"/>
  <c r="W6039" i="1"/>
  <c r="V6039" i="1"/>
  <c r="W6043" i="1"/>
  <c r="V6043" i="1"/>
  <c r="W6047" i="1"/>
  <c r="V6047" i="1"/>
  <c r="W6051" i="1"/>
  <c r="V6051" i="1"/>
  <c r="W6054" i="1"/>
  <c r="V6054" i="1"/>
  <c r="W6058" i="1"/>
  <c r="V6058" i="1"/>
  <c r="W6062" i="1"/>
  <c r="V6062" i="1"/>
  <c r="W6066" i="1"/>
  <c r="V6066" i="1"/>
  <c r="W6073" i="1"/>
  <c r="V6073" i="1"/>
  <c r="W6077" i="1"/>
  <c r="V6077" i="1"/>
  <c r="W6081" i="1"/>
  <c r="V6081" i="1"/>
  <c r="W6085" i="1"/>
  <c r="V6085" i="1"/>
  <c r="W6088" i="1"/>
  <c r="V6088" i="1"/>
  <c r="W6092" i="1"/>
  <c r="V6092" i="1"/>
  <c r="W6096" i="1"/>
  <c r="V6096" i="1"/>
  <c r="W6100" i="1"/>
  <c r="V6100" i="1"/>
  <c r="W6103" i="1"/>
  <c r="V6103" i="1"/>
  <c r="W6107" i="1"/>
  <c r="V6107" i="1"/>
  <c r="W6111" i="1"/>
  <c r="V6111" i="1"/>
  <c r="W6115" i="1"/>
  <c r="V6115" i="1"/>
  <c r="W6118" i="1"/>
  <c r="V6118" i="1"/>
  <c r="W6122" i="1"/>
  <c r="V6122" i="1"/>
  <c r="W6126" i="1"/>
  <c r="V6126" i="1"/>
  <c r="W6130" i="1"/>
  <c r="V6130" i="1"/>
  <c r="W6141" i="1"/>
  <c r="V6141" i="1"/>
  <c r="W6145" i="1"/>
  <c r="V6145" i="1"/>
  <c r="W6149" i="1"/>
  <c r="V6149" i="1"/>
  <c r="W6152" i="1"/>
  <c r="V6152" i="1"/>
  <c r="W6156" i="1"/>
  <c r="V6156" i="1"/>
  <c r="W6160" i="1"/>
  <c r="V6160" i="1"/>
  <c r="W6164" i="1"/>
  <c r="V6164" i="1"/>
  <c r="W6167" i="1"/>
  <c r="V6167" i="1"/>
  <c r="W6171" i="1"/>
  <c r="V6171" i="1"/>
  <c r="W6175" i="1"/>
  <c r="V6175" i="1"/>
  <c r="W6179" i="1"/>
  <c r="V6179" i="1"/>
  <c r="W6182" i="1"/>
  <c r="V6182" i="1"/>
  <c r="W6186" i="1"/>
  <c r="V6186" i="1"/>
  <c r="W6190" i="1"/>
  <c r="V6190" i="1"/>
  <c r="W6194" i="1"/>
  <c r="V6194" i="1"/>
  <c r="W6205" i="1"/>
  <c r="V6205" i="1"/>
  <c r="W6209" i="1"/>
  <c r="V6209" i="1"/>
  <c r="W6213" i="1"/>
  <c r="V6213" i="1"/>
  <c r="W6216" i="1"/>
  <c r="V6216" i="1"/>
  <c r="W6220" i="1"/>
  <c r="V6220" i="1"/>
  <c r="W6224" i="1"/>
  <c r="V6224" i="1"/>
  <c r="W6228" i="1"/>
  <c r="V6228" i="1"/>
  <c r="W6231" i="1"/>
  <c r="V6231" i="1"/>
  <c r="W6235" i="1"/>
  <c r="V6235" i="1"/>
  <c r="W6239" i="1"/>
  <c r="V6239" i="1"/>
  <c r="W6243" i="1"/>
  <c r="V6243" i="1"/>
  <c r="W6246" i="1"/>
  <c r="V6246" i="1"/>
  <c r="W6250" i="1"/>
  <c r="V6250" i="1"/>
  <c r="W6254" i="1"/>
  <c r="V6254" i="1"/>
  <c r="W6258" i="1"/>
  <c r="V6258" i="1"/>
  <c r="W6269" i="1"/>
  <c r="V6269" i="1"/>
  <c r="W6273" i="1"/>
  <c r="V6273" i="1"/>
  <c r="W6277" i="1"/>
  <c r="V6277" i="1"/>
  <c r="W6280" i="1"/>
  <c r="V6280" i="1"/>
  <c r="W6284" i="1"/>
  <c r="V6284" i="1"/>
  <c r="W6288" i="1"/>
  <c r="V6288" i="1"/>
  <c r="W6292" i="1"/>
  <c r="V6292" i="1"/>
  <c r="W6295" i="1"/>
  <c r="V6295" i="1"/>
  <c r="W6299" i="1"/>
  <c r="V6299" i="1"/>
  <c r="W6303" i="1"/>
  <c r="V6303" i="1"/>
  <c r="W6307" i="1"/>
  <c r="V6307" i="1"/>
  <c r="W6310" i="1"/>
  <c r="V6310" i="1"/>
  <c r="W6314" i="1"/>
  <c r="V6314" i="1"/>
  <c r="W6318" i="1"/>
  <c r="V6318" i="1"/>
  <c r="W6322" i="1"/>
  <c r="V6322" i="1"/>
  <c r="W6328" i="1"/>
  <c r="V6328" i="1"/>
  <c r="W6332" i="1"/>
  <c r="V6332" i="1"/>
  <c r="W6336" i="1"/>
  <c r="V6336" i="1"/>
  <c r="W6340" i="1"/>
  <c r="V6340" i="1"/>
  <c r="W6343" i="1"/>
  <c r="V6343" i="1"/>
  <c r="W6347" i="1"/>
  <c r="V6347" i="1"/>
  <c r="W6351" i="1"/>
  <c r="V6351" i="1"/>
  <c r="W6354" i="1"/>
  <c r="V6354" i="1"/>
  <c r="W6365" i="1"/>
  <c r="V6365" i="1"/>
  <c r="W6369" i="1"/>
  <c r="V6369" i="1"/>
  <c r="W6373" i="1"/>
  <c r="V6373" i="1"/>
  <c r="W6376" i="1"/>
  <c r="V6376" i="1"/>
  <c r="W6380" i="1"/>
  <c r="V6380" i="1"/>
  <c r="W6387" i="1"/>
  <c r="V6387" i="1"/>
  <c r="W6390" i="1"/>
  <c r="V6390" i="1"/>
  <c r="W6394" i="1"/>
  <c r="V6394" i="1"/>
  <c r="W6398" i="1"/>
  <c r="V6398" i="1"/>
  <c r="W6402" i="1"/>
  <c r="V6402" i="1"/>
  <c r="W6413" i="1"/>
  <c r="V6413" i="1"/>
  <c r="W6416" i="1"/>
  <c r="V6416" i="1"/>
  <c r="W6420" i="1"/>
  <c r="V6420" i="1"/>
  <c r="W6423" i="1"/>
  <c r="V6423" i="1"/>
  <c r="W6427" i="1"/>
  <c r="V6427" i="1"/>
  <c r="W6431" i="1"/>
  <c r="V6431" i="1"/>
  <c r="W6435" i="1"/>
  <c r="V6435" i="1"/>
  <c r="W6438" i="1"/>
  <c r="V6438" i="1"/>
  <c r="W6442" i="1"/>
  <c r="V6442" i="1"/>
  <c r="W6446" i="1"/>
  <c r="V6446" i="1"/>
  <c r="W6449" i="1"/>
  <c r="V6449" i="1"/>
  <c r="W6453" i="1"/>
  <c r="V6453" i="1"/>
  <c r="W6456" i="1"/>
  <c r="V6456" i="1"/>
  <c r="W6460" i="1"/>
  <c r="V6460" i="1"/>
  <c r="W6464" i="1"/>
  <c r="V6464" i="1"/>
  <c r="W6468" i="1"/>
  <c r="V6468" i="1"/>
  <c r="W6471" i="1"/>
  <c r="V6471" i="1"/>
  <c r="W6475" i="1"/>
  <c r="V6475" i="1"/>
  <c r="W6479" i="1"/>
  <c r="V6479" i="1"/>
  <c r="W6482" i="1"/>
  <c r="V6482" i="1"/>
  <c r="W6493" i="1"/>
  <c r="V6493" i="1"/>
  <c r="W6497" i="1"/>
  <c r="V6497" i="1"/>
  <c r="W6501" i="1"/>
  <c r="V6501" i="1"/>
  <c r="W6504" i="1"/>
  <c r="V6504" i="1"/>
  <c r="W6508" i="1"/>
  <c r="V6508" i="1"/>
  <c r="W6515" i="1"/>
  <c r="V6515" i="1"/>
  <c r="W6518" i="1"/>
  <c r="V6518" i="1"/>
  <c r="W6522" i="1"/>
  <c r="V6522" i="1"/>
  <c r="W6526" i="1"/>
  <c r="V6526" i="1"/>
  <c r="W6530" i="1"/>
  <c r="V6530" i="1"/>
  <c r="W6541" i="1"/>
  <c r="V6541" i="1"/>
  <c r="W6544" i="1"/>
  <c r="V6544" i="1"/>
  <c r="W6548" i="1"/>
  <c r="V6548" i="1"/>
  <c r="W6551" i="1"/>
  <c r="V6551" i="1"/>
  <c r="W6555" i="1"/>
  <c r="V6555" i="1"/>
  <c r="W6559" i="1"/>
  <c r="V6559" i="1"/>
  <c r="W6563" i="1"/>
  <c r="V6563" i="1"/>
  <c r="W6566" i="1"/>
  <c r="V6566" i="1"/>
  <c r="W6570" i="1"/>
  <c r="V6570" i="1"/>
  <c r="W6574" i="1"/>
  <c r="V6574" i="1"/>
  <c r="W6577" i="1"/>
  <c r="V6577" i="1"/>
  <c r="W6581" i="1"/>
  <c r="V6581" i="1"/>
  <c r="W6584" i="1"/>
  <c r="V6584" i="1"/>
  <c r="W6588" i="1"/>
  <c r="V6588" i="1"/>
  <c r="W6592" i="1"/>
  <c r="V6592" i="1"/>
  <c r="W6596" i="1"/>
  <c r="V6596" i="1"/>
  <c r="W6603" i="1"/>
  <c r="V6603" i="1"/>
  <c r="W6613" i="1"/>
  <c r="V6613" i="1"/>
  <c r="W6617" i="1"/>
  <c r="V6617" i="1"/>
  <c r="W6620" i="1"/>
  <c r="V6620" i="1"/>
  <c r="W6626" i="1"/>
  <c r="V6626" i="1"/>
  <c r="W6630" i="1"/>
  <c r="V6630" i="1"/>
  <c r="W6637" i="1"/>
  <c r="V6637" i="1"/>
  <c r="W6640" i="1"/>
  <c r="V6640" i="1"/>
  <c r="W6643" i="1"/>
  <c r="V6643" i="1"/>
  <c r="W6650" i="1"/>
  <c r="V6650" i="1"/>
  <c r="W6654" i="1"/>
  <c r="V6654" i="1"/>
  <c r="W6657" i="1"/>
  <c r="V6657" i="1"/>
  <c r="W6660" i="1"/>
  <c r="V6660" i="1"/>
  <c r="W6664" i="1"/>
  <c r="V6664" i="1"/>
  <c r="W6667" i="1"/>
  <c r="V6667" i="1"/>
  <c r="W6677" i="1"/>
  <c r="V6677" i="1"/>
  <c r="W6681" i="1"/>
  <c r="V6681" i="1"/>
  <c r="W6684" i="1"/>
  <c r="V6684" i="1"/>
  <c r="W6688" i="1"/>
  <c r="V6688" i="1"/>
  <c r="W6691" i="1"/>
  <c r="V6691" i="1"/>
  <c r="W6698" i="1"/>
  <c r="V6698" i="1"/>
  <c r="W6702" i="1"/>
  <c r="V6702" i="1"/>
  <c r="W6709" i="1"/>
  <c r="V6709" i="1"/>
  <c r="W6713" i="1"/>
  <c r="V6713" i="1"/>
  <c r="W6716" i="1"/>
  <c r="V6716" i="1"/>
  <c r="W6720" i="1"/>
  <c r="V6720" i="1"/>
  <c r="W6723" i="1"/>
  <c r="V6723" i="1"/>
  <c r="W6730" i="1"/>
  <c r="V6730" i="1"/>
  <c r="W6734" i="1"/>
  <c r="V6734" i="1"/>
  <c r="W6740" i="1"/>
  <c r="V6740" i="1"/>
  <c r="W6744" i="1"/>
  <c r="V6744" i="1"/>
  <c r="W6747" i="1"/>
  <c r="V6747" i="1"/>
  <c r="W6750" i="1"/>
  <c r="V6750" i="1"/>
  <c r="W6756" i="1"/>
  <c r="V6756" i="1"/>
  <c r="W6760" i="1"/>
  <c r="V6760" i="1"/>
  <c r="W6763" i="1"/>
  <c r="V6763" i="1"/>
  <c r="W6770" i="1"/>
  <c r="V6770" i="1"/>
  <c r="W6773" i="1"/>
  <c r="V6773" i="1"/>
  <c r="W6777" i="1"/>
  <c r="V6777" i="1"/>
  <c r="W6786" i="1"/>
  <c r="V6786" i="1"/>
  <c r="W6790" i="1"/>
  <c r="V6790" i="1"/>
  <c r="W6797" i="1"/>
  <c r="V6797" i="1"/>
  <c r="W6801" i="1"/>
  <c r="V6801" i="1"/>
  <c r="W6804" i="1"/>
  <c r="V6804" i="1"/>
  <c r="W6808" i="1"/>
  <c r="V6808" i="1"/>
  <c r="W6811" i="1"/>
  <c r="V6811" i="1"/>
  <c r="W6818" i="1"/>
  <c r="V6818" i="1"/>
  <c r="W6822" i="1"/>
  <c r="V6822" i="1"/>
  <c r="W6829" i="1"/>
  <c r="V6829" i="1"/>
  <c r="W6833" i="1"/>
  <c r="V6833" i="1"/>
  <c r="W6836" i="1"/>
  <c r="V6836" i="1"/>
  <c r="W6840" i="1"/>
  <c r="V6840" i="1"/>
  <c r="W6843" i="1"/>
  <c r="V6843" i="1"/>
  <c r="W6850" i="1"/>
  <c r="V6850" i="1"/>
  <c r="W6854" i="1"/>
  <c r="V6854" i="1"/>
  <c r="W6861" i="1"/>
  <c r="V6861" i="1"/>
  <c r="W6865" i="1"/>
  <c r="V6865" i="1"/>
  <c r="W6868" i="1"/>
  <c r="V6868" i="1"/>
  <c r="W6872" i="1"/>
  <c r="V6872" i="1"/>
  <c r="W6875" i="1"/>
  <c r="V6875" i="1"/>
  <c r="W6882" i="1"/>
  <c r="V6882" i="1"/>
  <c r="W6886" i="1"/>
  <c r="V6886" i="1"/>
  <c r="W6893" i="1"/>
  <c r="V6893" i="1"/>
  <c r="W6897" i="1"/>
  <c r="V6897" i="1"/>
  <c r="W6906" i="1"/>
  <c r="V6906" i="1"/>
  <c r="W6909" i="1"/>
  <c r="V6909" i="1"/>
  <c r="W6913" i="1"/>
  <c r="V6913" i="1"/>
  <c r="W6922" i="1"/>
  <c r="V6922" i="1"/>
  <c r="W6926" i="1"/>
  <c r="V6926" i="1"/>
  <c r="W6933" i="1"/>
  <c r="V6933" i="1"/>
  <c r="W6937" i="1"/>
  <c r="V6937" i="1"/>
  <c r="W6940" i="1"/>
  <c r="V6940" i="1"/>
  <c r="W6944" i="1"/>
  <c r="V6944" i="1"/>
  <c r="W6947" i="1"/>
  <c r="V6947" i="1"/>
  <c r="W6954" i="1"/>
  <c r="V6954" i="1"/>
  <c r="W6958" i="1"/>
  <c r="V6958" i="1"/>
  <c r="W6965" i="1"/>
  <c r="V6965" i="1"/>
  <c r="W6969" i="1"/>
  <c r="V6969" i="1"/>
  <c r="W6972" i="1"/>
  <c r="V6972" i="1"/>
  <c r="W6976" i="1"/>
  <c r="V6976" i="1"/>
  <c r="W6979" i="1"/>
  <c r="V6979" i="1"/>
  <c r="W6986" i="1"/>
  <c r="V6986" i="1"/>
  <c r="W6990" i="1"/>
  <c r="V6990" i="1"/>
  <c r="W6997" i="1"/>
  <c r="V6997" i="1"/>
  <c r="W7001" i="1"/>
  <c r="V7001" i="1"/>
  <c r="W7010" i="1"/>
  <c r="V7010" i="1"/>
  <c r="W7013" i="1"/>
  <c r="V7013" i="1"/>
  <c r="W7017" i="1"/>
  <c r="V7017" i="1"/>
  <c r="W7020" i="1"/>
  <c r="V7020" i="1"/>
  <c r="W7024" i="1"/>
  <c r="V7024" i="1"/>
  <c r="W7027" i="1"/>
  <c r="V7027" i="1"/>
  <c r="W7034" i="1"/>
  <c r="V7034" i="1"/>
  <c r="W7038" i="1"/>
  <c r="V7038" i="1"/>
  <c r="W7044" i="1"/>
  <c r="V7044" i="1"/>
  <c r="W7048" i="1"/>
  <c r="V7048" i="1"/>
  <c r="W7051" i="1"/>
  <c r="V7051" i="1"/>
  <c r="W7058" i="1"/>
  <c r="V7058" i="1"/>
  <c r="W7062" i="1"/>
  <c r="V7062" i="1"/>
  <c r="W7065" i="1"/>
  <c r="V7065" i="1"/>
  <c r="W7069" i="1"/>
  <c r="V7069" i="1"/>
  <c r="W7072" i="1"/>
  <c r="V7072" i="1"/>
  <c r="W7075" i="1"/>
  <c r="V7075" i="1"/>
  <c r="W7085" i="1"/>
  <c r="V7085" i="1"/>
  <c r="W7088" i="1"/>
  <c r="V7088" i="1"/>
  <c r="W7091" i="1"/>
  <c r="V7091" i="1"/>
  <c r="W7094" i="1"/>
  <c r="V7094" i="1"/>
  <c r="W7098" i="1"/>
  <c r="V7098" i="1"/>
  <c r="W7101" i="1"/>
  <c r="V7101" i="1"/>
  <c r="W7105" i="1"/>
  <c r="V7105" i="1"/>
  <c r="W7112" i="1"/>
  <c r="V7112" i="1"/>
  <c r="W7115" i="1"/>
  <c r="V7115" i="1"/>
  <c r="W7123" i="1"/>
  <c r="V7123" i="1"/>
  <c r="W7126" i="1"/>
  <c r="V7126" i="1"/>
  <c r="W7130" i="1"/>
  <c r="V7130" i="1"/>
  <c r="W7133" i="1"/>
  <c r="V7133" i="1"/>
  <c r="W7137" i="1"/>
  <c r="V7137" i="1"/>
  <c r="W7144" i="1"/>
  <c r="V7144" i="1"/>
  <c r="W7147" i="1"/>
  <c r="V7147" i="1"/>
  <c r="W7157" i="1"/>
  <c r="V7157" i="1"/>
  <c r="W7161" i="1"/>
  <c r="V7161" i="1"/>
  <c r="W7164" i="1"/>
  <c r="V7164" i="1"/>
  <c r="W7168" i="1"/>
  <c r="V7168" i="1"/>
  <c r="W7172" i="1"/>
  <c r="V7172" i="1"/>
  <c r="W7182" i="1"/>
  <c r="V7182" i="1"/>
  <c r="W7186" i="1"/>
  <c r="V7186" i="1"/>
  <c r="W7189" i="1"/>
  <c r="V7189" i="1"/>
  <c r="W7193" i="1"/>
  <c r="V7193" i="1"/>
  <c r="W7196" i="1"/>
  <c r="V7196" i="1"/>
  <c r="W7200" i="1"/>
  <c r="V7200" i="1"/>
  <c r="W7204" i="1"/>
  <c r="V7204" i="1"/>
  <c r="W7214" i="1"/>
  <c r="V7214" i="1"/>
  <c r="W7218" i="1"/>
  <c r="V7218" i="1"/>
  <c r="W7224" i="1"/>
  <c r="V7224" i="1"/>
  <c r="W7227" i="1"/>
  <c r="V7227" i="1"/>
  <c r="W7235" i="1"/>
  <c r="V7235" i="1"/>
  <c r="W7238" i="1"/>
  <c r="V7238" i="1"/>
  <c r="W7242" i="1"/>
  <c r="V7242" i="1"/>
  <c r="W7245" i="1"/>
  <c r="V7245" i="1"/>
  <c r="W7249" i="1"/>
  <c r="V7249" i="1"/>
  <c r="W7256" i="1"/>
  <c r="V7256" i="1"/>
  <c r="W7260" i="1"/>
  <c r="V7260" i="1"/>
  <c r="W7264" i="1"/>
  <c r="V7264" i="1"/>
  <c r="W7268" i="1"/>
  <c r="V7268" i="1"/>
  <c r="W7275" i="1"/>
  <c r="V7275" i="1"/>
  <c r="W7283" i="1"/>
  <c r="V7283" i="1"/>
  <c r="W7286" i="1"/>
  <c r="V7286" i="1"/>
  <c r="W7290" i="1"/>
  <c r="V7290" i="1"/>
  <c r="W7294" i="1"/>
  <c r="V7294" i="1"/>
  <c r="W7298" i="1"/>
  <c r="V7298" i="1"/>
  <c r="W7301" i="1"/>
  <c r="V7301" i="1"/>
  <c r="W7305" i="1"/>
  <c r="V7305" i="1"/>
  <c r="W7309" i="1"/>
  <c r="V7309" i="1"/>
  <c r="W7313" i="1"/>
  <c r="V7313" i="1"/>
  <c r="W7320" i="1"/>
  <c r="V7320" i="1"/>
  <c r="W7324" i="1"/>
  <c r="V7324" i="1"/>
  <c r="W7328" i="1"/>
  <c r="V7328" i="1"/>
  <c r="W7332" i="1"/>
  <c r="V7332" i="1"/>
  <c r="W7339" i="1"/>
  <c r="V7339" i="1"/>
  <c r="W7347" i="1"/>
  <c r="V7347" i="1"/>
  <c r="W7350" i="1"/>
  <c r="V7350" i="1"/>
  <c r="W7354" i="1"/>
  <c r="V7354" i="1"/>
  <c r="W7358" i="1"/>
  <c r="V7358" i="1"/>
  <c r="W7362" i="1"/>
  <c r="V7362" i="1"/>
  <c r="W7365" i="1"/>
  <c r="V7365" i="1"/>
  <c r="W7369" i="1"/>
  <c r="V7369" i="1"/>
  <c r="W7373" i="1"/>
  <c r="V7373" i="1"/>
  <c r="W7377" i="1"/>
  <c r="V7377" i="1"/>
  <c r="W7384" i="1"/>
  <c r="V7384" i="1"/>
  <c r="W7388" i="1"/>
  <c r="V7388" i="1"/>
  <c r="W7392" i="1"/>
  <c r="V7392" i="1"/>
  <c r="W7396" i="1"/>
  <c r="V7396" i="1"/>
  <c r="W7403" i="1"/>
  <c r="V7403" i="1"/>
  <c r="W7411" i="1"/>
  <c r="V7411" i="1"/>
  <c r="W7414" i="1"/>
  <c r="V7414" i="1"/>
  <c r="W7418" i="1"/>
  <c r="V7418" i="1"/>
  <c r="W7422" i="1"/>
  <c r="V7422" i="1"/>
  <c r="W7426" i="1"/>
  <c r="V7426" i="1"/>
  <c r="W7429" i="1"/>
  <c r="V7429" i="1"/>
  <c r="W7433" i="1"/>
  <c r="V7433" i="1"/>
  <c r="W7437" i="1"/>
  <c r="V7437" i="1"/>
  <c r="W7441" i="1"/>
  <c r="V7441" i="1"/>
  <c r="W7448" i="1"/>
  <c r="V7448" i="1"/>
  <c r="W7452" i="1"/>
  <c r="V7452" i="1"/>
  <c r="W7456" i="1"/>
  <c r="V7456" i="1"/>
  <c r="W7460" i="1"/>
  <c r="V7460" i="1"/>
  <c r="W7467" i="1"/>
  <c r="V7467" i="1"/>
  <c r="W7475" i="1"/>
  <c r="V7475" i="1"/>
  <c r="W7478" i="1"/>
  <c r="V7478" i="1"/>
  <c r="W7482" i="1"/>
  <c r="V7482" i="1"/>
  <c r="W7486" i="1"/>
  <c r="V7486" i="1"/>
  <c r="W7490" i="1"/>
  <c r="V7490" i="1"/>
  <c r="W7493" i="1"/>
  <c r="V7493" i="1"/>
  <c r="W7497" i="1"/>
  <c r="V7497" i="1"/>
  <c r="W7501" i="1"/>
  <c r="V7501" i="1"/>
  <c r="W7505" i="1"/>
  <c r="V7505" i="1"/>
  <c r="W7512" i="1"/>
  <c r="V7512" i="1"/>
  <c r="W7516" i="1"/>
  <c r="V7516" i="1"/>
  <c r="W7520" i="1"/>
  <c r="V7520" i="1"/>
  <c r="W7524" i="1"/>
  <c r="V7524" i="1"/>
  <c r="W7531" i="1"/>
  <c r="V7531" i="1"/>
  <c r="W7539" i="1"/>
  <c r="V7539" i="1"/>
  <c r="W7542" i="1"/>
  <c r="V7542" i="1"/>
  <c r="W7546" i="1"/>
  <c r="V7546" i="1"/>
  <c r="W7550" i="1"/>
  <c r="V7550" i="1"/>
  <c r="W7554" i="1"/>
  <c r="V7554" i="1"/>
  <c r="W7557" i="1"/>
  <c r="V7557" i="1"/>
  <c r="W7561" i="1"/>
  <c r="V7561" i="1"/>
  <c r="W7565" i="1"/>
  <c r="V7565" i="1"/>
  <c r="W7569" i="1"/>
  <c r="V7569" i="1"/>
  <c r="W7576" i="1"/>
  <c r="V7576" i="1"/>
  <c r="W7580" i="1"/>
  <c r="V7580" i="1"/>
  <c r="W7584" i="1"/>
  <c r="V7584" i="1"/>
  <c r="W7588" i="1"/>
  <c r="V7588" i="1"/>
  <c r="W7595" i="1"/>
  <c r="V7595" i="1"/>
  <c r="W7603" i="1"/>
  <c r="V7603" i="1"/>
  <c r="W7606" i="1"/>
  <c r="V7606" i="1"/>
  <c r="W7610" i="1"/>
  <c r="V7610" i="1"/>
  <c r="W7614" i="1"/>
  <c r="V7614" i="1"/>
  <c r="W7618" i="1"/>
  <c r="V7618" i="1"/>
  <c r="W7621" i="1"/>
  <c r="V7621" i="1"/>
  <c r="W7625" i="1"/>
  <c r="V7625" i="1"/>
  <c r="W7629" i="1"/>
  <c r="V7629" i="1"/>
  <c r="W7633" i="1"/>
  <c r="V7633" i="1"/>
  <c r="W7640" i="1"/>
  <c r="V7640" i="1"/>
  <c r="W7644" i="1"/>
  <c r="V7644" i="1"/>
  <c r="W7648" i="1"/>
  <c r="V7648" i="1"/>
  <c r="W7652" i="1"/>
  <c r="V7652" i="1"/>
  <c r="W7659" i="1"/>
  <c r="V7659" i="1"/>
  <c r="V1641" i="1"/>
  <c r="V1625" i="1"/>
  <c r="V1609" i="1"/>
  <c r="V1593" i="1"/>
  <c r="V1577" i="1"/>
  <c r="V1561" i="1"/>
  <c r="V1545" i="1"/>
  <c r="V1529" i="1"/>
  <c r="V1513" i="1"/>
  <c r="V1497" i="1"/>
  <c r="V1481" i="1"/>
  <c r="V1465" i="1"/>
  <c r="V1449" i="1"/>
  <c r="V1433" i="1"/>
  <c r="V1417" i="1"/>
  <c r="V1401" i="1"/>
  <c r="V1385" i="1"/>
  <c r="V1369" i="1"/>
  <c r="V1353" i="1"/>
  <c r="V1337" i="1"/>
  <c r="V1321" i="1"/>
  <c r="V1305" i="1"/>
  <c r="V1289" i="1"/>
  <c r="V1273" i="1"/>
  <c r="V1257" i="1"/>
  <c r="V1241" i="1"/>
  <c r="V1225" i="1"/>
  <c r="V1209" i="1"/>
  <c r="V1193" i="1"/>
  <c r="V1177" i="1"/>
  <c r="V1161" i="1"/>
  <c r="V1145" i="1"/>
  <c r="V1129" i="1"/>
  <c r="V1113" i="1"/>
  <c r="V1097" i="1"/>
  <c r="V1081" i="1"/>
  <c r="V1065" i="1"/>
  <c r="V1049" i="1"/>
  <c r="V1033" i="1"/>
  <c r="V1017" i="1"/>
  <c r="V1001" i="1"/>
  <c r="V985" i="1"/>
  <c r="V969" i="1"/>
  <c r="V953" i="1"/>
  <c r="V937" i="1"/>
  <c r="V921" i="1"/>
  <c r="V905" i="1"/>
  <c r="V889" i="1"/>
  <c r="V873" i="1"/>
  <c r="V857" i="1"/>
  <c r="V841" i="1"/>
  <c r="V825" i="1"/>
  <c r="V809" i="1"/>
  <c r="V793" i="1"/>
  <c r="V777" i="1"/>
  <c r="V761" i="1"/>
  <c r="V745" i="1"/>
  <c r="V729" i="1"/>
  <c r="V713" i="1"/>
  <c r="V697" i="1"/>
  <c r="V681" i="1"/>
  <c r="V665" i="1"/>
  <c r="V649" i="1"/>
  <c r="V633" i="1"/>
  <c r="V617" i="1"/>
  <c r="V601" i="1"/>
  <c r="V585" i="1"/>
  <c r="V569" i="1"/>
  <c r="V553" i="1"/>
  <c r="V537" i="1"/>
  <c r="V521" i="1"/>
  <c r="V505" i="1"/>
  <c r="V489" i="1"/>
  <c r="V473" i="1"/>
  <c r="V457" i="1"/>
  <c r="V441" i="1"/>
  <c r="V418" i="1"/>
  <c r="V386" i="1"/>
  <c r="V354" i="1"/>
  <c r="V322" i="1"/>
  <c r="V290" i="1"/>
  <c r="V258" i="1"/>
  <c r="V226" i="1"/>
  <c r="V194" i="1"/>
  <c r="V162" i="1"/>
  <c r="V130" i="1"/>
  <c r="V98" i="1"/>
  <c r="V66" i="1"/>
  <c r="V34" i="1"/>
  <c r="V8399" i="1"/>
  <c r="V8367" i="1"/>
  <c r="V8335" i="1"/>
  <c r="V8303" i="1"/>
  <c r="V8271" i="1"/>
  <c r="V8239" i="1"/>
  <c r="V8207" i="1"/>
  <c r="V8047" i="1"/>
  <c r="V8015" i="1"/>
  <c r="V7983" i="1"/>
  <c r="V7951" i="1"/>
  <c r="V7919" i="1"/>
  <c r="V7887" i="1"/>
  <c r="V7855" i="1"/>
  <c r="V7759" i="1"/>
  <c r="V7695" i="1"/>
  <c r="V7663" i="1"/>
  <c r="V7631" i="1"/>
  <c r="V7599" i="1"/>
  <c r="V7567" i="1"/>
  <c r="V7535" i="1"/>
  <c r="V7503" i="1"/>
  <c r="V7471" i="1"/>
  <c r="V7439" i="1"/>
  <c r="V7407" i="1"/>
  <c r="V7375" i="1"/>
  <c r="V7343" i="1"/>
  <c r="V7311" i="1"/>
  <c r="V7279" i="1"/>
  <c r="V7247" i="1"/>
  <c r="V7215" i="1"/>
  <c r="V7183" i="1"/>
  <c r="V7151" i="1"/>
  <c r="V7119" i="1"/>
  <c r="V7087" i="1"/>
  <c r="V7055" i="1"/>
  <c r="V7023" i="1"/>
  <c r="V6991" i="1"/>
  <c r="V6959" i="1"/>
  <c r="V6927" i="1"/>
  <c r="V6895" i="1"/>
  <c r="V6863" i="1"/>
  <c r="V6831" i="1"/>
  <c r="V6799" i="1"/>
  <c r="V6767" i="1"/>
  <c r="V6735" i="1"/>
  <c r="V6703" i="1"/>
  <c r="V6671" i="1"/>
  <c r="V6639" i="1"/>
  <c r="V6607" i="1"/>
  <c r="V6575" i="1"/>
  <c r="V6521" i="1"/>
  <c r="V6457" i="1"/>
  <c r="V6393" i="1"/>
  <c r="V6329" i="1"/>
  <c r="V6265" i="1"/>
  <c r="V6201" i="1"/>
  <c r="V6137" i="1"/>
  <c r="W12" i="1"/>
  <c r="V12" i="1"/>
  <c r="W21" i="1"/>
  <c r="V21" i="1"/>
  <c r="W35" i="1"/>
  <c r="V35" i="1"/>
  <c r="W47" i="1"/>
  <c r="V47" i="1"/>
  <c r="W62" i="1"/>
  <c r="V62" i="1"/>
  <c r="W76" i="1"/>
  <c r="V76" i="1"/>
  <c r="W88" i="1"/>
  <c r="V88" i="1"/>
  <c r="W99" i="1"/>
  <c r="V99" i="1"/>
  <c r="W108" i="1"/>
  <c r="V108" i="1"/>
  <c r="W126" i="1"/>
  <c r="V126" i="1"/>
  <c r="W140" i="1"/>
  <c r="V140" i="1"/>
  <c r="W149" i="1"/>
  <c r="V149" i="1"/>
  <c r="W201" i="1"/>
  <c r="V201" i="1"/>
  <c r="W207" i="1"/>
  <c r="V207" i="1"/>
  <c r="W222" i="1"/>
  <c r="V222" i="1"/>
  <c r="W236" i="1"/>
  <c r="V236" i="1"/>
  <c r="W245" i="1"/>
  <c r="V245" i="1"/>
  <c r="W259" i="1"/>
  <c r="V259" i="1"/>
  <c r="W268" i="1"/>
  <c r="V268" i="1"/>
  <c r="W277" i="1"/>
  <c r="V277" i="1"/>
  <c r="W291" i="1"/>
  <c r="V291" i="1"/>
  <c r="W303" i="1"/>
  <c r="V303" i="1"/>
  <c r="W312" i="1"/>
  <c r="V312" i="1"/>
  <c r="W332" i="1"/>
  <c r="V332" i="1"/>
  <c r="W341" i="1"/>
  <c r="V341" i="1"/>
  <c r="W355" i="1"/>
  <c r="V355" i="1"/>
  <c r="W367" i="1"/>
  <c r="V367" i="1"/>
  <c r="W382" i="1"/>
  <c r="V382" i="1"/>
  <c r="W396" i="1"/>
  <c r="V396" i="1"/>
  <c r="W405" i="1"/>
  <c r="V405" i="1"/>
  <c r="W425" i="1"/>
  <c r="V425" i="1"/>
  <c r="W434" i="1"/>
  <c r="V434" i="1"/>
  <c r="W463" i="1"/>
  <c r="V463" i="1"/>
  <c r="W472" i="1"/>
  <c r="V472" i="1"/>
  <c r="W495" i="1"/>
  <c r="V495" i="1"/>
  <c r="W530" i="1"/>
  <c r="V530" i="1"/>
  <c r="W542" i="1"/>
  <c r="V542" i="1"/>
  <c r="W556" i="1"/>
  <c r="V556" i="1"/>
  <c r="W562" i="1"/>
  <c r="V562" i="1"/>
  <c r="W574" i="1"/>
  <c r="V574" i="1"/>
  <c r="W591" i="1"/>
  <c r="V591" i="1"/>
  <c r="W600" i="1"/>
  <c r="V600" i="1"/>
  <c r="W638" i="1"/>
  <c r="V638" i="1"/>
  <c r="W655" i="1"/>
  <c r="V655" i="1"/>
  <c r="W664" i="1"/>
  <c r="V664" i="1"/>
  <c r="W684" i="1"/>
  <c r="V684" i="1"/>
  <c r="W690" i="1"/>
  <c r="V690" i="1"/>
  <c r="W702" i="1"/>
  <c r="V702" i="1"/>
  <c r="W716" i="1"/>
  <c r="V716" i="1"/>
  <c r="W728" i="1"/>
  <c r="V728" i="1"/>
  <c r="W771" i="1"/>
  <c r="V771" i="1"/>
  <c r="W780" i="1"/>
  <c r="V780" i="1"/>
  <c r="W786" i="1"/>
  <c r="V786" i="1"/>
  <c r="W803" i="1"/>
  <c r="V803" i="1"/>
  <c r="W815" i="1"/>
  <c r="V815" i="1"/>
  <c r="W824" i="1"/>
  <c r="V824" i="1"/>
  <c r="W844" i="1"/>
  <c r="V844" i="1"/>
  <c r="W856" i="1"/>
  <c r="V856" i="1"/>
  <c r="W899" i="1"/>
  <c r="V899" i="1"/>
  <c r="W911" i="1"/>
  <c r="V911" i="1"/>
  <c r="W920" i="1"/>
  <c r="V920" i="1"/>
  <c r="W943" i="1"/>
  <c r="V943" i="1"/>
  <c r="W975" i="1"/>
  <c r="V975" i="1"/>
  <c r="W984" i="1"/>
  <c r="V984" i="1"/>
  <c r="W1027" i="1"/>
  <c r="V1027" i="1"/>
  <c r="W1039" i="1"/>
  <c r="V1039" i="1"/>
  <c r="W1048" i="1"/>
  <c r="V1048" i="1"/>
  <c r="W1103" i="1"/>
  <c r="V1103" i="1"/>
  <c r="W1112" i="1"/>
  <c r="V1112" i="1"/>
  <c r="W1155" i="1"/>
  <c r="V1155" i="1"/>
  <c r="W1164" i="1"/>
  <c r="V1164" i="1"/>
  <c r="W1170" i="1"/>
  <c r="V1170" i="1"/>
  <c r="W1182" i="1"/>
  <c r="V1182" i="1"/>
  <c r="W1214" i="1"/>
  <c r="V1214" i="1"/>
  <c r="W1231" i="1"/>
  <c r="V1231" i="1"/>
  <c r="W1240" i="1"/>
  <c r="V1240" i="1"/>
  <c r="W1251" i="1"/>
  <c r="V1251" i="1"/>
  <c r="W1260" i="1"/>
  <c r="V1260" i="1"/>
  <c r="W1266" i="1"/>
  <c r="V1266" i="1"/>
  <c r="W1278" i="1"/>
  <c r="V1278" i="1"/>
  <c r="W1295" i="1"/>
  <c r="V1295" i="1"/>
  <c r="W1304" i="1"/>
  <c r="V1304" i="1"/>
  <c r="W1315" i="1"/>
  <c r="V1315" i="1"/>
  <c r="W1324" i="1"/>
  <c r="V1324" i="1"/>
  <c r="W1330" i="1"/>
  <c r="V1330" i="1"/>
  <c r="W1342" i="1"/>
  <c r="V1342" i="1"/>
  <c r="W1359" i="1"/>
  <c r="V1359" i="1"/>
  <c r="W1391" i="1"/>
  <c r="V1391" i="1"/>
  <c r="W1406" i="1"/>
  <c r="V1406" i="1"/>
  <c r="W1423" i="1"/>
  <c r="V1423" i="1"/>
  <c r="W1455" i="1"/>
  <c r="V1455" i="1"/>
  <c r="W1464" i="1"/>
  <c r="V1464" i="1"/>
  <c r="W1519" i="1"/>
  <c r="V1519" i="1"/>
  <c r="W1528" i="1"/>
  <c r="V1528" i="1"/>
  <c r="W1551" i="1"/>
  <c r="V1551" i="1"/>
  <c r="W1583" i="1"/>
  <c r="V1583" i="1"/>
  <c r="W1772" i="1"/>
  <c r="V1772" i="1"/>
  <c r="W1781" i="1"/>
  <c r="V1781" i="1"/>
  <c r="W1813" i="1"/>
  <c r="V1813" i="1"/>
  <c r="W1833" i="1"/>
  <c r="V1833" i="1"/>
  <c r="W1848" i="1"/>
  <c r="V1848" i="1"/>
  <c r="W1868" i="1"/>
  <c r="V1868" i="1"/>
  <c r="W1877" i="1"/>
  <c r="V1877" i="1"/>
  <c r="W1900" i="1"/>
  <c r="V1900" i="1"/>
  <c r="W1912" i="1"/>
  <c r="V1912" i="1"/>
  <c r="W1946" i="1"/>
  <c r="V1946" i="1"/>
  <c r="W1965" i="1"/>
  <c r="V1965" i="1"/>
  <c r="W1981" i="1"/>
  <c r="V1981" i="1"/>
  <c r="W2013" i="1"/>
  <c r="V2013" i="1"/>
  <c r="W2032" i="1"/>
  <c r="V2032" i="1"/>
  <c r="W2048" i="1"/>
  <c r="V2048" i="1"/>
  <c r="W2063" i="1"/>
  <c r="V2063" i="1"/>
  <c r="W2082" i="1"/>
  <c r="V2082" i="1"/>
  <c r="W2105" i="1"/>
  <c r="V2105" i="1"/>
  <c r="W2116" i="1"/>
  <c r="V2116" i="1"/>
  <c r="W2135" i="1"/>
  <c r="V2135" i="1"/>
  <c r="W2146" i="1"/>
  <c r="V2146" i="1"/>
  <c r="W2169" i="1"/>
  <c r="V2169" i="1"/>
  <c r="W2184" i="1"/>
  <c r="V2184" i="1"/>
  <c r="W2199" i="1"/>
  <c r="V2199" i="1"/>
  <c r="W2214" i="1"/>
  <c r="V2214" i="1"/>
  <c r="W2237" i="1"/>
  <c r="V2237" i="1"/>
  <c r="W2248" i="1"/>
  <c r="V2248" i="1"/>
  <c r="W2267" i="1"/>
  <c r="V2267" i="1"/>
  <c r="W2289" i="1"/>
  <c r="V2289" i="1"/>
  <c r="W2301" i="1"/>
  <c r="V2301" i="1"/>
  <c r="W2319" i="1"/>
  <c r="V2319" i="1"/>
  <c r="W2338" i="1"/>
  <c r="V2338" i="1"/>
  <c r="W2357" i="1"/>
  <c r="V2357" i="1"/>
  <c r="W2368" i="1"/>
  <c r="V2368" i="1"/>
  <c r="W2391" i="1"/>
  <c r="V2391" i="1"/>
  <c r="W2410" i="1"/>
  <c r="V2410" i="1"/>
  <c r="W2433" i="1"/>
  <c r="V2433" i="1"/>
  <c r="W2453" i="1"/>
  <c r="V2453" i="1"/>
  <c r="W2472" i="1"/>
  <c r="V2472" i="1"/>
  <c r="W2484" i="1"/>
  <c r="V2484" i="1"/>
  <c r="W2503" i="1"/>
  <c r="V2503" i="1"/>
  <c r="W2514" i="1"/>
  <c r="V2514" i="1"/>
  <c r="W2537" i="1"/>
  <c r="V2537" i="1"/>
  <c r="W2553" i="1"/>
  <c r="V2553" i="1"/>
  <c r="W2572" i="1"/>
  <c r="V2572" i="1"/>
  <c r="W2591" i="1"/>
  <c r="V2591" i="1"/>
  <c r="W2611" i="1"/>
  <c r="V2611" i="1"/>
  <c r="W2630" i="1"/>
  <c r="V2630" i="1"/>
  <c r="W2646" i="1"/>
  <c r="V2646" i="1"/>
  <c r="W2669" i="1"/>
  <c r="V2669" i="1"/>
  <c r="W2685" i="1"/>
  <c r="V2685" i="1"/>
  <c r="W2700" i="1"/>
  <c r="V2700" i="1"/>
  <c r="W2716" i="1"/>
  <c r="V2716" i="1"/>
  <c r="W2735" i="1"/>
  <c r="V2735" i="1"/>
  <c r="W2747" i="1"/>
  <c r="V2747" i="1"/>
  <c r="W2766" i="1"/>
  <c r="V2766" i="1"/>
  <c r="W2789" i="1"/>
  <c r="V2789" i="1"/>
  <c r="W2801" i="1"/>
  <c r="V2801" i="1"/>
  <c r="W2813" i="1"/>
  <c r="V2813" i="1"/>
  <c r="W2824" i="1"/>
  <c r="V2824" i="1"/>
  <c r="W2844" i="1"/>
  <c r="V2844" i="1"/>
  <c r="W2855" i="1"/>
  <c r="V2855" i="1"/>
  <c r="W2875" i="1"/>
  <c r="V2875" i="1"/>
  <c r="W2886" i="1"/>
  <c r="V2886" i="1"/>
  <c r="W2902" i="1"/>
  <c r="V2902" i="1"/>
  <c r="W2925" i="1"/>
  <c r="V2925" i="1"/>
  <c r="W2943" i="1"/>
  <c r="V2943" i="1"/>
  <c r="W2958" i="1"/>
  <c r="V2958" i="1"/>
  <c r="W2981" i="1"/>
  <c r="V2981" i="1"/>
  <c r="W2993" i="1"/>
  <c r="V2993" i="1"/>
  <c r="W3012" i="1"/>
  <c r="V3012" i="1"/>
  <c r="W3024" i="1"/>
  <c r="V3024" i="1"/>
  <c r="W3043" i="1"/>
  <c r="V3043" i="1"/>
  <c r="W3063" i="1"/>
  <c r="V3063" i="1"/>
  <c r="W3078" i="1"/>
  <c r="V3078" i="1"/>
  <c r="W3094" i="1"/>
  <c r="V3094" i="1"/>
  <c r="W3113" i="1"/>
  <c r="V3113" i="1"/>
  <c r="W3129" i="1"/>
  <c r="V3129" i="1"/>
  <c r="W3144" i="1"/>
  <c r="V3144" i="1"/>
  <c r="W3160" i="1"/>
  <c r="V3160" i="1"/>
  <c r="W3179" i="1"/>
  <c r="V3179" i="1"/>
  <c r="W3195" i="1"/>
  <c r="V3195" i="1"/>
  <c r="W3214" i="1"/>
  <c r="V3214" i="1"/>
  <c r="W3237" i="1"/>
  <c r="V3237" i="1"/>
  <c r="W3253" i="1"/>
  <c r="V3253" i="1"/>
  <c r="W3268" i="1"/>
  <c r="V3268" i="1"/>
  <c r="W3284" i="1"/>
  <c r="V3284" i="1"/>
  <c r="W3303" i="1"/>
  <c r="V3303" i="1"/>
  <c r="W3315" i="1"/>
  <c r="V3315" i="1"/>
  <c r="W3330" i="1"/>
  <c r="V3330" i="1"/>
  <c r="W3350" i="1"/>
  <c r="V3350" i="1"/>
  <c r="W3364" i="1"/>
  <c r="V3364" i="1"/>
  <c r="W3382" i="1"/>
  <c r="V3382" i="1"/>
  <c r="W3397" i="1"/>
  <c r="V3397" i="1"/>
  <c r="W3411" i="1"/>
  <c r="V3411" i="1"/>
  <c r="W3429" i="1"/>
  <c r="V3429" i="1"/>
  <c r="W3446" i="1"/>
  <c r="V3446" i="1"/>
  <c r="W3460" i="1"/>
  <c r="V3460" i="1"/>
  <c r="W3473" i="1"/>
  <c r="V3473" i="1"/>
  <c r="W3497" i="1"/>
  <c r="V3497" i="1"/>
  <c r="W3508" i="1"/>
  <c r="V3508" i="1"/>
  <c r="W3525" i="1"/>
  <c r="V3525" i="1"/>
  <c r="W3542" i="1"/>
  <c r="V3542" i="1"/>
  <c r="W3559" i="1"/>
  <c r="V3559" i="1"/>
  <c r="W3570" i="1"/>
  <c r="V3570" i="1"/>
  <c r="W3591" i="1"/>
  <c r="V3591" i="1"/>
  <c r="W3613" i="1"/>
  <c r="V3613" i="1"/>
  <c r="W3623" i="1"/>
  <c r="V3623" i="1"/>
  <c r="W3641" i="1"/>
  <c r="V3641" i="1"/>
  <c r="W3657" i="1"/>
  <c r="V3657" i="1"/>
  <c r="W3671" i="1"/>
  <c r="V3671" i="1"/>
  <c r="W3683" i="1"/>
  <c r="V3683" i="1"/>
  <c r="W3694" i="1"/>
  <c r="V3694" i="1"/>
  <c r="W3715" i="1"/>
  <c r="V3715" i="1"/>
  <c r="W3749" i="1"/>
  <c r="V3749" i="1"/>
  <c r="W3766" i="1"/>
  <c r="V3766" i="1"/>
  <c r="W3783" i="1"/>
  <c r="V3783" i="1"/>
  <c r="W3796" i="1"/>
  <c r="V3796" i="1"/>
  <c r="W3816" i="1"/>
  <c r="V3816" i="1"/>
  <c r="W3833" i="1"/>
  <c r="V3833" i="1"/>
  <c r="W3856" i="1"/>
  <c r="V3856" i="1"/>
  <c r="W3880" i="1"/>
  <c r="V3880" i="1"/>
  <c r="W3894" i="1"/>
  <c r="V3894" i="1"/>
  <c r="W3914" i="1"/>
  <c r="V3914" i="1"/>
  <c r="W3937" i="1"/>
  <c r="V3937" i="1"/>
  <c r="W3954" i="1"/>
  <c r="V3954" i="1"/>
  <c r="W3971" i="1"/>
  <c r="V3971" i="1"/>
  <c r="W3995" i="1"/>
  <c r="V3995" i="1"/>
  <c r="W4005" i="1"/>
  <c r="V4005" i="1"/>
  <c r="W4022" i="1"/>
  <c r="V4022" i="1"/>
  <c r="W4042" i="1"/>
  <c r="V4042" i="1"/>
  <c r="W4059" i="1"/>
  <c r="V4059" i="1"/>
  <c r="W4072" i="1"/>
  <c r="V4072" i="1"/>
  <c r="W4086" i="1"/>
  <c r="V4086" i="1"/>
  <c r="W4106" i="1"/>
  <c r="V4106" i="1"/>
  <c r="W4129" i="1"/>
  <c r="V4129" i="1"/>
  <c r="W4140" i="1"/>
  <c r="V4140" i="1"/>
  <c r="W4157" i="1"/>
  <c r="V4157" i="1"/>
  <c r="W4176" i="1"/>
  <c r="V4176" i="1"/>
  <c r="W4193" i="1"/>
  <c r="V4193" i="1"/>
  <c r="W4204" i="1"/>
  <c r="V4204" i="1"/>
  <c r="W4217" i="1"/>
  <c r="V4217" i="1"/>
  <c r="W4240" i="1"/>
  <c r="V4240" i="1"/>
  <c r="W4254" i="1"/>
  <c r="V4254" i="1"/>
  <c r="W4264" i="1"/>
  <c r="V4264" i="1"/>
  <c r="W4278" i="1"/>
  <c r="V4278" i="1"/>
  <c r="W4295" i="1"/>
  <c r="V4295" i="1"/>
  <c r="W4318" i="1"/>
  <c r="V4318" i="1"/>
  <c r="W4335" i="1"/>
  <c r="V4335" i="1"/>
  <c r="W4349" i="1"/>
  <c r="V4349" i="1"/>
  <c r="W4372" i="1"/>
  <c r="V4372" i="1"/>
  <c r="W4393" i="1"/>
  <c r="V4393" i="1"/>
  <c r="W4404" i="1"/>
  <c r="V4404" i="1"/>
  <c r="W4425" i="1"/>
  <c r="V4425" i="1"/>
  <c r="W4436" i="1"/>
  <c r="V4436" i="1"/>
  <c r="W4456" i="1"/>
  <c r="V4456" i="1"/>
  <c r="W4470" i="1"/>
  <c r="V4470" i="1"/>
  <c r="W4484" i="1"/>
  <c r="V4484" i="1"/>
  <c r="W4504" i="1"/>
  <c r="V4504" i="1"/>
  <c r="W4514" i="1"/>
  <c r="V4514" i="1"/>
  <c r="W4531" i="1"/>
  <c r="V4531" i="1"/>
  <c r="W4548" i="1"/>
  <c r="V4548" i="1"/>
  <c r="W4562" i="1"/>
  <c r="V4562" i="1"/>
  <c r="W4580" i="1"/>
  <c r="V4580" i="1"/>
  <c r="W4594" i="1"/>
  <c r="V4594" i="1"/>
  <c r="W4608" i="1"/>
  <c r="V4608" i="1"/>
  <c r="W4626" i="1"/>
  <c r="V4626" i="1"/>
  <c r="W4640" i="1"/>
  <c r="V4640" i="1"/>
  <c r="W4661" i="1"/>
  <c r="V4661" i="1"/>
  <c r="W4678" i="1"/>
  <c r="V4678" i="1"/>
  <c r="W4695" i="1"/>
  <c r="V4695" i="1"/>
  <c r="W4708" i="1"/>
  <c r="V4708" i="1"/>
  <c r="W4728" i="1"/>
  <c r="V4728" i="1"/>
  <c r="W4738" i="1"/>
  <c r="V4738" i="1"/>
  <c r="W4763" i="1"/>
  <c r="V4763" i="1"/>
  <c r="W4781" i="1"/>
  <c r="V4781" i="1"/>
  <c r="W4795" i="1"/>
  <c r="V4795" i="1"/>
  <c r="W4813" i="1"/>
  <c r="V4813" i="1"/>
  <c r="W4831" i="1"/>
  <c r="V4831" i="1"/>
  <c r="W4848" i="1"/>
  <c r="V4848" i="1"/>
  <c r="W4865" i="1"/>
  <c r="V4865" i="1"/>
  <c r="W4886" i="1"/>
  <c r="V4886" i="1"/>
  <c r="W4897" i="1"/>
  <c r="V4897" i="1"/>
  <c r="W4918" i="1"/>
  <c r="V4918" i="1"/>
  <c r="W4939" i="1"/>
  <c r="V4939" i="1"/>
  <c r="W4957" i="1"/>
  <c r="V4957" i="1"/>
  <c r="W4975" i="1"/>
  <c r="V4975" i="1"/>
  <c r="W4993" i="1"/>
  <c r="V4993" i="1"/>
  <c r="W5011" i="1"/>
  <c r="V5011" i="1"/>
  <c r="W5029" i="1"/>
  <c r="V5029" i="1"/>
  <c r="W5046" i="1"/>
  <c r="V5046" i="1"/>
  <c r="W5057" i="1"/>
  <c r="V5057" i="1"/>
  <c r="W5075" i="1"/>
  <c r="V5075" i="1"/>
  <c r="W5094" i="1"/>
  <c r="V5094" i="1"/>
  <c r="W5109" i="1"/>
  <c r="V5109" i="1"/>
  <c r="W5128" i="1"/>
  <c r="V5128" i="1"/>
  <c r="W5139" i="1"/>
  <c r="V5139" i="1"/>
  <c r="W5158" i="1"/>
  <c r="V5158" i="1"/>
  <c r="W5173" i="1"/>
  <c r="V5173" i="1"/>
  <c r="W5192" i="1"/>
  <c r="V5192" i="1"/>
  <c r="W5203" i="1"/>
  <c r="V5203" i="1"/>
  <c r="W5218" i="1"/>
  <c r="V5218" i="1"/>
  <c r="W5234" i="1"/>
  <c r="V5234" i="1"/>
  <c r="W5256" i="1"/>
  <c r="V5256" i="1"/>
  <c r="W5276" i="1"/>
  <c r="V5276" i="1"/>
  <c r="W5293" i="1"/>
  <c r="V5293" i="1"/>
  <c r="W5306" i="1"/>
  <c r="V5306" i="1"/>
  <c r="W5327" i="1"/>
  <c r="V5327" i="1"/>
  <c r="W5337" i="1"/>
  <c r="V5337" i="1"/>
  <c r="W5356" i="1"/>
  <c r="V5356" i="1"/>
  <c r="W5367" i="1"/>
  <c r="V5367" i="1"/>
  <c r="W5388" i="1"/>
  <c r="V5388" i="1"/>
  <c r="W5406" i="1"/>
  <c r="V5406" i="1"/>
  <c r="W5427" i="1"/>
  <c r="V5427" i="1"/>
  <c r="W5445" i="1"/>
  <c r="V5445" i="1"/>
  <c r="W5463" i="1"/>
  <c r="V5463" i="1"/>
  <c r="W5477" i="1"/>
  <c r="V5477" i="1"/>
  <c r="W5495" i="1"/>
  <c r="V5495" i="1"/>
  <c r="W5509" i="1"/>
  <c r="V5509" i="1"/>
  <c r="W5527" i="1"/>
  <c r="V5527" i="1"/>
  <c r="W5541" i="1"/>
  <c r="V5541" i="1"/>
  <c r="W5559" i="1"/>
  <c r="V5559" i="1"/>
  <c r="W5577" i="1"/>
  <c r="V5577" i="1"/>
  <c r="W5591" i="1"/>
  <c r="V5591" i="1"/>
  <c r="W5612" i="1"/>
  <c r="V5612" i="1"/>
  <c r="W5623" i="1"/>
  <c r="V5623" i="1"/>
  <c r="W5641" i="1"/>
  <c r="V5641" i="1"/>
  <c r="W5655" i="1"/>
  <c r="V5655" i="1"/>
  <c r="W5676" i="1"/>
  <c r="V5676" i="1"/>
  <c r="W5686" i="1"/>
  <c r="V5686" i="1"/>
  <c r="W5707" i="1"/>
  <c r="V5707" i="1"/>
  <c r="W5725" i="1"/>
  <c r="V5725" i="1"/>
  <c r="W5743" i="1"/>
  <c r="V5743" i="1"/>
  <c r="W5756" i="1"/>
  <c r="V5756" i="1"/>
  <c r="W5777" i="1"/>
  <c r="V5777" i="1"/>
  <c r="W5787" i="1"/>
  <c r="V5787" i="1"/>
  <c r="W5806" i="1"/>
  <c r="V5806" i="1"/>
  <c r="W5824" i="1"/>
  <c r="V5824" i="1"/>
  <c r="W5845" i="1"/>
  <c r="V5845" i="1"/>
  <c r="W5863" i="1"/>
  <c r="V5863" i="1"/>
  <c r="W5877" i="1"/>
  <c r="V5877" i="1"/>
  <c r="W5895" i="1"/>
  <c r="V5895" i="1"/>
  <c r="W5913" i="1"/>
  <c r="V5913" i="1"/>
  <c r="W5928" i="1"/>
  <c r="V5928" i="1"/>
  <c r="W5943" i="1"/>
  <c r="V5943" i="1"/>
  <c r="W5961" i="1"/>
  <c r="V5961" i="1"/>
  <c r="W5973" i="1"/>
  <c r="V5973" i="1"/>
  <c r="W5994" i="1"/>
  <c r="V5994" i="1"/>
  <c r="W6008" i="1"/>
  <c r="V6008" i="1"/>
  <c r="W6027" i="1"/>
  <c r="V6027" i="1"/>
  <c r="W6038" i="1"/>
  <c r="V6038" i="1"/>
  <c r="W6057" i="1"/>
  <c r="V6057" i="1"/>
  <c r="W6076" i="1"/>
  <c r="V6076" i="1"/>
  <c r="W6087" i="1"/>
  <c r="V6087" i="1"/>
  <c r="W6106" i="1"/>
  <c r="V6106" i="1"/>
  <c r="W6114" i="1"/>
  <c r="V6114" i="1"/>
  <c r="W6136" i="1"/>
  <c r="V6136" i="1"/>
  <c r="W6148" i="1"/>
  <c r="V6148" i="1"/>
  <c r="W6159" i="1"/>
  <c r="V6159" i="1"/>
  <c r="W6174" i="1"/>
  <c r="V6174" i="1"/>
  <c r="W6197" i="1"/>
  <c r="V6197" i="1"/>
  <c r="W6212" i="1"/>
  <c r="V6212" i="1"/>
  <c r="W6227" i="1"/>
  <c r="V6227" i="1"/>
  <c r="W6238" i="1"/>
  <c r="V6238" i="1"/>
  <c r="W6257" i="1"/>
  <c r="V6257" i="1"/>
  <c r="W6272" i="1"/>
  <c r="V6272" i="1"/>
  <c r="W6287" i="1"/>
  <c r="V6287" i="1"/>
  <c r="W6302" i="1"/>
  <c r="V6302" i="1"/>
  <c r="W6317" i="1"/>
  <c r="V6317" i="1"/>
  <c r="W6339" i="1"/>
  <c r="V6339" i="1"/>
  <c r="W6357" i="1"/>
  <c r="V6357" i="1"/>
  <c r="W6368" i="1"/>
  <c r="V6368" i="1"/>
  <c r="W6383" i="1"/>
  <c r="V6383" i="1"/>
  <c r="W6452" i="1"/>
  <c r="V6452" i="1"/>
  <c r="W6467" i="1"/>
  <c r="V6467" i="1"/>
  <c r="W6481" i="1"/>
  <c r="V6481" i="1"/>
  <c r="W6492" i="1"/>
  <c r="V6492" i="1"/>
  <c r="W6507" i="1"/>
  <c r="V6507" i="1"/>
  <c r="W6514" i="1"/>
  <c r="V6514" i="1"/>
  <c r="W6536" i="1"/>
  <c r="V6536" i="1"/>
  <c r="W6554" i="1"/>
  <c r="V6554" i="1"/>
  <c r="W6569" i="1"/>
  <c r="V6569" i="1"/>
  <c r="W6580" i="1"/>
  <c r="V6580" i="1"/>
  <c r="W6587" i="1"/>
  <c r="V6587" i="1"/>
  <c r="W6602" i="1"/>
  <c r="V6602" i="1"/>
  <c r="W6616" i="1"/>
  <c r="V6616" i="1"/>
  <c r="W6629" i="1"/>
  <c r="V6629" i="1"/>
  <c r="W6653" i="1"/>
  <c r="V6653" i="1"/>
  <c r="W6666" i="1"/>
  <c r="V6666" i="1"/>
  <c r="W6680" i="1"/>
  <c r="V6680" i="1"/>
  <c r="W6701" i="1"/>
  <c r="V6701" i="1"/>
  <c r="W6749" i="1"/>
  <c r="V6749" i="1"/>
  <c r="W6753" i="1"/>
  <c r="V6753" i="1"/>
  <c r="W6762" i="1"/>
  <c r="V6762" i="1"/>
  <c r="W6776" i="1"/>
  <c r="V6776" i="1"/>
  <c r="W6782" i="1"/>
  <c r="V6782" i="1"/>
  <c r="W6789" i="1"/>
  <c r="V6789" i="1"/>
  <c r="W6796" i="1"/>
  <c r="V6796" i="1"/>
  <c r="W6800" i="1"/>
  <c r="V6800" i="1"/>
  <c r="W6810" i="1"/>
  <c r="V6810" i="1"/>
  <c r="W6918" i="1"/>
  <c r="V6918" i="1"/>
  <c r="W7477" i="1"/>
  <c r="V7477" i="1"/>
  <c r="W7538" i="1"/>
  <c r="V7538" i="1"/>
  <c r="W7541" i="1"/>
  <c r="V7541" i="1"/>
  <c r="W7553" i="1"/>
  <c r="V7553" i="1"/>
  <c r="W7560" i="1"/>
  <c r="V7560" i="1"/>
  <c r="W7564" i="1"/>
  <c r="V7564" i="1"/>
  <c r="W7568" i="1"/>
  <c r="V7568" i="1"/>
  <c r="W7572" i="1"/>
  <c r="V7572" i="1"/>
  <c r="W7579" i="1"/>
  <c r="V7579" i="1"/>
  <c r="W7590" i="1"/>
  <c r="V7590" i="1"/>
  <c r="W7602" i="1"/>
  <c r="V7602" i="1"/>
  <c r="W7613" i="1"/>
  <c r="V7613" i="1"/>
  <c r="W7617" i="1"/>
  <c r="V7617" i="1"/>
  <c r="W13" i="1"/>
  <c r="V13" i="1"/>
  <c r="W27" i="1"/>
  <c r="V27" i="1"/>
  <c r="W36" i="1"/>
  <c r="V36" i="1"/>
  <c r="W48" i="1"/>
  <c r="V48" i="1"/>
  <c r="W68" i="1"/>
  <c r="V68" i="1"/>
  <c r="W77" i="1"/>
  <c r="V77" i="1"/>
  <c r="W103" i="1"/>
  <c r="V103" i="1"/>
  <c r="W150" i="1"/>
  <c r="V150" i="1"/>
  <c r="W164" i="1"/>
  <c r="V164" i="1"/>
  <c r="W173" i="1"/>
  <c r="V173" i="1"/>
  <c r="W193" i="1"/>
  <c r="V193" i="1"/>
  <c r="W205" i="1"/>
  <c r="V205" i="1"/>
  <c r="W219" i="1"/>
  <c r="V219" i="1"/>
  <c r="W228" i="1"/>
  <c r="V228" i="1"/>
  <c r="W237" i="1"/>
  <c r="V237" i="1"/>
  <c r="W251" i="1"/>
  <c r="V251" i="1"/>
  <c r="W269" i="1"/>
  <c r="V269" i="1"/>
  <c r="W310" i="1"/>
  <c r="V310" i="1"/>
  <c r="W327" i="1"/>
  <c r="V327" i="1"/>
  <c r="W336" i="1"/>
  <c r="V336" i="1"/>
  <c r="W356" i="1"/>
  <c r="V356" i="1"/>
  <c r="W374" i="1"/>
  <c r="V374" i="1"/>
  <c r="W406" i="1"/>
  <c r="V406" i="1"/>
  <c r="W417" i="1"/>
  <c r="V417" i="1"/>
  <c r="W420" i="1"/>
  <c r="V420" i="1"/>
  <c r="W429" i="1"/>
  <c r="V429" i="1"/>
  <c r="W438" i="1"/>
  <c r="V438" i="1"/>
  <c r="W484" i="1"/>
  <c r="V484" i="1"/>
  <c r="W490" i="1"/>
  <c r="V490" i="1"/>
  <c r="W534" i="1"/>
  <c r="V534" i="1"/>
  <c r="W571" i="1"/>
  <c r="V571" i="1"/>
  <c r="W580" i="1"/>
  <c r="V580" i="1"/>
  <c r="W586" i="1"/>
  <c r="V586" i="1"/>
  <c r="W598" i="1"/>
  <c r="V598" i="1"/>
  <c r="W612" i="1"/>
  <c r="V612" i="1"/>
  <c r="W618" i="1"/>
  <c r="V618" i="1"/>
  <c r="W647" i="1"/>
  <c r="V647" i="1"/>
  <c r="W650" i="1"/>
  <c r="V650" i="1"/>
  <c r="W662" i="1"/>
  <c r="V662" i="1"/>
  <c r="W699" i="1"/>
  <c r="V699" i="1"/>
  <c r="W708" i="1"/>
  <c r="V708" i="1"/>
  <c r="W714" i="1"/>
  <c r="V714" i="1"/>
  <c r="W726" i="1"/>
  <c r="V726" i="1"/>
  <c r="W763" i="1"/>
  <c r="V763" i="1"/>
  <c r="W775" i="1"/>
  <c r="V775" i="1"/>
  <c r="W778" i="1"/>
  <c r="V778" i="1"/>
  <c r="W790" i="1"/>
  <c r="V790" i="1"/>
  <c r="W804" i="1"/>
  <c r="V804" i="1"/>
  <c r="W810" i="1"/>
  <c r="V810" i="1"/>
  <c r="W859" i="1"/>
  <c r="V859" i="1"/>
  <c r="W886" i="1"/>
  <c r="V886" i="1"/>
  <c r="W900" i="1"/>
  <c r="V900" i="1"/>
  <c r="W906" i="1"/>
  <c r="V906" i="1"/>
  <c r="W938" i="1"/>
  <c r="V938" i="1"/>
  <c r="W967" i="1"/>
  <c r="V967" i="1"/>
  <c r="W976" i="1"/>
  <c r="V976" i="1"/>
  <c r="W987" i="1"/>
  <c r="V987" i="1"/>
  <c r="W1046" i="1"/>
  <c r="V1046" i="1"/>
  <c r="W1060" i="1"/>
  <c r="V1060" i="1"/>
  <c r="W1066" i="1"/>
  <c r="V1066" i="1"/>
  <c r="W1083" i="1"/>
  <c r="V1083" i="1"/>
  <c r="W5" i="1"/>
  <c r="V5" i="1"/>
  <c r="W46" i="1"/>
  <c r="V46" i="1"/>
  <c r="W51" i="1"/>
  <c r="V51" i="1"/>
  <c r="W60" i="1"/>
  <c r="V60" i="1"/>
  <c r="W63" i="1"/>
  <c r="V63" i="1"/>
  <c r="W69" i="1"/>
  <c r="V69" i="1"/>
  <c r="W78" i="1"/>
  <c r="V78" i="1"/>
  <c r="W89" i="1"/>
  <c r="V89" i="1"/>
  <c r="W95" i="1"/>
  <c r="V95" i="1"/>
  <c r="W101" i="1"/>
  <c r="V101" i="1"/>
  <c r="W110" i="1"/>
  <c r="V110" i="1"/>
  <c r="W136" i="1"/>
  <c r="V136" i="1"/>
  <c r="W147" i="1"/>
  <c r="V147" i="1"/>
  <c r="W168" i="1"/>
  <c r="V168" i="1"/>
  <c r="W179" i="1"/>
  <c r="V179" i="1"/>
  <c r="W188" i="1"/>
  <c r="V188" i="1"/>
  <c r="W191" i="1"/>
  <c r="V191" i="1"/>
  <c r="W197" i="1"/>
  <c r="V197" i="1"/>
  <c r="W211" i="1"/>
  <c r="V211" i="1"/>
  <c r="W238" i="1"/>
  <c r="V238" i="1"/>
  <c r="W249" i="1"/>
  <c r="V249" i="1"/>
  <c r="W264" i="1"/>
  <c r="V264" i="1"/>
  <c r="W281" i="1"/>
  <c r="V281" i="1"/>
  <c r="W296" i="1"/>
  <c r="V296" i="1"/>
  <c r="W307" i="1"/>
  <c r="V307" i="1"/>
  <c r="W316" i="1"/>
  <c r="V316" i="1"/>
  <c r="W319" i="1"/>
  <c r="V319" i="1"/>
  <c r="W325" i="1"/>
  <c r="V325" i="1"/>
  <c r="W339" i="1"/>
  <c r="V339" i="1"/>
  <c r="W360" i="1"/>
  <c r="V360" i="1"/>
  <c r="W371" i="1"/>
  <c r="V371" i="1"/>
  <c r="W380" i="1"/>
  <c r="V380" i="1"/>
  <c r="W383" i="1"/>
  <c r="V383" i="1"/>
  <c r="W389" i="1"/>
  <c r="V389" i="1"/>
  <c r="W398" i="1"/>
  <c r="V398" i="1"/>
  <c r="W412" i="1"/>
  <c r="V412" i="1"/>
  <c r="W415" i="1"/>
  <c r="V415" i="1"/>
  <c r="W421" i="1"/>
  <c r="V421" i="1"/>
  <c r="W447" i="1"/>
  <c r="V447" i="1"/>
  <c r="W450" i="1"/>
  <c r="V450" i="1"/>
  <c r="W456" i="1"/>
  <c r="V456" i="1"/>
  <c r="W479" i="1"/>
  <c r="V479" i="1"/>
  <c r="W482" i="1"/>
  <c r="V482" i="1"/>
  <c r="W488" i="1"/>
  <c r="V488" i="1"/>
  <c r="W499" i="1"/>
  <c r="V499" i="1"/>
  <c r="W508" i="1"/>
  <c r="V508" i="1"/>
  <c r="W511" i="1"/>
  <c r="V511" i="1"/>
  <c r="W514" i="1"/>
  <c r="V514" i="1"/>
  <c r="W520" i="1"/>
  <c r="V520" i="1"/>
  <c r="W526" i="1"/>
  <c r="V526" i="1"/>
  <c r="W531" i="1"/>
  <c r="V531" i="1"/>
  <c r="W540" i="1"/>
  <c r="V540" i="1"/>
  <c r="W543" i="1"/>
  <c r="V543" i="1"/>
  <c r="W546" i="1"/>
  <c r="V546" i="1"/>
  <c r="W552" i="1"/>
  <c r="V552" i="1"/>
  <c r="W558" i="1"/>
  <c r="V558" i="1"/>
  <c r="W563" i="1"/>
  <c r="V563" i="1"/>
  <c r="W572" i="1"/>
  <c r="V572" i="1"/>
  <c r="W575" i="1"/>
  <c r="V575" i="1"/>
  <c r="W578" i="1"/>
  <c r="V578" i="1"/>
  <c r="W584" i="1"/>
  <c r="V584" i="1"/>
  <c r="W590" i="1"/>
  <c r="V590" i="1"/>
  <c r="W595" i="1"/>
  <c r="V595" i="1"/>
  <c r="W604" i="1"/>
  <c r="V604" i="1"/>
  <c r="W607" i="1"/>
  <c r="V607" i="1"/>
  <c r="W610" i="1"/>
  <c r="V610" i="1"/>
  <c r="W616" i="1"/>
  <c r="V616" i="1"/>
  <c r="W622" i="1"/>
  <c r="V622" i="1"/>
  <c r="W627" i="1"/>
  <c r="V627" i="1"/>
  <c r="W636" i="1"/>
  <c r="V636" i="1"/>
  <c r="W639" i="1"/>
  <c r="V639" i="1"/>
  <c r="W642" i="1"/>
  <c r="V642" i="1"/>
  <c r="W648" i="1"/>
  <c r="V648" i="1"/>
  <c r="W654" i="1"/>
  <c r="V654" i="1"/>
  <c r="W659" i="1"/>
  <c r="V659" i="1"/>
  <c r="W668" i="1"/>
  <c r="V668" i="1"/>
  <c r="W671" i="1"/>
  <c r="V671" i="1"/>
  <c r="W674" i="1"/>
  <c r="V674" i="1"/>
  <c r="W680" i="1"/>
  <c r="V680" i="1"/>
  <c r="W686" i="1"/>
  <c r="V686" i="1"/>
  <c r="W691" i="1"/>
  <c r="V691" i="1"/>
  <c r="W700" i="1"/>
  <c r="V700" i="1"/>
  <c r="W703" i="1"/>
  <c r="V703" i="1"/>
  <c r="W706" i="1"/>
  <c r="V706" i="1"/>
  <c r="W712" i="1"/>
  <c r="V712" i="1"/>
  <c r="W718" i="1"/>
  <c r="V718" i="1"/>
  <c r="W723" i="1"/>
  <c r="V723" i="1"/>
  <c r="W732" i="1"/>
  <c r="V732" i="1"/>
  <c r="W735" i="1"/>
  <c r="V735" i="1"/>
  <c r="W738" i="1"/>
  <c r="V738" i="1"/>
  <c r="W744" i="1"/>
  <c r="V744" i="1"/>
  <c r="W750" i="1"/>
  <c r="V750" i="1"/>
  <c r="W755" i="1"/>
  <c r="V755" i="1"/>
  <c r="W764" i="1"/>
  <c r="V764" i="1"/>
  <c r="W767" i="1"/>
  <c r="V767" i="1"/>
  <c r="W770" i="1"/>
  <c r="V770" i="1"/>
  <c r="W776" i="1"/>
  <c r="V776" i="1"/>
  <c r="W782" i="1"/>
  <c r="V782" i="1"/>
  <c r="W787" i="1"/>
  <c r="V787" i="1"/>
  <c r="W796" i="1"/>
  <c r="V796" i="1"/>
  <c r="W799" i="1"/>
  <c r="V799" i="1"/>
  <c r="W802" i="1"/>
  <c r="V802" i="1"/>
  <c r="W808" i="1"/>
  <c r="V808" i="1"/>
  <c r="W814" i="1"/>
  <c r="V814" i="1"/>
  <c r="W819" i="1"/>
  <c r="V819" i="1"/>
  <c r="W828" i="1"/>
  <c r="V828" i="1"/>
  <c r="W831" i="1"/>
  <c r="V831" i="1"/>
  <c r="W834" i="1"/>
  <c r="V834" i="1"/>
  <c r="W840" i="1"/>
  <c r="V840" i="1"/>
  <c r="W846" i="1"/>
  <c r="V846" i="1"/>
  <c r="W851" i="1"/>
  <c r="V851" i="1"/>
  <c r="W860" i="1"/>
  <c r="V860" i="1"/>
  <c r="W863" i="1"/>
  <c r="V863" i="1"/>
  <c r="W866" i="1"/>
  <c r="V866" i="1"/>
  <c r="W872" i="1"/>
  <c r="V872" i="1"/>
  <c r="W878" i="1"/>
  <c r="V878" i="1"/>
  <c r="W883" i="1"/>
  <c r="V883" i="1"/>
  <c r="W892" i="1"/>
  <c r="V892" i="1"/>
  <c r="W895" i="1"/>
  <c r="V895" i="1"/>
  <c r="W898" i="1"/>
  <c r="V898" i="1"/>
  <c r="W904" i="1"/>
  <c r="V904" i="1"/>
  <c r="W910" i="1"/>
  <c r="V910" i="1"/>
  <c r="W915" i="1"/>
  <c r="V915" i="1"/>
  <c r="W924" i="1"/>
  <c r="V924" i="1"/>
  <c r="W927" i="1"/>
  <c r="V927" i="1"/>
  <c r="W930" i="1"/>
  <c r="V930" i="1"/>
  <c r="W936" i="1"/>
  <c r="V936" i="1"/>
  <c r="W942" i="1"/>
  <c r="V942" i="1"/>
  <c r="W947" i="1"/>
  <c r="V947" i="1"/>
  <c r="W956" i="1"/>
  <c r="V956" i="1"/>
  <c r="W959" i="1"/>
  <c r="V959" i="1"/>
  <c r="W962" i="1"/>
  <c r="V962" i="1"/>
  <c r="W968" i="1"/>
  <c r="V968" i="1"/>
  <c r="W974" i="1"/>
  <c r="V974" i="1"/>
  <c r="W979" i="1"/>
  <c r="V979" i="1"/>
  <c r="W988" i="1"/>
  <c r="V988" i="1"/>
  <c r="W991" i="1"/>
  <c r="V991" i="1"/>
  <c r="W994" i="1"/>
  <c r="V994" i="1"/>
  <c r="W1000" i="1"/>
  <c r="V1000" i="1"/>
  <c r="W1006" i="1"/>
  <c r="V1006" i="1"/>
  <c r="W1011" i="1"/>
  <c r="V1011" i="1"/>
  <c r="W1020" i="1"/>
  <c r="V1020" i="1"/>
  <c r="W1023" i="1"/>
  <c r="V1023" i="1"/>
  <c r="W1026" i="1"/>
  <c r="V1026" i="1"/>
  <c r="W1032" i="1"/>
  <c r="V1032" i="1"/>
  <c r="W1038" i="1"/>
  <c r="V1038" i="1"/>
  <c r="W1043" i="1"/>
  <c r="V1043" i="1"/>
  <c r="W1052" i="1"/>
  <c r="V1052" i="1"/>
  <c r="W1055" i="1"/>
  <c r="V1055" i="1"/>
  <c r="W1058" i="1"/>
  <c r="V1058" i="1"/>
  <c r="W1064" i="1"/>
  <c r="V1064" i="1"/>
  <c r="W1070" i="1"/>
  <c r="V1070" i="1"/>
  <c r="W1075" i="1"/>
  <c r="V1075" i="1"/>
  <c r="W1084" i="1"/>
  <c r="V1084" i="1"/>
  <c r="W1087" i="1"/>
  <c r="V1087" i="1"/>
  <c r="W1090" i="1"/>
  <c r="V1090" i="1"/>
  <c r="W1096" i="1"/>
  <c r="V1096" i="1"/>
  <c r="W1102" i="1"/>
  <c r="V1102" i="1"/>
  <c r="W1107" i="1"/>
  <c r="V1107" i="1"/>
  <c r="W1116" i="1"/>
  <c r="V1116" i="1"/>
  <c r="W1119" i="1"/>
  <c r="V1119" i="1"/>
  <c r="W1122" i="1"/>
  <c r="V1122" i="1"/>
  <c r="W1128" i="1"/>
  <c r="V1128" i="1"/>
  <c r="W1134" i="1"/>
  <c r="V1134" i="1"/>
  <c r="W1139" i="1"/>
  <c r="V1139" i="1"/>
  <c r="W1148" i="1"/>
  <c r="V1148" i="1"/>
  <c r="W1151" i="1"/>
  <c r="V1151" i="1"/>
  <c r="W1154" i="1"/>
  <c r="V1154" i="1"/>
  <c r="W1160" i="1"/>
  <c r="V1160" i="1"/>
  <c r="W1166" i="1"/>
  <c r="V1166" i="1"/>
  <c r="W1171" i="1"/>
  <c r="V1171" i="1"/>
  <c r="W1180" i="1"/>
  <c r="V1180" i="1"/>
  <c r="W1183" i="1"/>
  <c r="V1183" i="1"/>
  <c r="W1186" i="1"/>
  <c r="V1186" i="1"/>
  <c r="W1192" i="1"/>
  <c r="V1192" i="1"/>
  <c r="W1198" i="1"/>
  <c r="V1198" i="1"/>
  <c r="W1203" i="1"/>
  <c r="V1203" i="1"/>
  <c r="W1212" i="1"/>
  <c r="V1212" i="1"/>
  <c r="W1215" i="1"/>
  <c r="V1215" i="1"/>
  <c r="W1218" i="1"/>
  <c r="V1218" i="1"/>
  <c r="W1224" i="1"/>
  <c r="V1224" i="1"/>
  <c r="W1230" i="1"/>
  <c r="V1230" i="1"/>
  <c r="W1235" i="1"/>
  <c r="V1235" i="1"/>
  <c r="W1244" i="1"/>
  <c r="V1244" i="1"/>
  <c r="W1247" i="1"/>
  <c r="V1247" i="1"/>
  <c r="W1250" i="1"/>
  <c r="V1250" i="1"/>
  <c r="W1256" i="1"/>
  <c r="V1256" i="1"/>
  <c r="W1262" i="1"/>
  <c r="V1262" i="1"/>
  <c r="W1267" i="1"/>
  <c r="V1267" i="1"/>
  <c r="W1276" i="1"/>
  <c r="V1276" i="1"/>
  <c r="W1279" i="1"/>
  <c r="V1279" i="1"/>
  <c r="W1282" i="1"/>
  <c r="V1282" i="1"/>
  <c r="W1288" i="1"/>
  <c r="V1288" i="1"/>
  <c r="W1294" i="1"/>
  <c r="V1294" i="1"/>
  <c r="W1299" i="1"/>
  <c r="V1299" i="1"/>
  <c r="W1308" i="1"/>
  <c r="V1308" i="1"/>
  <c r="W1311" i="1"/>
  <c r="V1311" i="1"/>
  <c r="W1314" i="1"/>
  <c r="V1314" i="1"/>
  <c r="W1320" i="1"/>
  <c r="V1320" i="1"/>
  <c r="W1326" i="1"/>
  <c r="V1326" i="1"/>
  <c r="W1331" i="1"/>
  <c r="V1331" i="1"/>
  <c r="W1340" i="1"/>
  <c r="V1340" i="1"/>
  <c r="W1343" i="1"/>
  <c r="V1343" i="1"/>
  <c r="W1346" i="1"/>
  <c r="V1346" i="1"/>
  <c r="W1352" i="1"/>
  <c r="V1352" i="1"/>
  <c r="W1358" i="1"/>
  <c r="V1358" i="1"/>
  <c r="W1363" i="1"/>
  <c r="V1363" i="1"/>
  <c r="W1372" i="1"/>
  <c r="V1372" i="1"/>
  <c r="W1375" i="1"/>
  <c r="V1375" i="1"/>
  <c r="W1378" i="1"/>
  <c r="V1378" i="1"/>
  <c r="W1384" i="1"/>
  <c r="V1384" i="1"/>
  <c r="W1390" i="1"/>
  <c r="V1390" i="1"/>
  <c r="W1395" i="1"/>
  <c r="V1395" i="1"/>
  <c r="W1404" i="1"/>
  <c r="V1404" i="1"/>
  <c r="W1407" i="1"/>
  <c r="V1407" i="1"/>
  <c r="W1410" i="1"/>
  <c r="V1410" i="1"/>
  <c r="W1416" i="1"/>
  <c r="V1416" i="1"/>
  <c r="W1422" i="1"/>
  <c r="V1422" i="1"/>
  <c r="W1427" i="1"/>
  <c r="V1427" i="1"/>
  <c r="W1436" i="1"/>
  <c r="V1436" i="1"/>
  <c r="W1439" i="1"/>
  <c r="V1439" i="1"/>
  <c r="W1442" i="1"/>
  <c r="V1442" i="1"/>
  <c r="W1448" i="1"/>
  <c r="V1448" i="1"/>
  <c r="W1454" i="1"/>
  <c r="V1454" i="1"/>
  <c r="W1459" i="1"/>
  <c r="V1459" i="1"/>
  <c r="W1468" i="1"/>
  <c r="V1468" i="1"/>
  <c r="W1471" i="1"/>
  <c r="V1471" i="1"/>
  <c r="W1474" i="1"/>
  <c r="V1474" i="1"/>
  <c r="W1480" i="1"/>
  <c r="V1480" i="1"/>
  <c r="W1486" i="1"/>
  <c r="V1486" i="1"/>
  <c r="W1491" i="1"/>
  <c r="V1491" i="1"/>
  <c r="W1500" i="1"/>
  <c r="V1500" i="1"/>
  <c r="W1503" i="1"/>
  <c r="V1503" i="1"/>
  <c r="W1506" i="1"/>
  <c r="V1506" i="1"/>
  <c r="W1512" i="1"/>
  <c r="V1512" i="1"/>
  <c r="W1518" i="1"/>
  <c r="V1518" i="1"/>
  <c r="W1523" i="1"/>
  <c r="V1523" i="1"/>
  <c r="W1532" i="1"/>
  <c r="V1532" i="1"/>
  <c r="W1535" i="1"/>
  <c r="V1535" i="1"/>
  <c r="W1538" i="1"/>
  <c r="V1538" i="1"/>
  <c r="W1544" i="1"/>
  <c r="V1544" i="1"/>
  <c r="W1550" i="1"/>
  <c r="V1550" i="1"/>
  <c r="W1555" i="1"/>
  <c r="V1555" i="1"/>
  <c r="W1564" i="1"/>
  <c r="V1564" i="1"/>
  <c r="W1567" i="1"/>
  <c r="V1567" i="1"/>
  <c r="W1570" i="1"/>
  <c r="V1570" i="1"/>
  <c r="W1576" i="1"/>
  <c r="V1576" i="1"/>
  <c r="W1582" i="1"/>
  <c r="V1582" i="1"/>
  <c r="W1587" i="1"/>
  <c r="V1587" i="1"/>
  <c r="W1596" i="1"/>
  <c r="V1596" i="1"/>
  <c r="W1599" i="1"/>
  <c r="V1599" i="1"/>
  <c r="W1602" i="1"/>
  <c r="V1602" i="1"/>
  <c r="W1608" i="1"/>
  <c r="V1608" i="1"/>
  <c r="W1614" i="1"/>
  <c r="V1614" i="1"/>
  <c r="W1619" i="1"/>
  <c r="V1619" i="1"/>
  <c r="W1628" i="1"/>
  <c r="V1628" i="1"/>
  <c r="W1631" i="1"/>
  <c r="V1631" i="1"/>
  <c r="W1634" i="1"/>
  <c r="V1634" i="1"/>
  <c r="W1640" i="1"/>
  <c r="V1640" i="1"/>
  <c r="W1646" i="1"/>
  <c r="V1646" i="1"/>
  <c r="W1651" i="1"/>
  <c r="V1651" i="1"/>
  <c r="W1657" i="1"/>
  <c r="V1657" i="1"/>
  <c r="W1660" i="1"/>
  <c r="V1660" i="1"/>
  <c r="W1663" i="1"/>
  <c r="V1663" i="1"/>
  <c r="W1666" i="1"/>
  <c r="V1666" i="1"/>
  <c r="W1669" i="1"/>
  <c r="V1669" i="1"/>
  <c r="W1672" i="1"/>
  <c r="V1672" i="1"/>
  <c r="W1678" i="1"/>
  <c r="V1678" i="1"/>
  <c r="W1683" i="1"/>
  <c r="V1683" i="1"/>
  <c r="W1689" i="1"/>
  <c r="V1689" i="1"/>
  <c r="W1692" i="1"/>
  <c r="V1692" i="1"/>
  <c r="W1695" i="1"/>
  <c r="V1695" i="1"/>
  <c r="W1698" i="1"/>
  <c r="V1698" i="1"/>
  <c r="W1701" i="1"/>
  <c r="V1701" i="1"/>
  <c r="W1704" i="1"/>
  <c r="V1704" i="1"/>
  <c r="W1710" i="1"/>
  <c r="V1710" i="1"/>
  <c r="W1715" i="1"/>
  <c r="V1715" i="1"/>
  <c r="W1721" i="1"/>
  <c r="V1721" i="1"/>
  <c r="W1724" i="1"/>
  <c r="V1724" i="1"/>
  <c r="W1727" i="1"/>
  <c r="V1727" i="1"/>
  <c r="W1730" i="1"/>
  <c r="V1730" i="1"/>
  <c r="W1733" i="1"/>
  <c r="V1733" i="1"/>
  <c r="W1736" i="1"/>
  <c r="V1736" i="1"/>
  <c r="W1742" i="1"/>
  <c r="V1742" i="1"/>
  <c r="W1747" i="1"/>
  <c r="V1747" i="1"/>
  <c r="W1753" i="1"/>
  <c r="V1753" i="1"/>
  <c r="W1756" i="1"/>
  <c r="V1756" i="1"/>
  <c r="W1759" i="1"/>
  <c r="V1759" i="1"/>
  <c r="W1762" i="1"/>
  <c r="V1762" i="1"/>
  <c r="W1765" i="1"/>
  <c r="V1765" i="1"/>
  <c r="W1768" i="1"/>
  <c r="V1768" i="1"/>
  <c r="W1774" i="1"/>
  <c r="V1774" i="1"/>
  <c r="W1779" i="1"/>
  <c r="V1779" i="1"/>
  <c r="W1785" i="1"/>
  <c r="V1785" i="1"/>
  <c r="W1788" i="1"/>
  <c r="V1788" i="1"/>
  <c r="W1791" i="1"/>
  <c r="V1791" i="1"/>
  <c r="W1794" i="1"/>
  <c r="V1794" i="1"/>
  <c r="W1797" i="1"/>
  <c r="V1797" i="1"/>
  <c r="W1800" i="1"/>
  <c r="V1800" i="1"/>
  <c r="W1806" i="1"/>
  <c r="V1806" i="1"/>
  <c r="W1811" i="1"/>
  <c r="V1811" i="1"/>
  <c r="W1817" i="1"/>
  <c r="V1817" i="1"/>
  <c r="W1820" i="1"/>
  <c r="V1820" i="1"/>
  <c r="W1823" i="1"/>
  <c r="V1823" i="1"/>
  <c r="W1826" i="1"/>
  <c r="V1826" i="1"/>
  <c r="W1829" i="1"/>
  <c r="V1829" i="1"/>
  <c r="W1832" i="1"/>
  <c r="V1832" i="1"/>
  <c r="W1838" i="1"/>
  <c r="V1838" i="1"/>
  <c r="W1843" i="1"/>
  <c r="V1843" i="1"/>
  <c r="W1849" i="1"/>
  <c r="V1849" i="1"/>
  <c r="W1852" i="1"/>
  <c r="V1852" i="1"/>
  <c r="W1855" i="1"/>
  <c r="V1855" i="1"/>
  <c r="W1858" i="1"/>
  <c r="V1858" i="1"/>
  <c r="W1861" i="1"/>
  <c r="V1861" i="1"/>
  <c r="W1864" i="1"/>
  <c r="V1864" i="1"/>
  <c r="W1870" i="1"/>
  <c r="V1870" i="1"/>
  <c r="W1875" i="1"/>
  <c r="V1875" i="1"/>
  <c r="W1881" i="1"/>
  <c r="V1881" i="1"/>
  <c r="W1884" i="1"/>
  <c r="V1884" i="1"/>
  <c r="W1887" i="1"/>
  <c r="V1887" i="1"/>
  <c r="W1890" i="1"/>
  <c r="V1890" i="1"/>
  <c r="W1893" i="1"/>
  <c r="V1893" i="1"/>
  <c r="W1896" i="1"/>
  <c r="V1896" i="1"/>
  <c r="W1902" i="1"/>
  <c r="V1902" i="1"/>
  <c r="W1907" i="1"/>
  <c r="V1907" i="1"/>
  <c r="W1913" i="1"/>
  <c r="V1913" i="1"/>
  <c r="W1916" i="1"/>
  <c r="V1916" i="1"/>
  <c r="W1919" i="1"/>
  <c r="V1919" i="1"/>
  <c r="W1922" i="1"/>
  <c r="V1922" i="1"/>
  <c r="W1925" i="1"/>
  <c r="V1925" i="1"/>
  <c r="W1928" i="1"/>
  <c r="V1928" i="1"/>
  <c r="W1931" i="1"/>
  <c r="V1931" i="1"/>
  <c r="W1938" i="1"/>
  <c r="V1938" i="1"/>
  <c r="W1941" i="1"/>
  <c r="V1941" i="1"/>
  <c r="W1944" i="1"/>
  <c r="V1944" i="1"/>
  <c r="W1947" i="1"/>
  <c r="V1947" i="1"/>
  <c r="W1954" i="1"/>
  <c r="V1954" i="1"/>
  <c r="W1957" i="1"/>
  <c r="V1957" i="1"/>
  <c r="W1960" i="1"/>
  <c r="V1960" i="1"/>
  <c r="W1963" i="1"/>
  <c r="V1963" i="1"/>
  <c r="W1970" i="1"/>
  <c r="V1970" i="1"/>
  <c r="W1973" i="1"/>
  <c r="V1973" i="1"/>
  <c r="W1976" i="1"/>
  <c r="V1976" i="1"/>
  <c r="W1979" i="1"/>
  <c r="V1979" i="1"/>
  <c r="W1986" i="1"/>
  <c r="V1986" i="1"/>
  <c r="W1989" i="1"/>
  <c r="V1989" i="1"/>
  <c r="W1992" i="1"/>
  <c r="V1992" i="1"/>
  <c r="W1995" i="1"/>
  <c r="V1995" i="1"/>
  <c r="W2002" i="1"/>
  <c r="V2002" i="1"/>
  <c r="W2005" i="1"/>
  <c r="V2005" i="1"/>
  <c r="W2008" i="1"/>
  <c r="V2008" i="1"/>
  <c r="W2011" i="1"/>
  <c r="V2011" i="1"/>
  <c r="W2018" i="1"/>
  <c r="V2018" i="1"/>
  <c r="W2021" i="1"/>
  <c r="V2021" i="1"/>
  <c r="W2024" i="1"/>
  <c r="V2024" i="1"/>
  <c r="W2027" i="1"/>
  <c r="V2027" i="1"/>
  <c r="W2034" i="1"/>
  <c r="V2034" i="1"/>
  <c r="W2037" i="1"/>
  <c r="V2037" i="1"/>
  <c r="W2040" i="1"/>
  <c r="V2040" i="1"/>
  <c r="W2043" i="1"/>
  <c r="V2043" i="1"/>
  <c r="W2050" i="1"/>
  <c r="V2050" i="1"/>
  <c r="W2054" i="1"/>
  <c r="V2054" i="1"/>
  <c r="W2058" i="1"/>
  <c r="V2058" i="1"/>
  <c r="W2065" i="1"/>
  <c r="V2065" i="1"/>
  <c r="W2069" i="1"/>
  <c r="V2069" i="1"/>
  <c r="W2073" i="1"/>
  <c r="V2073" i="1"/>
  <c r="W2077" i="1"/>
  <c r="V2077" i="1"/>
  <c r="W2080" i="1"/>
  <c r="V2080" i="1"/>
  <c r="W2084" i="1"/>
  <c r="V2084" i="1"/>
  <c r="W2088" i="1"/>
  <c r="V2088" i="1"/>
  <c r="W2092" i="1"/>
  <c r="V2092" i="1"/>
  <c r="W2095" i="1"/>
  <c r="V2095" i="1"/>
  <c r="W2099" i="1"/>
  <c r="V2099" i="1"/>
  <c r="W2103" i="1"/>
  <c r="V2103" i="1"/>
  <c r="W2107" i="1"/>
  <c r="V2107" i="1"/>
  <c r="W2110" i="1"/>
  <c r="V2110" i="1"/>
  <c r="W2114" i="1"/>
  <c r="V2114" i="1"/>
  <c r="W2118" i="1"/>
  <c r="V2118" i="1"/>
  <c r="W2122" i="1"/>
  <c r="V2122" i="1"/>
  <c r="W2129" i="1"/>
  <c r="V2129" i="1"/>
  <c r="W2133" i="1"/>
  <c r="V2133" i="1"/>
  <c r="W2137" i="1"/>
  <c r="V2137" i="1"/>
  <c r="W2141" i="1"/>
  <c r="V2141" i="1"/>
  <c r="W2144" i="1"/>
  <c r="V2144" i="1"/>
  <c r="W2148" i="1"/>
  <c r="V2148" i="1"/>
  <c r="W2152" i="1"/>
  <c r="V2152" i="1"/>
  <c r="W2156" i="1"/>
  <c r="V2156" i="1"/>
  <c r="W2159" i="1"/>
  <c r="V2159" i="1"/>
  <c r="W2163" i="1"/>
  <c r="V2163" i="1"/>
  <c r="W2167" i="1"/>
  <c r="V2167" i="1"/>
  <c r="W2171" i="1"/>
  <c r="V2171" i="1"/>
  <c r="W2174" i="1"/>
  <c r="V2174" i="1"/>
  <c r="W2178" i="1"/>
  <c r="V2178" i="1"/>
  <c r="W2182" i="1"/>
  <c r="V2182" i="1"/>
  <c r="W2186" i="1"/>
  <c r="V2186" i="1"/>
  <c r="W2193" i="1"/>
  <c r="V2193" i="1"/>
  <c r="W2197" i="1"/>
  <c r="V2197" i="1"/>
  <c r="W2201" i="1"/>
  <c r="V2201" i="1"/>
  <c r="W2205" i="1"/>
  <c r="V2205" i="1"/>
  <c r="W2208" i="1"/>
  <c r="V2208" i="1"/>
  <c r="W2212" i="1"/>
  <c r="V2212" i="1"/>
  <c r="W2216" i="1"/>
  <c r="V2216" i="1"/>
  <c r="W2220" i="1"/>
  <c r="V2220" i="1"/>
  <c r="W2223" i="1"/>
  <c r="V2223" i="1"/>
  <c r="W2227" i="1"/>
  <c r="V2227" i="1"/>
  <c r="W2231" i="1"/>
  <c r="V2231" i="1"/>
  <c r="W2235" i="1"/>
  <c r="V2235" i="1"/>
  <c r="W2238" i="1"/>
  <c r="V2238" i="1"/>
  <c r="W2242" i="1"/>
  <c r="V2242" i="1"/>
  <c r="W2246" i="1"/>
  <c r="V2246" i="1"/>
  <c r="W2250" i="1"/>
  <c r="V2250" i="1"/>
  <c r="W2257" i="1"/>
  <c r="V2257" i="1"/>
  <c r="W2261" i="1"/>
  <c r="V2261" i="1"/>
  <c r="W2265" i="1"/>
  <c r="V2265" i="1"/>
  <c r="W2269" i="1"/>
  <c r="V2269" i="1"/>
  <c r="W2272" i="1"/>
  <c r="V2272" i="1"/>
  <c r="W2276" i="1"/>
  <c r="V2276" i="1"/>
  <c r="W2280" i="1"/>
  <c r="V2280" i="1"/>
  <c r="W2284" i="1"/>
  <c r="V2284" i="1"/>
  <c r="W2287" i="1"/>
  <c r="V2287" i="1"/>
  <c r="W2291" i="1"/>
  <c r="V2291" i="1"/>
  <c r="W2295" i="1"/>
  <c r="V2295" i="1"/>
  <c r="W2299" i="1"/>
  <c r="V2299" i="1"/>
  <c r="W2302" i="1"/>
  <c r="V2302" i="1"/>
  <c r="W2306" i="1"/>
  <c r="V2306" i="1"/>
  <c r="W2310" i="1"/>
  <c r="V2310" i="1"/>
  <c r="W2314" i="1"/>
  <c r="V2314" i="1"/>
  <c r="W2321" i="1"/>
  <c r="V2321" i="1"/>
  <c r="W2325" i="1"/>
  <c r="V2325" i="1"/>
  <c r="W2329" i="1"/>
  <c r="V2329" i="1"/>
  <c r="W2333" i="1"/>
  <c r="V2333" i="1"/>
  <c r="W2336" i="1"/>
  <c r="V2336" i="1"/>
  <c r="W2340" i="1"/>
  <c r="V2340" i="1"/>
  <c r="W2344" i="1"/>
  <c r="V2344" i="1"/>
  <c r="W2348" i="1"/>
  <c r="V2348" i="1"/>
  <c r="W2351" i="1"/>
  <c r="V2351" i="1"/>
  <c r="W2355" i="1"/>
  <c r="V2355" i="1"/>
  <c r="W2359" i="1"/>
  <c r="V2359" i="1"/>
  <c r="W2363" i="1"/>
  <c r="V2363" i="1"/>
  <c r="W2366" i="1"/>
  <c r="V2366" i="1"/>
  <c r="W2370" i="1"/>
  <c r="V2370" i="1"/>
  <c r="W2374" i="1"/>
  <c r="V2374" i="1"/>
  <c r="W2378" i="1"/>
  <c r="V2378" i="1"/>
  <c r="W2385" i="1"/>
  <c r="V2385" i="1"/>
  <c r="W2389" i="1"/>
  <c r="V2389" i="1"/>
  <c r="W2393" i="1"/>
  <c r="V2393" i="1"/>
  <c r="W2397" i="1"/>
  <c r="V2397" i="1"/>
  <c r="W2400" i="1"/>
  <c r="V2400" i="1"/>
  <c r="W2404" i="1"/>
  <c r="V2404" i="1"/>
  <c r="W2408" i="1"/>
  <c r="V2408" i="1"/>
  <c r="W2412" i="1"/>
  <c r="V2412" i="1"/>
  <c r="W2416" i="1"/>
  <c r="V2416" i="1"/>
  <c r="W2420" i="1"/>
  <c r="V2420" i="1"/>
  <c r="W2424" i="1"/>
  <c r="V2424" i="1"/>
  <c r="W2428" i="1"/>
  <c r="V2428" i="1"/>
  <c r="W2431" i="1"/>
  <c r="V2431" i="1"/>
  <c r="W2435" i="1"/>
  <c r="V2435" i="1"/>
  <c r="W2439" i="1"/>
  <c r="V2439" i="1"/>
  <c r="W2443" i="1"/>
  <c r="V2443" i="1"/>
  <c r="W2447" i="1"/>
  <c r="V2447" i="1"/>
  <c r="W2451" i="1"/>
  <c r="V2451" i="1"/>
  <c r="W2455" i="1"/>
  <c r="V2455" i="1"/>
  <c r="W2459" i="1"/>
  <c r="V2459" i="1"/>
  <c r="W2462" i="1"/>
  <c r="V2462" i="1"/>
  <c r="W2466" i="1"/>
  <c r="V2466" i="1"/>
  <c r="W2470" i="1"/>
  <c r="V2470" i="1"/>
  <c r="W2474" i="1"/>
  <c r="V2474" i="1"/>
  <c r="W2478" i="1"/>
  <c r="V2478" i="1"/>
  <c r="W2482" i="1"/>
  <c r="V2482" i="1"/>
  <c r="W2486" i="1"/>
  <c r="V2486" i="1"/>
  <c r="W2490" i="1"/>
  <c r="V2490" i="1"/>
  <c r="W2497" i="1"/>
  <c r="V2497" i="1"/>
  <c r="W2501" i="1"/>
  <c r="V2501" i="1"/>
  <c r="W2505" i="1"/>
  <c r="V2505" i="1"/>
  <c r="W2509" i="1"/>
  <c r="V2509" i="1"/>
  <c r="W2512" i="1"/>
  <c r="V2512" i="1"/>
  <c r="W2516" i="1"/>
  <c r="V2516" i="1"/>
  <c r="W2520" i="1"/>
  <c r="V2520" i="1"/>
  <c r="W2524" i="1"/>
  <c r="V2524" i="1"/>
  <c r="W2527" i="1"/>
  <c r="V2527" i="1"/>
  <c r="W2531" i="1"/>
  <c r="V2531" i="1"/>
  <c r="W2535" i="1"/>
  <c r="V2535" i="1"/>
  <c r="W2539" i="1"/>
  <c r="V2539" i="1"/>
  <c r="W2543" i="1"/>
  <c r="V2543" i="1"/>
  <c r="W2547" i="1"/>
  <c r="V2547" i="1"/>
  <c r="W2551" i="1"/>
  <c r="V2551" i="1"/>
  <c r="W2555" i="1"/>
  <c r="V2555" i="1"/>
  <c r="W2558" i="1"/>
  <c r="V2558" i="1"/>
  <c r="W2562" i="1"/>
  <c r="V2562" i="1"/>
  <c r="W2566" i="1"/>
  <c r="V2566" i="1"/>
  <c r="W2570" i="1"/>
  <c r="V2570" i="1"/>
  <c r="W2574" i="1"/>
  <c r="V2574" i="1"/>
  <c r="W2578" i="1"/>
  <c r="V2578" i="1"/>
  <c r="W2582" i="1"/>
  <c r="V2582" i="1"/>
  <c r="W2586" i="1"/>
  <c r="V2586" i="1"/>
  <c r="W2593" i="1"/>
  <c r="V2593" i="1"/>
  <c r="W2597" i="1"/>
  <c r="V2597" i="1"/>
  <c r="W2601" i="1"/>
  <c r="V2601" i="1"/>
  <c r="W2605" i="1"/>
  <c r="V2605" i="1"/>
  <c r="W2609" i="1"/>
  <c r="V2609" i="1"/>
  <c r="W2613" i="1"/>
  <c r="V2613" i="1"/>
  <c r="W2617" i="1"/>
  <c r="V2617" i="1"/>
  <c r="W2621" i="1"/>
  <c r="V2621" i="1"/>
  <c r="W2624" i="1"/>
  <c r="V2624" i="1"/>
  <c r="W2628" i="1"/>
  <c r="V2628" i="1"/>
  <c r="W2632" i="1"/>
  <c r="V2632" i="1"/>
  <c r="W2636" i="1"/>
  <c r="V2636" i="1"/>
  <c r="W2640" i="1"/>
  <c r="V2640" i="1"/>
  <c r="W2644" i="1"/>
  <c r="V2644" i="1"/>
  <c r="W2648" i="1"/>
  <c r="V2648" i="1"/>
  <c r="W2652" i="1"/>
  <c r="V2652" i="1"/>
  <c r="W2655" i="1"/>
  <c r="V2655" i="1"/>
  <c r="W2659" i="1"/>
  <c r="V2659" i="1"/>
  <c r="W2663" i="1"/>
  <c r="V2663" i="1"/>
  <c r="W2667" i="1"/>
  <c r="V2667" i="1"/>
  <c r="W2671" i="1"/>
  <c r="V2671" i="1"/>
  <c r="W2675" i="1"/>
  <c r="V2675" i="1"/>
  <c r="W2679" i="1"/>
  <c r="V2679" i="1"/>
  <c r="W2683" i="1"/>
  <c r="V2683" i="1"/>
  <c r="W2686" i="1"/>
  <c r="V2686" i="1"/>
  <c r="W2690" i="1"/>
  <c r="V2690" i="1"/>
  <c r="W2694" i="1"/>
  <c r="V2694" i="1"/>
  <c r="W2698" i="1"/>
  <c r="V2698" i="1"/>
  <c r="W2702" i="1"/>
  <c r="V2702" i="1"/>
  <c r="W2706" i="1"/>
  <c r="V2706" i="1"/>
  <c r="W2710" i="1"/>
  <c r="V2710" i="1"/>
  <c r="W2714" i="1"/>
  <c r="V2714" i="1"/>
  <c r="W2721" i="1"/>
  <c r="V2721" i="1"/>
  <c r="W2725" i="1"/>
  <c r="V2725" i="1"/>
  <c r="W2729" i="1"/>
  <c r="V2729" i="1"/>
  <c r="W2733" i="1"/>
  <c r="V2733" i="1"/>
  <c r="W2737" i="1"/>
  <c r="V2737" i="1"/>
  <c r="W2741" i="1"/>
  <c r="V2741" i="1"/>
  <c r="W2745" i="1"/>
  <c r="V2745" i="1"/>
  <c r="W2749" i="1"/>
  <c r="V2749" i="1"/>
  <c r="W2752" i="1"/>
  <c r="V2752" i="1"/>
  <c r="W2756" i="1"/>
  <c r="V2756" i="1"/>
  <c r="W2760" i="1"/>
  <c r="V2760" i="1"/>
  <c r="W2764" i="1"/>
  <c r="V2764" i="1"/>
  <c r="W2768" i="1"/>
  <c r="V2768" i="1"/>
  <c r="W2772" i="1"/>
  <c r="V2772" i="1"/>
  <c r="W2776" i="1"/>
  <c r="V2776" i="1"/>
  <c r="W2780" i="1"/>
  <c r="V2780" i="1"/>
  <c r="W2783" i="1"/>
  <c r="V2783" i="1"/>
  <c r="W2787" i="1"/>
  <c r="V2787" i="1"/>
  <c r="W2791" i="1"/>
  <c r="V2791" i="1"/>
  <c r="W2795" i="1"/>
  <c r="V2795" i="1"/>
  <c r="W2799" i="1"/>
  <c r="V2799" i="1"/>
  <c r="W2803" i="1"/>
  <c r="V2803" i="1"/>
  <c r="W2807" i="1"/>
  <c r="V2807" i="1"/>
  <c r="W2811" i="1"/>
  <c r="V2811" i="1"/>
  <c r="W2814" i="1"/>
  <c r="V2814" i="1"/>
  <c r="W2818" i="1"/>
  <c r="V2818" i="1"/>
  <c r="W2822" i="1"/>
  <c r="V2822" i="1"/>
  <c r="W2826" i="1"/>
  <c r="V2826" i="1"/>
  <c r="W2830" i="1"/>
  <c r="V2830" i="1"/>
  <c r="W2834" i="1"/>
  <c r="V2834" i="1"/>
  <c r="W2838" i="1"/>
  <c r="V2838" i="1"/>
  <c r="W2842" i="1"/>
  <c r="V2842" i="1"/>
  <c r="W2849" i="1"/>
  <c r="V2849" i="1"/>
  <c r="W2853" i="1"/>
  <c r="V2853" i="1"/>
  <c r="W2857" i="1"/>
  <c r="V2857" i="1"/>
  <c r="W2861" i="1"/>
  <c r="V2861" i="1"/>
  <c r="W2865" i="1"/>
  <c r="V2865" i="1"/>
  <c r="W2869" i="1"/>
  <c r="V2869" i="1"/>
  <c r="W2873" i="1"/>
  <c r="V2873" i="1"/>
  <c r="W2877" i="1"/>
  <c r="V2877" i="1"/>
  <c r="W2880" i="1"/>
  <c r="V2880" i="1"/>
  <c r="W2884" i="1"/>
  <c r="V2884" i="1"/>
  <c r="W2888" i="1"/>
  <c r="V2888" i="1"/>
  <c r="W2892" i="1"/>
  <c r="V2892" i="1"/>
  <c r="W2896" i="1"/>
  <c r="V2896" i="1"/>
  <c r="W2900" i="1"/>
  <c r="V2900" i="1"/>
  <c r="W2904" i="1"/>
  <c r="V2904" i="1"/>
  <c r="W2908" i="1"/>
  <c r="V2908" i="1"/>
  <c r="W2911" i="1"/>
  <c r="V2911" i="1"/>
  <c r="W2915" i="1"/>
  <c r="V2915" i="1"/>
  <c r="W2919" i="1"/>
  <c r="V2919" i="1"/>
  <c r="W2923" i="1"/>
  <c r="V2923" i="1"/>
  <c r="W2926" i="1"/>
  <c r="V2926" i="1"/>
  <c r="W2930" i="1"/>
  <c r="V2930" i="1"/>
  <c r="W2934" i="1"/>
  <c r="V2934" i="1"/>
  <c r="W2938" i="1"/>
  <c r="V2938" i="1"/>
  <c r="W2945" i="1"/>
  <c r="V2945" i="1"/>
  <c r="W2949" i="1"/>
  <c r="V2949" i="1"/>
  <c r="W2953" i="1"/>
  <c r="V2953" i="1"/>
  <c r="W2957" i="1"/>
  <c r="V2957" i="1"/>
  <c r="W2960" i="1"/>
  <c r="V2960" i="1"/>
  <c r="W2964" i="1"/>
  <c r="V2964" i="1"/>
  <c r="W2968" i="1"/>
  <c r="V2968" i="1"/>
  <c r="W2972" i="1"/>
  <c r="V2972" i="1"/>
  <c r="W2975" i="1"/>
  <c r="V2975" i="1"/>
  <c r="W2979" i="1"/>
  <c r="V2979" i="1"/>
  <c r="W2983" i="1"/>
  <c r="V2983" i="1"/>
  <c r="W2987" i="1"/>
  <c r="V2987" i="1"/>
  <c r="W2991" i="1"/>
  <c r="V2991" i="1"/>
  <c r="W2995" i="1"/>
  <c r="V2995" i="1"/>
  <c r="W2999" i="1"/>
  <c r="V2999" i="1"/>
  <c r="W3003" i="1"/>
  <c r="V3003" i="1"/>
  <c r="W3006" i="1"/>
  <c r="V3006" i="1"/>
  <c r="W3010" i="1"/>
  <c r="V3010" i="1"/>
  <c r="W3014" i="1"/>
  <c r="V3014" i="1"/>
  <c r="W3018" i="1"/>
  <c r="V3018" i="1"/>
  <c r="W3022" i="1"/>
  <c r="V3022" i="1"/>
  <c r="W3026" i="1"/>
  <c r="V3026" i="1"/>
  <c r="W3030" i="1"/>
  <c r="V3030" i="1"/>
  <c r="W3034" i="1"/>
  <c r="V3034" i="1"/>
  <c r="W3041" i="1"/>
  <c r="V3041" i="1"/>
  <c r="W3045" i="1"/>
  <c r="V3045" i="1"/>
  <c r="W3049" i="1"/>
  <c r="V3049" i="1"/>
  <c r="W3053" i="1"/>
  <c r="V3053" i="1"/>
  <c r="W3057" i="1"/>
  <c r="V3057" i="1"/>
  <c r="W3061" i="1"/>
  <c r="V3061" i="1"/>
  <c r="W3065" i="1"/>
  <c r="V3065" i="1"/>
  <c r="W3069" i="1"/>
  <c r="V3069" i="1"/>
  <c r="W3072" i="1"/>
  <c r="V3072" i="1"/>
  <c r="W3076" i="1"/>
  <c r="V3076" i="1"/>
  <c r="W3080" i="1"/>
  <c r="V3080" i="1"/>
  <c r="W3084" i="1"/>
  <c r="V3084" i="1"/>
  <c r="W3088" i="1"/>
  <c r="V3088" i="1"/>
  <c r="W3092" i="1"/>
  <c r="V3092" i="1"/>
  <c r="W3096" i="1"/>
  <c r="V3096" i="1"/>
  <c r="W3100" i="1"/>
  <c r="V3100" i="1"/>
  <c r="W3103" i="1"/>
  <c r="V3103" i="1"/>
  <c r="W3107" i="1"/>
  <c r="V3107" i="1"/>
  <c r="W3111" i="1"/>
  <c r="V3111" i="1"/>
  <c r="W3115" i="1"/>
  <c r="V3115" i="1"/>
  <c r="W3119" i="1"/>
  <c r="V3119" i="1"/>
  <c r="W3123" i="1"/>
  <c r="V3123" i="1"/>
  <c r="W3127" i="1"/>
  <c r="V3127" i="1"/>
  <c r="W3131" i="1"/>
  <c r="V3131" i="1"/>
  <c r="W3134" i="1"/>
  <c r="V3134" i="1"/>
  <c r="W3138" i="1"/>
  <c r="V3138" i="1"/>
  <c r="W3142" i="1"/>
  <c r="V3142" i="1"/>
  <c r="W3146" i="1"/>
  <c r="V3146" i="1"/>
  <c r="W3150" i="1"/>
  <c r="V3150" i="1"/>
  <c r="W3154" i="1"/>
  <c r="V3154" i="1"/>
  <c r="W3158" i="1"/>
  <c r="V3158" i="1"/>
  <c r="W3162" i="1"/>
  <c r="V3162" i="1"/>
  <c r="W3169" i="1"/>
  <c r="V3169" i="1"/>
  <c r="W3173" i="1"/>
  <c r="V3173" i="1"/>
  <c r="W3177" i="1"/>
  <c r="V3177" i="1"/>
  <c r="W3181" i="1"/>
  <c r="V3181" i="1"/>
  <c r="W3185" i="1"/>
  <c r="V3185" i="1"/>
  <c r="W3189" i="1"/>
  <c r="V3189" i="1"/>
  <c r="W3193" i="1"/>
  <c r="V3193" i="1"/>
  <c r="W3197" i="1"/>
  <c r="V3197" i="1"/>
  <c r="W3200" i="1"/>
  <c r="V3200" i="1"/>
  <c r="W3204" i="1"/>
  <c r="V3204" i="1"/>
  <c r="W3208" i="1"/>
  <c r="V3208" i="1"/>
  <c r="W3212" i="1"/>
  <c r="V3212" i="1"/>
  <c r="W3216" i="1"/>
  <c r="V3216" i="1"/>
  <c r="W3220" i="1"/>
  <c r="V3220" i="1"/>
  <c r="W3224" i="1"/>
  <c r="V3224" i="1"/>
  <c r="W3228" i="1"/>
  <c r="V3228" i="1"/>
  <c r="W3231" i="1"/>
  <c r="V3231" i="1"/>
  <c r="W3235" i="1"/>
  <c r="V3235" i="1"/>
  <c r="W3239" i="1"/>
  <c r="V3239" i="1"/>
  <c r="W3243" i="1"/>
  <c r="V3243" i="1"/>
  <c r="W3247" i="1"/>
  <c r="V3247" i="1"/>
  <c r="W3251" i="1"/>
  <c r="V3251" i="1"/>
  <c r="W3255" i="1"/>
  <c r="V3255" i="1"/>
  <c r="W3259" i="1"/>
  <c r="V3259" i="1"/>
  <c r="W3262" i="1"/>
  <c r="V3262" i="1"/>
  <c r="W3266" i="1"/>
  <c r="V3266" i="1"/>
  <c r="W3270" i="1"/>
  <c r="V3270" i="1"/>
  <c r="W3274" i="1"/>
  <c r="V3274" i="1"/>
  <c r="W3278" i="1"/>
  <c r="V3278" i="1"/>
  <c r="W3282" i="1"/>
  <c r="V3282" i="1"/>
  <c r="W3286" i="1"/>
  <c r="V3286" i="1"/>
  <c r="W3290" i="1"/>
  <c r="V3290" i="1"/>
  <c r="W3297" i="1"/>
  <c r="V3297" i="1"/>
  <c r="W3301" i="1"/>
  <c r="V3301" i="1"/>
  <c r="W3305" i="1"/>
  <c r="V3305" i="1"/>
  <c r="W3309" i="1"/>
  <c r="V3309" i="1"/>
  <c r="W3313" i="1"/>
  <c r="V3313" i="1"/>
  <c r="W3317" i="1"/>
  <c r="V3317" i="1"/>
  <c r="W3321" i="1"/>
  <c r="V3321" i="1"/>
  <c r="W3325" i="1"/>
  <c r="V3325" i="1"/>
  <c r="W3328" i="1"/>
  <c r="V3328" i="1"/>
  <c r="W3332" i="1"/>
  <c r="V3332" i="1"/>
  <c r="W3336" i="1"/>
  <c r="V3336" i="1"/>
  <c r="W3340" i="1"/>
  <c r="V3340" i="1"/>
  <c r="W3344" i="1"/>
  <c r="V3344" i="1"/>
  <c r="W3348" i="1"/>
  <c r="V3348" i="1"/>
  <c r="W3355" i="1"/>
  <c r="V3355" i="1"/>
  <c r="W3359" i="1"/>
  <c r="V3359" i="1"/>
  <c r="W3362" i="1"/>
  <c r="V3362" i="1"/>
  <c r="W3366" i="1"/>
  <c r="V3366" i="1"/>
  <c r="W3370" i="1"/>
  <c r="V3370" i="1"/>
  <c r="W3374" i="1"/>
  <c r="V3374" i="1"/>
  <c r="W3377" i="1"/>
  <c r="V3377" i="1"/>
  <c r="W3381" i="1"/>
  <c r="V3381" i="1"/>
  <c r="W3384" i="1"/>
  <c r="V3384" i="1"/>
  <c r="W3388" i="1"/>
  <c r="V3388" i="1"/>
  <c r="W3395" i="1"/>
  <c r="V3395" i="1"/>
  <c r="W3398" i="1"/>
  <c r="V3398" i="1"/>
  <c r="W3402" i="1"/>
  <c r="V3402" i="1"/>
  <c r="W3406" i="1"/>
  <c r="V3406" i="1"/>
  <c r="W3409" i="1"/>
  <c r="V3409" i="1"/>
  <c r="W3413" i="1"/>
  <c r="V3413" i="1"/>
  <c r="W3416" i="1"/>
  <c r="V3416" i="1"/>
  <c r="W3420" i="1"/>
  <c r="V3420" i="1"/>
  <c r="W3427" i="1"/>
  <c r="V3427" i="1"/>
  <c r="W3430" i="1"/>
  <c r="V3430" i="1"/>
  <c r="W3434" i="1"/>
  <c r="V3434" i="1"/>
  <c r="W3438" i="1"/>
  <c r="V3438" i="1"/>
  <c r="W3441" i="1"/>
  <c r="V3441" i="1"/>
  <c r="W3445" i="1"/>
  <c r="V3445" i="1"/>
  <c r="W3451" i="1"/>
  <c r="V3451" i="1"/>
  <c r="W3455" i="1"/>
  <c r="V3455" i="1"/>
  <c r="W3458" i="1"/>
  <c r="V3458" i="1"/>
  <c r="W3464" i="1"/>
  <c r="V3464" i="1"/>
  <c r="W3468" i="1"/>
  <c r="V3468" i="1"/>
  <c r="W3475" i="1"/>
  <c r="V3475" i="1"/>
  <c r="W3478" i="1"/>
  <c r="V3478" i="1"/>
  <c r="W3481" i="1"/>
  <c r="V3481" i="1"/>
  <c r="W3485" i="1"/>
  <c r="V3485" i="1"/>
  <c r="W3488" i="1"/>
  <c r="V3488" i="1"/>
  <c r="W3492" i="1"/>
  <c r="V3492" i="1"/>
  <c r="W3495" i="1"/>
  <c r="V3495" i="1"/>
  <c r="W3499" i="1"/>
  <c r="V3499" i="1"/>
  <c r="W3503" i="1"/>
  <c r="V3503" i="1"/>
  <c r="W3506" i="1"/>
  <c r="V3506" i="1"/>
  <c r="W3512" i="1"/>
  <c r="V3512" i="1"/>
  <c r="W3516" i="1"/>
  <c r="V3516" i="1"/>
  <c r="W3523" i="1"/>
  <c r="V3523" i="1"/>
  <c r="W3526" i="1"/>
  <c r="V3526" i="1"/>
  <c r="W3530" i="1"/>
  <c r="V3530" i="1"/>
  <c r="W3534" i="1"/>
  <c r="V3534" i="1"/>
  <c r="W3537" i="1"/>
  <c r="V3537" i="1"/>
  <c r="W3541" i="1"/>
  <c r="V3541" i="1"/>
  <c r="W3547" i="1"/>
  <c r="V3547" i="1"/>
  <c r="W3551" i="1"/>
  <c r="V3551" i="1"/>
  <c r="W3554" i="1"/>
  <c r="V3554" i="1"/>
  <c r="W3561" i="1"/>
  <c r="V3561" i="1"/>
  <c r="W3565" i="1"/>
  <c r="V3565" i="1"/>
  <c r="W3568" i="1"/>
  <c r="V3568" i="1"/>
  <c r="W3572" i="1"/>
  <c r="V3572" i="1"/>
  <c r="W3575" i="1"/>
  <c r="V3575" i="1"/>
  <c r="W3579" i="1"/>
  <c r="V3579" i="1"/>
  <c r="W3583" i="1"/>
  <c r="V3583" i="1"/>
  <c r="W3586" i="1"/>
  <c r="V3586" i="1"/>
  <c r="W3593" i="1"/>
  <c r="V3593" i="1"/>
  <c r="W3597" i="1"/>
  <c r="V3597" i="1"/>
  <c r="W3600" i="1"/>
  <c r="V3600" i="1"/>
  <c r="W3604" i="1"/>
  <c r="V3604" i="1"/>
  <c r="W3607" i="1"/>
  <c r="V3607" i="1"/>
  <c r="W3611" i="1"/>
  <c r="V3611" i="1"/>
  <c r="W3615" i="1"/>
  <c r="V3615" i="1"/>
  <c r="W3618" i="1"/>
  <c r="V3618" i="1"/>
  <c r="W3625" i="1"/>
  <c r="V3625" i="1"/>
  <c r="W3629" i="1"/>
  <c r="V3629" i="1"/>
  <c r="W3632" i="1"/>
  <c r="V3632" i="1"/>
  <c r="W3636" i="1"/>
  <c r="V3636" i="1"/>
  <c r="W3639" i="1"/>
  <c r="V3639" i="1"/>
  <c r="W3643" i="1"/>
  <c r="V3643" i="1"/>
  <c r="W3647" i="1"/>
  <c r="V3647" i="1"/>
  <c r="W3651" i="1"/>
  <c r="V3651" i="1"/>
  <c r="W3655" i="1"/>
  <c r="V3655" i="1"/>
  <c r="W3659" i="1"/>
  <c r="V3659" i="1"/>
  <c r="W3662" i="1"/>
  <c r="V3662" i="1"/>
  <c r="W3666" i="1"/>
  <c r="V3666" i="1"/>
  <c r="W3673" i="1"/>
  <c r="V3673" i="1"/>
  <c r="W3677" i="1"/>
  <c r="V3677" i="1"/>
  <c r="W3681" i="1"/>
  <c r="V3681" i="1"/>
  <c r="W3685" i="1"/>
  <c r="V3685" i="1"/>
  <c r="W3689" i="1"/>
  <c r="V3689" i="1"/>
  <c r="W3693" i="1"/>
  <c r="V3693" i="1"/>
  <c r="W3696" i="1"/>
  <c r="V3696" i="1"/>
  <c r="W3700" i="1"/>
  <c r="V3700" i="1"/>
  <c r="W3707" i="1"/>
  <c r="V3707" i="1"/>
  <c r="W3710" i="1"/>
  <c r="V3710" i="1"/>
  <c r="W3713" i="1"/>
  <c r="V3713" i="1"/>
  <c r="W3717" i="1"/>
  <c r="V3717" i="1"/>
  <c r="W3720" i="1"/>
  <c r="V3720" i="1"/>
  <c r="W3724" i="1"/>
  <c r="V3724" i="1"/>
  <c r="W3727" i="1"/>
  <c r="V3727" i="1"/>
  <c r="W3730" i="1"/>
  <c r="V3730" i="1"/>
  <c r="W3734" i="1"/>
  <c r="V3734" i="1"/>
  <c r="W3737" i="1"/>
  <c r="V3737" i="1"/>
  <c r="W3741" i="1"/>
  <c r="V3741" i="1"/>
  <c r="W3747" i="1"/>
  <c r="V3747" i="1"/>
  <c r="W3751" i="1"/>
  <c r="V3751" i="1"/>
  <c r="W3754" i="1"/>
  <c r="V3754" i="1"/>
  <c r="W3760" i="1"/>
  <c r="V3760" i="1"/>
  <c r="W3764" i="1"/>
  <c r="V3764" i="1"/>
  <c r="W3771" i="1"/>
  <c r="V3771" i="1"/>
  <c r="W3774" i="1"/>
  <c r="V3774" i="1"/>
  <c r="W3777" i="1"/>
  <c r="V3777" i="1"/>
  <c r="W3781" i="1"/>
  <c r="V3781" i="1"/>
  <c r="W3784" i="1"/>
  <c r="V3784" i="1"/>
  <c r="W3788" i="1"/>
  <c r="V3788" i="1"/>
  <c r="W3791" i="1"/>
  <c r="V3791" i="1"/>
  <c r="W3794" i="1"/>
  <c r="V3794" i="1"/>
  <c r="W3798" i="1"/>
  <c r="V3798" i="1"/>
  <c r="W3801" i="1"/>
  <c r="V3801" i="1"/>
  <c r="W3805" i="1"/>
  <c r="V3805" i="1"/>
  <c r="W3811" i="1"/>
  <c r="V3811" i="1"/>
  <c r="W3815" i="1"/>
  <c r="V3815" i="1"/>
  <c r="W3818" i="1"/>
  <c r="V3818" i="1"/>
  <c r="W3824" i="1"/>
  <c r="V3824" i="1"/>
  <c r="W3828" i="1"/>
  <c r="V3828" i="1"/>
  <c r="W3835" i="1"/>
  <c r="V3835" i="1"/>
  <c r="W3838" i="1"/>
  <c r="V3838" i="1"/>
  <c r="W3841" i="1"/>
  <c r="V3841" i="1"/>
  <c r="W3845" i="1"/>
  <c r="V3845" i="1"/>
  <c r="W3848" i="1"/>
  <c r="V3848" i="1"/>
  <c r="W3852" i="1"/>
  <c r="V3852" i="1"/>
  <c r="W3855" i="1"/>
  <c r="V3855" i="1"/>
  <c r="W3858" i="1"/>
  <c r="V3858" i="1"/>
  <c r="W3862" i="1"/>
  <c r="V3862" i="1"/>
  <c r="W3865" i="1"/>
  <c r="V3865" i="1"/>
  <c r="W3869" i="1"/>
  <c r="V3869" i="1"/>
  <c r="W3875" i="1"/>
  <c r="V3875" i="1"/>
  <c r="W3879" i="1"/>
  <c r="V3879" i="1"/>
  <c r="W3882" i="1"/>
  <c r="V3882" i="1"/>
  <c r="W3888" i="1"/>
  <c r="V3888" i="1"/>
  <c r="W3892" i="1"/>
  <c r="V3892" i="1"/>
  <c r="W3899" i="1"/>
  <c r="V3899" i="1"/>
  <c r="W3902" i="1"/>
  <c r="V3902" i="1"/>
  <c r="W3905" i="1"/>
  <c r="V3905" i="1"/>
  <c r="W3909" i="1"/>
  <c r="V3909" i="1"/>
  <c r="W3912" i="1"/>
  <c r="V3912" i="1"/>
  <c r="W3916" i="1"/>
  <c r="V3916" i="1"/>
  <c r="W3919" i="1"/>
  <c r="V3919" i="1"/>
  <c r="W3922" i="1"/>
  <c r="V3922" i="1"/>
  <c r="W3926" i="1"/>
  <c r="V3926" i="1"/>
  <c r="W3929" i="1"/>
  <c r="V3929" i="1"/>
  <c r="W3933" i="1"/>
  <c r="V3933" i="1"/>
  <c r="W3939" i="1"/>
  <c r="V3939" i="1"/>
  <c r="W3943" i="1"/>
  <c r="V3943" i="1"/>
  <c r="W3946" i="1"/>
  <c r="V3946" i="1"/>
  <c r="W3952" i="1"/>
  <c r="V3952" i="1"/>
  <c r="W3956" i="1"/>
  <c r="V3956" i="1"/>
  <c r="W3963" i="1"/>
  <c r="V3963" i="1"/>
  <c r="W3966" i="1"/>
  <c r="V3966" i="1"/>
  <c r="W3969" i="1"/>
  <c r="V3969" i="1"/>
  <c r="W3973" i="1"/>
  <c r="V3973" i="1"/>
  <c r="W3976" i="1"/>
  <c r="V3976" i="1"/>
  <c r="W3980" i="1"/>
  <c r="V3980" i="1"/>
  <c r="W3983" i="1"/>
  <c r="V3983" i="1"/>
  <c r="W3986" i="1"/>
  <c r="V3986" i="1"/>
  <c r="W3990" i="1"/>
  <c r="V3990" i="1"/>
  <c r="W3993" i="1"/>
  <c r="V3993" i="1"/>
  <c r="W3997" i="1"/>
  <c r="V3997" i="1"/>
  <c r="W4003" i="1"/>
  <c r="V4003" i="1"/>
  <c r="W4007" i="1"/>
  <c r="V4007" i="1"/>
  <c r="W4010" i="1"/>
  <c r="V4010" i="1"/>
  <c r="W4016" i="1"/>
  <c r="V4016" i="1"/>
  <c r="W4020" i="1"/>
  <c r="V4020" i="1"/>
  <c r="W4027" i="1"/>
  <c r="V4027" i="1"/>
  <c r="W4030" i="1"/>
  <c r="V4030" i="1"/>
  <c r="W4033" i="1"/>
  <c r="V4033" i="1"/>
  <c r="W4037" i="1"/>
  <c r="V4037" i="1"/>
  <c r="W4040" i="1"/>
  <c r="V4040" i="1"/>
  <c r="W4044" i="1"/>
  <c r="V4044" i="1"/>
  <c r="W4047" i="1"/>
  <c r="V4047" i="1"/>
  <c r="W4050" i="1"/>
  <c r="V4050" i="1"/>
  <c r="W4054" i="1"/>
  <c r="V4054" i="1"/>
  <c r="W4057" i="1"/>
  <c r="V4057" i="1"/>
  <c r="W4061" i="1"/>
  <c r="V4061" i="1"/>
  <c r="W4067" i="1"/>
  <c r="V4067" i="1"/>
  <c r="W4071" i="1"/>
  <c r="V4071" i="1"/>
  <c r="W4074" i="1"/>
  <c r="V4074" i="1"/>
  <c r="W4080" i="1"/>
  <c r="V4080" i="1"/>
  <c r="W4084" i="1"/>
  <c r="V4084" i="1"/>
  <c r="W4091" i="1"/>
  <c r="V4091" i="1"/>
  <c r="W4094" i="1"/>
  <c r="V4094" i="1"/>
  <c r="W4097" i="1"/>
  <c r="V4097" i="1"/>
  <c r="W4101" i="1"/>
  <c r="V4101" i="1"/>
  <c r="W4104" i="1"/>
  <c r="V4104" i="1"/>
  <c r="W4108" i="1"/>
  <c r="V4108" i="1"/>
  <c r="W4111" i="1"/>
  <c r="V4111" i="1"/>
  <c r="W4114" i="1"/>
  <c r="V4114" i="1"/>
  <c r="W4118" i="1"/>
  <c r="V4118" i="1"/>
  <c r="W4121" i="1"/>
  <c r="V4121" i="1"/>
  <c r="W4125" i="1"/>
  <c r="V4125" i="1"/>
  <c r="W4131" i="1"/>
  <c r="V4131" i="1"/>
  <c r="W4135" i="1"/>
  <c r="V4135" i="1"/>
  <c r="W4138" i="1"/>
  <c r="V4138" i="1"/>
  <c r="W4144" i="1"/>
  <c r="V4144" i="1"/>
  <c r="W4148" i="1"/>
  <c r="V4148" i="1"/>
  <c r="W4155" i="1"/>
  <c r="V4155" i="1"/>
  <c r="W4158" i="1"/>
  <c r="V4158" i="1"/>
  <c r="W4161" i="1"/>
  <c r="V4161" i="1"/>
  <c r="W4165" i="1"/>
  <c r="V4165" i="1"/>
  <c r="W4168" i="1"/>
  <c r="V4168" i="1"/>
  <c r="W4172" i="1"/>
  <c r="V4172" i="1"/>
  <c r="W4175" i="1"/>
  <c r="V4175" i="1"/>
  <c r="W4178" i="1"/>
  <c r="V4178" i="1"/>
  <c r="W4182" i="1"/>
  <c r="V4182" i="1"/>
  <c r="W4185" i="1"/>
  <c r="V4185" i="1"/>
  <c r="W4189" i="1"/>
  <c r="V4189" i="1"/>
  <c r="W4195" i="1"/>
  <c r="V4195" i="1"/>
  <c r="W4199" i="1"/>
  <c r="V4199" i="1"/>
  <c r="W4202" i="1"/>
  <c r="V4202" i="1"/>
  <c r="W4208" i="1"/>
  <c r="V4208" i="1"/>
  <c r="W4212" i="1"/>
  <c r="V4212" i="1"/>
  <c r="W4219" i="1"/>
  <c r="V4219" i="1"/>
  <c r="W4222" i="1"/>
  <c r="V4222" i="1"/>
  <c r="W4225" i="1"/>
  <c r="V4225" i="1"/>
  <c r="W4229" i="1"/>
  <c r="V4229" i="1"/>
  <c r="W4232" i="1"/>
  <c r="V4232" i="1"/>
  <c r="W4236" i="1"/>
  <c r="V4236" i="1"/>
  <c r="W4239" i="1"/>
  <c r="V4239" i="1"/>
  <c r="W4242" i="1"/>
  <c r="V4242" i="1"/>
  <c r="W4246" i="1"/>
  <c r="V4246" i="1"/>
  <c r="W4249" i="1"/>
  <c r="V4249" i="1"/>
  <c r="W4253" i="1"/>
  <c r="V4253" i="1"/>
  <c r="W4259" i="1"/>
  <c r="V4259" i="1"/>
  <c r="W4263" i="1"/>
  <c r="V4263" i="1"/>
  <c r="W4266" i="1"/>
  <c r="V4266" i="1"/>
  <c r="W4272" i="1"/>
  <c r="V4272" i="1"/>
  <c r="W4276" i="1"/>
  <c r="V4276" i="1"/>
  <c r="W4283" i="1"/>
  <c r="V4283" i="1"/>
  <c r="W4286" i="1"/>
  <c r="V4286" i="1"/>
  <c r="W4289" i="1"/>
  <c r="V4289" i="1"/>
  <c r="W4293" i="1"/>
  <c r="V4293" i="1"/>
  <c r="W4296" i="1"/>
  <c r="V4296" i="1"/>
  <c r="W4300" i="1"/>
  <c r="V4300" i="1"/>
  <c r="W4303" i="1"/>
  <c r="V4303" i="1"/>
  <c r="W4306" i="1"/>
  <c r="V4306" i="1"/>
  <c r="W4310" i="1"/>
  <c r="V4310" i="1"/>
  <c r="W4313" i="1"/>
  <c r="V4313" i="1"/>
  <c r="W4317" i="1"/>
  <c r="V4317" i="1"/>
  <c r="W4323" i="1"/>
  <c r="V4323" i="1"/>
  <c r="W4327" i="1"/>
  <c r="V4327" i="1"/>
  <c r="W4330" i="1"/>
  <c r="V4330" i="1"/>
  <c r="W4336" i="1"/>
  <c r="V4336" i="1"/>
  <c r="W4340" i="1"/>
  <c r="V4340" i="1"/>
  <c r="W4347" i="1"/>
  <c r="V4347" i="1"/>
  <c r="W4350" i="1"/>
  <c r="V4350" i="1"/>
  <c r="W4353" i="1"/>
  <c r="V4353" i="1"/>
  <c r="W4357" i="1"/>
  <c r="V4357" i="1"/>
  <c r="W4360" i="1"/>
  <c r="V4360" i="1"/>
  <c r="W4364" i="1"/>
  <c r="V4364" i="1"/>
  <c r="W4367" i="1"/>
  <c r="V4367" i="1"/>
  <c r="W4370" i="1"/>
  <c r="V4370" i="1"/>
  <c r="W4374" i="1"/>
  <c r="V4374" i="1"/>
  <c r="W4377" i="1"/>
  <c r="V4377" i="1"/>
  <c r="W4381" i="1"/>
  <c r="V4381" i="1"/>
  <c r="W4384" i="1"/>
  <c r="V4384" i="1"/>
  <c r="W4388" i="1"/>
  <c r="V4388" i="1"/>
  <c r="W4395" i="1"/>
  <c r="V4395" i="1"/>
  <c r="W4398" i="1"/>
  <c r="V4398" i="1"/>
  <c r="W4402" i="1"/>
  <c r="V4402" i="1"/>
  <c r="W4406" i="1"/>
  <c r="V4406" i="1"/>
  <c r="W4409" i="1"/>
  <c r="V4409" i="1"/>
  <c r="W4413" i="1"/>
  <c r="V4413" i="1"/>
  <c r="W4416" i="1"/>
  <c r="V4416" i="1"/>
  <c r="W4420" i="1"/>
  <c r="V4420" i="1"/>
  <c r="W4427" i="1"/>
  <c r="V4427" i="1"/>
  <c r="W4430" i="1"/>
  <c r="V4430" i="1"/>
  <c r="W4434" i="1"/>
  <c r="V4434" i="1"/>
  <c r="W4438" i="1"/>
  <c r="V4438" i="1"/>
  <c r="W4441" i="1"/>
  <c r="V4441" i="1"/>
  <c r="W4445" i="1"/>
  <c r="V4445" i="1"/>
  <c r="W4451" i="1"/>
  <c r="V4451" i="1"/>
  <c r="W4455" i="1"/>
  <c r="V4455" i="1"/>
  <c r="W4458" i="1"/>
  <c r="V4458" i="1"/>
  <c r="W4464" i="1"/>
  <c r="V4464" i="1"/>
  <c r="W4468" i="1"/>
  <c r="V4468" i="1"/>
  <c r="W4475" i="1"/>
  <c r="V4475" i="1"/>
  <c r="W4478" i="1"/>
  <c r="V4478" i="1"/>
  <c r="W4482" i="1"/>
  <c r="V4482" i="1"/>
  <c r="W4486" i="1"/>
  <c r="V4486" i="1"/>
  <c r="W4489" i="1"/>
  <c r="V4489" i="1"/>
  <c r="W4493" i="1"/>
  <c r="V4493" i="1"/>
  <c r="W4499" i="1"/>
  <c r="V4499" i="1"/>
  <c r="W4503" i="1"/>
  <c r="V4503" i="1"/>
  <c r="W4506" i="1"/>
  <c r="V4506" i="1"/>
  <c r="W4512" i="1"/>
  <c r="V4512" i="1"/>
  <c r="W4516" i="1"/>
  <c r="V4516" i="1"/>
  <c r="W4523" i="1"/>
  <c r="V4523" i="1"/>
  <c r="W4526" i="1"/>
  <c r="V4526" i="1"/>
  <c r="W4529" i="1"/>
  <c r="V4529" i="1"/>
  <c r="W4533" i="1"/>
  <c r="V4533" i="1"/>
  <c r="W4536" i="1"/>
  <c r="V4536" i="1"/>
  <c r="W4540" i="1"/>
  <c r="V4540" i="1"/>
  <c r="W4543" i="1"/>
  <c r="V4543" i="1"/>
  <c r="W4546" i="1"/>
  <c r="V4546" i="1"/>
  <c r="W4550" i="1"/>
  <c r="V4550" i="1"/>
  <c r="W4553" i="1"/>
  <c r="V4553" i="1"/>
  <c r="W4557" i="1"/>
  <c r="V4557" i="1"/>
  <c r="W4560" i="1"/>
  <c r="V4560" i="1"/>
  <c r="W4564" i="1"/>
  <c r="V4564" i="1"/>
  <c r="W4571" i="1"/>
  <c r="V4571" i="1"/>
  <c r="W4574" i="1"/>
  <c r="V4574" i="1"/>
  <c r="W4578" i="1"/>
  <c r="V4578" i="1"/>
  <c r="W4582" i="1"/>
  <c r="V4582" i="1"/>
  <c r="W4585" i="1"/>
  <c r="V4585" i="1"/>
  <c r="W4589" i="1"/>
  <c r="V4589" i="1"/>
  <c r="W4592" i="1"/>
  <c r="V4592" i="1"/>
  <c r="W4596" i="1"/>
  <c r="V4596" i="1"/>
  <c r="W4603" i="1"/>
  <c r="V4603" i="1"/>
  <c r="W4606" i="1"/>
  <c r="V4606" i="1"/>
  <c r="W4610" i="1"/>
  <c r="V4610" i="1"/>
  <c r="W4614" i="1"/>
  <c r="V4614" i="1"/>
  <c r="W4617" i="1"/>
  <c r="V4617" i="1"/>
  <c r="W4621" i="1"/>
  <c r="V4621" i="1"/>
  <c r="W4624" i="1"/>
  <c r="V4624" i="1"/>
  <c r="W4628" i="1"/>
  <c r="V4628" i="1"/>
  <c r="W4635" i="1"/>
  <c r="V4635" i="1"/>
  <c r="W4638" i="1"/>
  <c r="V4638" i="1"/>
  <c r="W4642" i="1"/>
  <c r="V4642" i="1"/>
  <c r="W4646" i="1"/>
  <c r="V4646" i="1"/>
  <c r="W4649" i="1"/>
  <c r="V4649" i="1"/>
  <c r="W4653" i="1"/>
  <c r="V4653" i="1"/>
  <c r="W4659" i="1"/>
  <c r="V4659" i="1"/>
  <c r="W4663" i="1"/>
  <c r="V4663" i="1"/>
  <c r="W4666" i="1"/>
  <c r="V4666" i="1"/>
  <c r="W4672" i="1"/>
  <c r="V4672" i="1"/>
  <c r="W4676" i="1"/>
  <c r="V4676" i="1"/>
  <c r="W4683" i="1"/>
  <c r="V4683" i="1"/>
  <c r="W4686" i="1"/>
  <c r="V4686" i="1"/>
  <c r="W4689" i="1"/>
  <c r="V4689" i="1"/>
  <c r="W4693" i="1"/>
  <c r="V4693" i="1"/>
  <c r="W4696" i="1"/>
  <c r="V4696" i="1"/>
  <c r="W4700" i="1"/>
  <c r="V4700" i="1"/>
  <c r="W4703" i="1"/>
  <c r="V4703" i="1"/>
  <c r="W4706" i="1"/>
  <c r="V4706" i="1"/>
  <c r="W4710" i="1"/>
  <c r="V4710" i="1"/>
  <c r="W4713" i="1"/>
  <c r="V4713" i="1"/>
  <c r="W4717" i="1"/>
  <c r="V4717" i="1"/>
  <c r="W4723" i="1"/>
  <c r="V4723" i="1"/>
  <c r="W4727" i="1"/>
  <c r="V4727" i="1"/>
  <c r="W4730" i="1"/>
  <c r="V4730" i="1"/>
  <c r="W4736" i="1"/>
  <c r="V4736" i="1"/>
  <c r="W4740" i="1"/>
  <c r="V4740" i="1"/>
  <c r="W4744" i="1"/>
  <c r="V4744" i="1"/>
  <c r="W4748" i="1"/>
  <c r="V4748" i="1"/>
  <c r="W4751" i="1"/>
  <c r="V4751" i="1"/>
  <c r="W4755" i="1"/>
  <c r="V4755" i="1"/>
  <c r="W4758" i="1"/>
  <c r="V4758" i="1"/>
  <c r="W4761" i="1"/>
  <c r="V4761" i="1"/>
  <c r="W4765" i="1"/>
  <c r="V4765" i="1"/>
  <c r="W4769" i="1"/>
  <c r="V4769" i="1"/>
  <c r="W4773" i="1"/>
  <c r="V4773" i="1"/>
  <c r="W4779" i="1"/>
  <c r="V4779" i="1"/>
  <c r="W4783" i="1"/>
  <c r="V4783" i="1"/>
  <c r="W4787" i="1"/>
  <c r="V4787" i="1"/>
  <c r="W4790" i="1"/>
  <c r="V4790" i="1"/>
  <c r="W4793" i="1"/>
  <c r="V4793" i="1"/>
  <c r="W4797" i="1"/>
  <c r="V4797" i="1"/>
  <c r="W4801" i="1"/>
  <c r="V4801" i="1"/>
  <c r="W4805" i="1"/>
  <c r="V4805" i="1"/>
  <c r="W4811" i="1"/>
  <c r="V4811" i="1"/>
  <c r="W4815" i="1"/>
  <c r="V4815" i="1"/>
  <c r="W4819" i="1"/>
  <c r="V4819" i="1"/>
  <c r="W4822" i="1"/>
  <c r="V4822" i="1"/>
  <c r="W4825" i="1"/>
  <c r="V4825" i="1"/>
  <c r="W4829" i="1"/>
  <c r="V4829" i="1"/>
  <c r="W4833" i="1"/>
  <c r="V4833" i="1"/>
  <c r="W4837" i="1"/>
  <c r="V4837" i="1"/>
  <c r="W4843" i="1"/>
  <c r="V4843" i="1"/>
  <c r="W4846" i="1"/>
  <c r="V4846" i="1"/>
  <c r="W4850" i="1"/>
  <c r="V4850" i="1"/>
  <c r="W4856" i="1"/>
  <c r="V4856" i="1"/>
  <c r="W4860" i="1"/>
  <c r="V4860" i="1"/>
  <c r="W4863" i="1"/>
  <c r="V4863" i="1"/>
  <c r="W4867" i="1"/>
  <c r="V4867" i="1"/>
  <c r="W4870" i="1"/>
  <c r="V4870" i="1"/>
  <c r="W4873" i="1"/>
  <c r="V4873" i="1"/>
  <c r="W4877" i="1"/>
  <c r="V4877" i="1"/>
  <c r="W4881" i="1"/>
  <c r="V4881" i="1"/>
  <c r="W4885" i="1"/>
  <c r="V4885" i="1"/>
  <c r="W4891" i="1"/>
  <c r="V4891" i="1"/>
  <c r="W4895" i="1"/>
  <c r="V4895" i="1"/>
  <c r="W4899" i="1"/>
  <c r="V4899" i="1"/>
  <c r="W4902" i="1"/>
  <c r="V4902" i="1"/>
  <c r="W4905" i="1"/>
  <c r="V4905" i="1"/>
  <c r="W4909" i="1"/>
  <c r="V4909" i="1"/>
  <c r="W4913" i="1"/>
  <c r="V4913" i="1"/>
  <c r="W4917" i="1"/>
  <c r="V4917" i="1"/>
  <c r="W4923" i="1"/>
  <c r="V4923" i="1"/>
  <c r="W4927" i="1"/>
  <c r="V4927" i="1"/>
  <c r="W4931" i="1"/>
  <c r="V4931" i="1"/>
  <c r="W4934" i="1"/>
  <c r="V4934" i="1"/>
  <c r="W4937" i="1"/>
  <c r="V4937" i="1"/>
  <c r="W4941" i="1"/>
  <c r="V4941" i="1"/>
  <c r="W4945" i="1"/>
  <c r="V4945" i="1"/>
  <c r="W4949" i="1"/>
  <c r="V4949" i="1"/>
  <c r="W4955" i="1"/>
  <c r="V4955" i="1"/>
  <c r="W4959" i="1"/>
  <c r="V4959" i="1"/>
  <c r="W4963" i="1"/>
  <c r="V4963" i="1"/>
  <c r="W4966" i="1"/>
  <c r="V4966" i="1"/>
  <c r="W4969" i="1"/>
  <c r="V4969" i="1"/>
  <c r="W4973" i="1"/>
  <c r="V4973" i="1"/>
  <c r="W4977" i="1"/>
  <c r="V4977" i="1"/>
  <c r="W4981" i="1"/>
  <c r="V4981" i="1"/>
  <c r="W4987" i="1"/>
  <c r="V4987" i="1"/>
  <c r="W4991" i="1"/>
  <c r="V4991" i="1"/>
  <c r="W4995" i="1"/>
  <c r="V4995" i="1"/>
  <c r="W4998" i="1"/>
  <c r="V4998" i="1"/>
  <c r="W5001" i="1"/>
  <c r="V5001" i="1"/>
  <c r="W5005" i="1"/>
  <c r="V5005" i="1"/>
  <c r="W5009" i="1"/>
  <c r="V5009" i="1"/>
  <c r="W5013" i="1"/>
  <c r="V5013" i="1"/>
  <c r="W5019" i="1"/>
  <c r="V5019" i="1"/>
  <c r="W5023" i="1"/>
  <c r="V5023" i="1"/>
  <c r="W5027" i="1"/>
  <c r="V5027" i="1"/>
  <c r="W5030" i="1"/>
  <c r="V5030" i="1"/>
  <c r="W5033" i="1"/>
  <c r="V5033" i="1"/>
  <c r="W5037" i="1"/>
  <c r="V5037" i="1"/>
  <c r="W5041" i="1"/>
  <c r="V5041" i="1"/>
  <c r="W5045" i="1"/>
  <c r="V5045" i="1"/>
  <c r="W5051" i="1"/>
  <c r="V5051" i="1"/>
  <c r="W5055" i="1"/>
  <c r="V5055" i="1"/>
  <c r="W5059" i="1"/>
  <c r="V5059" i="1"/>
  <c r="W5062" i="1"/>
  <c r="V5062" i="1"/>
  <c r="W5065" i="1"/>
  <c r="V5065" i="1"/>
  <c r="W5069" i="1"/>
  <c r="V5069" i="1"/>
  <c r="W5073" i="1"/>
  <c r="V5073" i="1"/>
  <c r="W5077" i="1"/>
  <c r="V5077" i="1"/>
  <c r="W5080" i="1"/>
  <c r="V5080" i="1"/>
  <c r="W5084" i="1"/>
  <c r="V5084" i="1"/>
  <c r="W5088" i="1"/>
  <c r="V5088" i="1"/>
  <c r="W5092" i="1"/>
  <c r="V5092" i="1"/>
  <c r="W5096" i="1"/>
  <c r="V5096" i="1"/>
  <c r="W5100" i="1"/>
  <c r="V5100" i="1"/>
  <c r="W5103" i="1"/>
  <c r="V5103" i="1"/>
  <c r="W5107" i="1"/>
  <c r="V5107" i="1"/>
  <c r="W5110" i="1"/>
  <c r="V5110" i="1"/>
  <c r="W5114" i="1"/>
  <c r="V5114" i="1"/>
  <c r="W5118" i="1"/>
  <c r="V5118" i="1"/>
  <c r="W5122" i="1"/>
  <c r="V5122" i="1"/>
  <c r="W5126" i="1"/>
  <c r="V5126" i="1"/>
  <c r="W5130" i="1"/>
  <c r="V5130" i="1"/>
  <c r="W5137" i="1"/>
  <c r="V5137" i="1"/>
  <c r="W5141" i="1"/>
  <c r="V5141" i="1"/>
  <c r="W5144" i="1"/>
  <c r="V5144" i="1"/>
  <c r="W5148" i="1"/>
  <c r="V5148" i="1"/>
  <c r="W5152" i="1"/>
  <c r="V5152" i="1"/>
  <c r="W5156" i="1"/>
  <c r="V5156" i="1"/>
  <c r="W5160" i="1"/>
  <c r="V5160" i="1"/>
  <c r="W5164" i="1"/>
  <c r="V5164" i="1"/>
  <c r="W5167" i="1"/>
  <c r="V5167" i="1"/>
  <c r="W5171" i="1"/>
  <c r="V5171" i="1"/>
  <c r="W5174" i="1"/>
  <c r="V5174" i="1"/>
  <c r="W5178" i="1"/>
  <c r="V5178" i="1"/>
  <c r="W5182" i="1"/>
  <c r="V5182" i="1"/>
  <c r="W5186" i="1"/>
  <c r="V5186" i="1"/>
  <c r="W5190" i="1"/>
  <c r="V5190" i="1"/>
  <c r="W5194" i="1"/>
  <c r="V5194" i="1"/>
  <c r="W5201" i="1"/>
  <c r="V5201" i="1"/>
  <c r="W5205" i="1"/>
  <c r="V5205" i="1"/>
  <c r="W5208" i="1"/>
  <c r="V5208" i="1"/>
  <c r="W5212" i="1"/>
  <c r="V5212" i="1"/>
  <c r="W5216" i="1"/>
  <c r="V5216" i="1"/>
  <c r="W5220" i="1"/>
  <c r="V5220" i="1"/>
  <c r="W5224" i="1"/>
  <c r="V5224" i="1"/>
  <c r="W5228" i="1"/>
  <c r="V5228" i="1"/>
  <c r="W5232" i="1"/>
  <c r="V5232" i="1"/>
  <c r="W5236" i="1"/>
  <c r="V5236" i="1"/>
  <c r="W5240" i="1"/>
  <c r="V5240" i="1"/>
  <c r="W5244" i="1"/>
  <c r="V5244" i="1"/>
  <c r="W5247" i="1"/>
  <c r="V5247" i="1"/>
  <c r="W5251" i="1"/>
  <c r="V5251" i="1"/>
  <c r="W5254" i="1"/>
  <c r="V5254" i="1"/>
  <c r="W5258" i="1"/>
  <c r="V5258" i="1"/>
  <c r="W5262" i="1"/>
  <c r="V5262" i="1"/>
  <c r="W5266" i="1"/>
  <c r="V5266" i="1"/>
  <c r="W5270" i="1"/>
  <c r="V5270" i="1"/>
  <c r="W5274" i="1"/>
  <c r="V5274" i="1"/>
  <c r="W5281" i="1"/>
  <c r="V5281" i="1"/>
  <c r="W5285" i="1"/>
  <c r="V5285" i="1"/>
  <c r="W5288" i="1"/>
  <c r="V5288" i="1"/>
  <c r="W5291" i="1"/>
  <c r="V5291" i="1"/>
  <c r="W5295" i="1"/>
  <c r="V5295" i="1"/>
  <c r="W5298" i="1"/>
  <c r="V5298" i="1"/>
  <c r="W5302" i="1"/>
  <c r="V5302" i="1"/>
  <c r="W5305" i="1"/>
  <c r="V5305" i="1"/>
  <c r="W5308" i="1"/>
  <c r="V5308" i="1"/>
  <c r="W5312" i="1"/>
  <c r="V5312" i="1"/>
  <c r="W5315" i="1"/>
  <c r="V5315" i="1"/>
  <c r="W5319" i="1"/>
  <c r="V5319" i="1"/>
  <c r="W5325" i="1"/>
  <c r="V5325" i="1"/>
  <c r="W5329" i="1"/>
  <c r="V5329" i="1"/>
  <c r="W5332" i="1"/>
  <c r="V5332" i="1"/>
  <c r="W5338" i="1"/>
  <c r="V5338" i="1"/>
  <c r="W5341" i="1"/>
  <c r="V5341" i="1"/>
  <c r="W5344" i="1"/>
  <c r="V5344" i="1"/>
  <c r="W5347" i="1"/>
  <c r="V5347" i="1"/>
  <c r="W5351" i="1"/>
  <c r="V5351" i="1"/>
  <c r="W5354" i="1"/>
  <c r="V5354" i="1"/>
  <c r="W5358" i="1"/>
  <c r="V5358" i="1"/>
  <c r="W5365" i="1"/>
  <c r="V5365" i="1"/>
  <c r="W5369" i="1"/>
  <c r="V5369" i="1"/>
  <c r="W5372" i="1"/>
  <c r="V5372" i="1"/>
  <c r="W5376" i="1"/>
  <c r="V5376" i="1"/>
  <c r="W5379" i="1"/>
  <c r="V5379" i="1"/>
  <c r="W5383" i="1"/>
  <c r="V5383" i="1"/>
  <c r="W5386" i="1"/>
  <c r="V5386" i="1"/>
  <c r="W5390" i="1"/>
  <c r="V5390" i="1"/>
  <c r="W5397" i="1"/>
  <c r="V5397" i="1"/>
  <c r="W5401" i="1"/>
  <c r="V5401" i="1"/>
  <c r="W5404" i="1"/>
  <c r="V5404" i="1"/>
  <c r="W5408" i="1"/>
  <c r="V5408" i="1"/>
  <c r="W5411" i="1"/>
  <c r="V5411" i="1"/>
  <c r="W5415" i="1"/>
  <c r="V5415" i="1"/>
  <c r="W5418" i="1"/>
  <c r="V5418" i="1"/>
  <c r="W5422" i="1"/>
  <c r="V5422" i="1"/>
  <c r="W5429" i="1"/>
  <c r="V5429" i="1"/>
  <c r="W5433" i="1"/>
  <c r="V5433" i="1"/>
  <c r="W5436" i="1"/>
  <c r="V5436" i="1"/>
  <c r="W5440" i="1"/>
  <c r="V5440" i="1"/>
  <c r="W5443" i="1"/>
  <c r="V5443" i="1"/>
  <c r="W5447" i="1"/>
  <c r="V5447" i="1"/>
  <c r="W5450" i="1"/>
  <c r="V5450" i="1"/>
  <c r="W5454" i="1"/>
  <c r="V5454" i="1"/>
  <c r="W5461" i="1"/>
  <c r="V5461" i="1"/>
  <c r="W5465" i="1"/>
  <c r="V5465" i="1"/>
  <c r="W5468" i="1"/>
  <c r="V5468" i="1"/>
  <c r="W5472" i="1"/>
  <c r="V5472" i="1"/>
  <c r="W5475" i="1"/>
  <c r="V5475" i="1"/>
  <c r="W5479" i="1"/>
  <c r="V5479" i="1"/>
  <c r="W5482" i="1"/>
  <c r="V5482" i="1"/>
  <c r="W5486" i="1"/>
  <c r="V5486" i="1"/>
  <c r="W5493" i="1"/>
  <c r="V5493" i="1"/>
  <c r="W5497" i="1"/>
  <c r="V5497" i="1"/>
  <c r="W5500" i="1"/>
  <c r="V5500" i="1"/>
  <c r="W5504" i="1"/>
  <c r="V5504" i="1"/>
  <c r="W5507" i="1"/>
  <c r="V5507" i="1"/>
  <c r="W5511" i="1"/>
  <c r="V5511" i="1"/>
  <c r="W5514" i="1"/>
  <c r="V5514" i="1"/>
  <c r="W5518" i="1"/>
  <c r="V5518" i="1"/>
  <c r="W5525" i="1"/>
  <c r="V5525" i="1"/>
  <c r="W5529" i="1"/>
  <c r="V5529" i="1"/>
  <c r="W5532" i="1"/>
  <c r="V5532" i="1"/>
  <c r="W5536" i="1"/>
  <c r="V5536" i="1"/>
  <c r="W5539" i="1"/>
  <c r="V5539" i="1"/>
  <c r="W5543" i="1"/>
  <c r="V5543" i="1"/>
  <c r="W5546" i="1"/>
  <c r="V5546" i="1"/>
  <c r="W5550" i="1"/>
  <c r="V5550" i="1"/>
  <c r="W5557" i="1"/>
  <c r="V5557" i="1"/>
  <c r="W5561" i="1"/>
  <c r="V5561" i="1"/>
  <c r="W5564" i="1"/>
  <c r="V5564" i="1"/>
  <c r="W5568" i="1"/>
  <c r="V5568" i="1"/>
  <c r="W5571" i="1"/>
  <c r="V5571" i="1"/>
  <c r="W5575" i="1"/>
  <c r="V5575" i="1"/>
  <c r="W5578" i="1"/>
  <c r="V5578" i="1"/>
  <c r="W5582" i="1"/>
  <c r="V5582" i="1"/>
  <c r="W5589" i="1"/>
  <c r="V5589" i="1"/>
  <c r="W5593" i="1"/>
  <c r="V5593" i="1"/>
  <c r="W5596" i="1"/>
  <c r="V5596" i="1"/>
  <c r="W5600" i="1"/>
  <c r="V5600" i="1"/>
  <c r="W5603" i="1"/>
  <c r="V5603" i="1"/>
  <c r="W5607" i="1"/>
  <c r="V5607" i="1"/>
  <c r="W5610" i="1"/>
  <c r="V5610" i="1"/>
  <c r="W5614" i="1"/>
  <c r="V5614" i="1"/>
  <c r="W5621" i="1"/>
  <c r="V5621" i="1"/>
  <c r="W5625" i="1"/>
  <c r="V5625" i="1"/>
  <c r="W5628" i="1"/>
  <c r="V5628" i="1"/>
  <c r="W5632" i="1"/>
  <c r="V5632" i="1"/>
  <c r="W5635" i="1"/>
  <c r="V5635" i="1"/>
  <c r="W5639" i="1"/>
  <c r="V5639" i="1"/>
  <c r="W5642" i="1"/>
  <c r="V5642" i="1"/>
  <c r="W5646" i="1"/>
  <c r="V5646" i="1"/>
  <c r="W5653" i="1"/>
  <c r="V5653" i="1"/>
  <c r="W5657" i="1"/>
  <c r="V5657" i="1"/>
  <c r="W5660" i="1"/>
  <c r="V5660" i="1"/>
  <c r="W5664" i="1"/>
  <c r="V5664" i="1"/>
  <c r="W5667" i="1"/>
  <c r="V5667" i="1"/>
  <c r="W5671" i="1"/>
  <c r="V5671" i="1"/>
  <c r="W5674" i="1"/>
  <c r="V5674" i="1"/>
  <c r="W5678" i="1"/>
  <c r="V5678" i="1"/>
  <c r="W5684" i="1"/>
  <c r="V5684" i="1"/>
  <c r="W5688" i="1"/>
  <c r="V5688" i="1"/>
  <c r="W5691" i="1"/>
  <c r="V5691" i="1"/>
  <c r="W5695" i="1"/>
  <c r="V5695" i="1"/>
  <c r="W5698" i="1"/>
  <c r="V5698" i="1"/>
  <c r="W5702" i="1"/>
  <c r="V5702" i="1"/>
  <c r="W5709" i="1"/>
  <c r="V5709" i="1"/>
  <c r="W5713" i="1"/>
  <c r="V5713" i="1"/>
  <c r="W5716" i="1"/>
  <c r="V5716" i="1"/>
  <c r="W5720" i="1"/>
  <c r="V5720" i="1"/>
  <c r="W5723" i="1"/>
  <c r="V5723" i="1"/>
  <c r="W5727" i="1"/>
  <c r="V5727" i="1"/>
  <c r="W5730" i="1"/>
  <c r="V5730" i="1"/>
  <c r="W5734" i="1"/>
  <c r="V5734" i="1"/>
  <c r="W5741" i="1"/>
  <c r="V5741" i="1"/>
  <c r="W5745" i="1"/>
  <c r="V5745" i="1"/>
  <c r="W5748" i="1"/>
  <c r="V5748" i="1"/>
  <c r="W5752" i="1"/>
  <c r="V5752" i="1"/>
  <c r="W5755" i="1"/>
  <c r="V5755" i="1"/>
  <c r="W5758" i="1"/>
  <c r="V5758" i="1"/>
  <c r="W5764" i="1"/>
  <c r="V5764" i="1"/>
  <c r="W5768" i="1"/>
  <c r="V5768" i="1"/>
  <c r="W5771" i="1"/>
  <c r="V5771" i="1"/>
  <c r="W5775" i="1"/>
  <c r="V5775" i="1"/>
  <c r="W5778" i="1"/>
  <c r="V5778" i="1"/>
  <c r="W5782" i="1"/>
  <c r="V5782" i="1"/>
  <c r="W5788" i="1"/>
  <c r="V5788" i="1"/>
  <c r="W5792" i="1"/>
  <c r="V5792" i="1"/>
  <c r="W5795" i="1"/>
  <c r="V5795" i="1"/>
  <c r="W5798" i="1"/>
  <c r="V5798" i="1"/>
  <c r="W5804" i="1"/>
  <c r="V5804" i="1"/>
  <c r="W5808" i="1"/>
  <c r="V5808" i="1"/>
  <c r="W5811" i="1"/>
  <c r="V5811" i="1"/>
  <c r="W5815" i="1"/>
  <c r="V5815" i="1"/>
  <c r="W5818" i="1"/>
  <c r="V5818" i="1"/>
  <c r="W5822" i="1"/>
  <c r="V5822" i="1"/>
  <c r="W5829" i="1"/>
  <c r="V5829" i="1"/>
  <c r="W5833" i="1"/>
  <c r="V5833" i="1"/>
  <c r="W5836" i="1"/>
  <c r="V5836" i="1"/>
  <c r="W5840" i="1"/>
  <c r="V5840" i="1"/>
  <c r="W5843" i="1"/>
  <c r="V5843" i="1"/>
  <c r="W5847" i="1"/>
  <c r="V5847" i="1"/>
  <c r="W5850" i="1"/>
  <c r="V5850" i="1"/>
  <c r="W5854" i="1"/>
  <c r="V5854" i="1"/>
  <c r="W5861" i="1"/>
  <c r="V5861" i="1"/>
  <c r="W5865" i="1"/>
  <c r="V5865" i="1"/>
  <c r="W5868" i="1"/>
  <c r="V5868" i="1"/>
  <c r="W5872" i="1"/>
  <c r="V5872" i="1"/>
  <c r="W5875" i="1"/>
  <c r="V5875" i="1"/>
  <c r="W5879" i="1"/>
  <c r="V5879" i="1"/>
  <c r="W5882" i="1"/>
  <c r="V5882" i="1"/>
  <c r="W5886" i="1"/>
  <c r="V5886" i="1"/>
  <c r="W5893" i="1"/>
  <c r="V5893" i="1"/>
  <c r="W5897" i="1"/>
  <c r="V5897" i="1"/>
  <c r="W5900" i="1"/>
  <c r="V5900" i="1"/>
  <c r="W5904" i="1"/>
  <c r="V5904" i="1"/>
  <c r="W5908" i="1"/>
  <c r="V5908" i="1"/>
  <c r="W5911" i="1"/>
  <c r="V5911" i="1"/>
  <c r="W5915" i="1"/>
  <c r="V5915" i="1"/>
  <c r="W5919" i="1"/>
  <c r="V5919" i="1"/>
  <c r="W5923" i="1"/>
  <c r="V5923" i="1"/>
  <c r="W5926" i="1"/>
  <c r="V5926" i="1"/>
  <c r="W5930" i="1"/>
  <c r="V5930" i="1"/>
  <c r="W5934" i="1"/>
  <c r="V5934" i="1"/>
  <c r="W5938" i="1"/>
  <c r="V5938" i="1"/>
  <c r="W5945" i="1"/>
  <c r="V5945" i="1"/>
  <c r="W5949" i="1"/>
  <c r="V5949" i="1"/>
  <c r="W5953" i="1"/>
  <c r="V5953" i="1"/>
  <c r="W5957" i="1"/>
  <c r="V5957" i="1"/>
  <c r="W5963" i="1"/>
  <c r="V5963" i="1"/>
  <c r="W5967" i="1"/>
  <c r="V5967" i="1"/>
  <c r="W5971" i="1"/>
  <c r="V5971" i="1"/>
  <c r="W5974" i="1"/>
  <c r="V5974" i="1"/>
  <c r="W5977" i="1"/>
  <c r="V5977" i="1"/>
  <c r="W5981" i="1"/>
  <c r="V5981" i="1"/>
  <c r="W5985" i="1"/>
  <c r="V5985" i="1"/>
  <c r="W5989" i="1"/>
  <c r="V5989" i="1"/>
  <c r="W5992" i="1"/>
  <c r="V5992" i="1"/>
  <c r="W5996" i="1"/>
  <c r="V5996" i="1"/>
  <c r="W6000" i="1"/>
  <c r="V6000" i="1"/>
  <c r="W6004" i="1"/>
  <c r="V6004" i="1"/>
  <c r="W6007" i="1"/>
  <c r="V6007" i="1"/>
  <c r="W6010" i="1"/>
  <c r="V6010" i="1"/>
  <c r="W6014" i="1"/>
  <c r="V6014" i="1"/>
  <c r="W6018" i="1"/>
  <c r="V6018" i="1"/>
  <c r="W6025" i="1"/>
  <c r="V6025" i="1"/>
  <c r="W6029" i="1"/>
  <c r="V6029" i="1"/>
  <c r="W6033" i="1"/>
  <c r="V6033" i="1"/>
  <c r="W6037" i="1"/>
  <c r="V6037" i="1"/>
  <c r="W6040" i="1"/>
  <c r="V6040" i="1"/>
  <c r="W6044" i="1"/>
  <c r="V6044" i="1"/>
  <c r="W6048" i="1"/>
  <c r="V6048" i="1"/>
  <c r="W6052" i="1"/>
  <c r="V6052" i="1"/>
  <c r="W6055" i="1"/>
  <c r="V6055" i="1"/>
  <c r="W6059" i="1"/>
  <c r="V6059" i="1"/>
  <c r="W6063" i="1"/>
  <c r="V6063" i="1"/>
  <c r="W6067" i="1"/>
  <c r="V6067" i="1"/>
  <c r="W6070" i="1"/>
  <c r="V6070" i="1"/>
  <c r="W6074" i="1"/>
  <c r="V6074" i="1"/>
  <c r="W6078" i="1"/>
  <c r="V6078" i="1"/>
  <c r="W6082" i="1"/>
  <c r="V6082" i="1"/>
  <c r="W6089" i="1"/>
  <c r="V6089" i="1"/>
  <c r="W6093" i="1"/>
  <c r="V6093" i="1"/>
  <c r="W6097" i="1"/>
  <c r="V6097" i="1"/>
  <c r="W6101" i="1"/>
  <c r="V6101" i="1"/>
  <c r="W6104" i="1"/>
  <c r="V6104" i="1"/>
  <c r="W6108" i="1"/>
  <c r="V6108" i="1"/>
  <c r="W6112" i="1"/>
  <c r="V6112" i="1"/>
  <c r="W6116" i="1"/>
  <c r="V6116" i="1"/>
  <c r="W6119" i="1"/>
  <c r="V6119" i="1"/>
  <c r="W6123" i="1"/>
  <c r="V6123" i="1"/>
  <c r="W6127" i="1"/>
  <c r="V6127" i="1"/>
  <c r="W6131" i="1"/>
  <c r="V6131" i="1"/>
  <c r="W6134" i="1"/>
  <c r="V6134" i="1"/>
  <c r="W6138" i="1"/>
  <c r="V6138" i="1"/>
  <c r="W6142" i="1"/>
  <c r="V6142" i="1"/>
  <c r="W6146" i="1"/>
  <c r="V6146" i="1"/>
  <c r="W6157" i="1"/>
  <c r="V6157" i="1"/>
  <c r="W6161" i="1"/>
  <c r="V6161" i="1"/>
  <c r="W6165" i="1"/>
  <c r="V6165" i="1"/>
  <c r="W6168" i="1"/>
  <c r="V6168" i="1"/>
  <c r="W6172" i="1"/>
  <c r="V6172" i="1"/>
  <c r="W6176" i="1"/>
  <c r="V6176" i="1"/>
  <c r="W6180" i="1"/>
  <c r="V6180" i="1"/>
  <c r="W6183" i="1"/>
  <c r="V6183" i="1"/>
  <c r="W6187" i="1"/>
  <c r="V6187" i="1"/>
  <c r="W6191" i="1"/>
  <c r="V6191" i="1"/>
  <c r="W6195" i="1"/>
  <c r="V6195" i="1"/>
  <c r="W6198" i="1"/>
  <c r="V6198" i="1"/>
  <c r="W6202" i="1"/>
  <c r="V6202" i="1"/>
  <c r="W6206" i="1"/>
  <c r="V6206" i="1"/>
  <c r="W6210" i="1"/>
  <c r="V6210" i="1"/>
  <c r="W6221" i="1"/>
  <c r="V6221" i="1"/>
  <c r="W6225" i="1"/>
  <c r="V6225" i="1"/>
  <c r="W6229" i="1"/>
  <c r="V6229" i="1"/>
  <c r="W6232" i="1"/>
  <c r="V6232" i="1"/>
  <c r="W6236" i="1"/>
  <c r="V6236" i="1"/>
  <c r="W6240" i="1"/>
  <c r="V6240" i="1"/>
  <c r="W6244" i="1"/>
  <c r="V6244" i="1"/>
  <c r="W6247" i="1"/>
  <c r="V6247" i="1"/>
  <c r="W6251" i="1"/>
  <c r="V6251" i="1"/>
  <c r="W6255" i="1"/>
  <c r="V6255" i="1"/>
  <c r="W6259" i="1"/>
  <c r="V6259" i="1"/>
  <c r="W6262" i="1"/>
  <c r="V6262" i="1"/>
  <c r="W6266" i="1"/>
  <c r="V6266" i="1"/>
  <c r="W6270" i="1"/>
  <c r="V6270" i="1"/>
  <c r="W6274" i="1"/>
  <c r="V6274" i="1"/>
  <c r="W6285" i="1"/>
  <c r="V6285" i="1"/>
  <c r="W6289" i="1"/>
  <c r="V6289" i="1"/>
  <c r="W6293" i="1"/>
  <c r="V6293" i="1"/>
  <c r="W6296" i="1"/>
  <c r="V6296" i="1"/>
  <c r="W6300" i="1"/>
  <c r="V6300" i="1"/>
  <c r="W6304" i="1"/>
  <c r="V6304" i="1"/>
  <c r="W6308" i="1"/>
  <c r="V6308" i="1"/>
  <c r="W6311" i="1"/>
  <c r="V6311" i="1"/>
  <c r="W6315" i="1"/>
  <c r="V6315" i="1"/>
  <c r="W6319" i="1"/>
  <c r="V6319" i="1"/>
  <c r="W6323" i="1"/>
  <c r="V6323" i="1"/>
  <c r="W6326" i="1"/>
  <c r="V6326" i="1"/>
  <c r="W6333" i="1"/>
  <c r="V6333" i="1"/>
  <c r="W6337" i="1"/>
  <c r="V6337" i="1"/>
  <c r="W6341" i="1"/>
  <c r="V6341" i="1"/>
  <c r="W6344" i="1"/>
  <c r="V6344" i="1"/>
  <c r="W6348" i="1"/>
  <c r="V6348" i="1"/>
  <c r="W6355" i="1"/>
  <c r="V6355" i="1"/>
  <c r="W6358" i="1"/>
  <c r="V6358" i="1"/>
  <c r="W6362" i="1"/>
  <c r="V6362" i="1"/>
  <c r="W6366" i="1"/>
  <c r="V6366" i="1"/>
  <c r="W6370" i="1"/>
  <c r="V6370" i="1"/>
  <c r="W6381" i="1"/>
  <c r="V6381" i="1"/>
  <c r="W6384" i="1"/>
  <c r="V6384" i="1"/>
  <c r="W6388" i="1"/>
  <c r="V6388" i="1"/>
  <c r="W6391" i="1"/>
  <c r="V6391" i="1"/>
  <c r="W6395" i="1"/>
  <c r="V6395" i="1"/>
  <c r="W6399" i="1"/>
  <c r="V6399" i="1"/>
  <c r="W6403" i="1"/>
  <c r="V6403" i="1"/>
  <c r="W6406" i="1"/>
  <c r="V6406" i="1"/>
  <c r="W6410" i="1"/>
  <c r="V6410" i="1"/>
  <c r="W6414" i="1"/>
  <c r="V6414" i="1"/>
  <c r="W6417" i="1"/>
  <c r="V6417" i="1"/>
  <c r="W6421" i="1"/>
  <c r="V6421" i="1"/>
  <c r="W6424" i="1"/>
  <c r="V6424" i="1"/>
  <c r="W6428" i="1"/>
  <c r="V6428" i="1"/>
  <c r="W6432" i="1"/>
  <c r="V6432" i="1"/>
  <c r="W6436" i="1"/>
  <c r="V6436" i="1"/>
  <c r="W6439" i="1"/>
  <c r="V6439" i="1"/>
  <c r="W6443" i="1"/>
  <c r="V6443" i="1"/>
  <c r="W6447" i="1"/>
  <c r="V6447" i="1"/>
  <c r="W6450" i="1"/>
  <c r="V6450" i="1"/>
  <c r="W6461" i="1"/>
  <c r="V6461" i="1"/>
  <c r="W6465" i="1"/>
  <c r="V6465" i="1"/>
  <c r="W6469" i="1"/>
  <c r="V6469" i="1"/>
  <c r="W6472" i="1"/>
  <c r="V6472" i="1"/>
  <c r="W6476" i="1"/>
  <c r="V6476" i="1"/>
  <c r="W6483" i="1"/>
  <c r="V6483" i="1"/>
  <c r="W6486" i="1"/>
  <c r="V6486" i="1"/>
  <c r="W6490" i="1"/>
  <c r="V6490" i="1"/>
  <c r="W6494" i="1"/>
  <c r="V6494" i="1"/>
  <c r="W6498" i="1"/>
  <c r="V6498" i="1"/>
  <c r="W6509" i="1"/>
  <c r="V6509" i="1"/>
  <c r="W6512" i="1"/>
  <c r="V6512" i="1"/>
  <c r="W6516" i="1"/>
  <c r="V6516" i="1"/>
  <c r="W6519" i="1"/>
  <c r="V6519" i="1"/>
  <c r="W6523" i="1"/>
  <c r="V6523" i="1"/>
  <c r="W6527" i="1"/>
  <c r="V6527" i="1"/>
  <c r="W6531" i="1"/>
  <c r="V6531" i="1"/>
  <c r="W6534" i="1"/>
  <c r="V6534" i="1"/>
  <c r="W6538" i="1"/>
  <c r="V6538" i="1"/>
  <c r="W6542" i="1"/>
  <c r="V6542" i="1"/>
  <c r="W6545" i="1"/>
  <c r="V6545" i="1"/>
  <c r="W6549" i="1"/>
  <c r="V6549" i="1"/>
  <c r="W6552" i="1"/>
  <c r="V6552" i="1"/>
  <c r="W6556" i="1"/>
  <c r="V6556" i="1"/>
  <c r="W6560" i="1"/>
  <c r="V6560" i="1"/>
  <c r="W6564" i="1"/>
  <c r="V6564" i="1"/>
  <c r="W6571" i="1"/>
  <c r="V6571" i="1"/>
  <c r="W6578" i="1"/>
  <c r="V6578" i="1"/>
  <c r="W6585" i="1"/>
  <c r="V6585" i="1"/>
  <c r="W6589" i="1"/>
  <c r="V6589" i="1"/>
  <c r="W6593" i="1"/>
  <c r="V6593" i="1"/>
  <c r="W6597" i="1"/>
  <c r="V6597" i="1"/>
  <c r="W6600" i="1"/>
  <c r="V6600" i="1"/>
  <c r="W6604" i="1"/>
  <c r="V6604" i="1"/>
  <c r="W6610" i="1"/>
  <c r="V6610" i="1"/>
  <c r="W6614" i="1"/>
  <c r="V6614" i="1"/>
  <c r="W6621" i="1"/>
  <c r="V6621" i="1"/>
  <c r="W6624" i="1"/>
  <c r="V6624" i="1"/>
  <c r="W6627" i="1"/>
  <c r="V6627" i="1"/>
  <c r="W6634" i="1"/>
  <c r="V6634" i="1"/>
  <c r="W6638" i="1"/>
  <c r="V6638" i="1"/>
  <c r="W6641" i="1"/>
  <c r="V6641" i="1"/>
  <c r="W6644" i="1"/>
  <c r="V6644" i="1"/>
  <c r="W6648" i="1"/>
  <c r="V6648" i="1"/>
  <c r="W6651" i="1"/>
  <c r="V6651" i="1"/>
  <c r="W6661" i="1"/>
  <c r="V6661" i="1"/>
  <c r="W6665" i="1"/>
  <c r="V6665" i="1"/>
  <c r="W6668" i="1"/>
  <c r="V6668" i="1"/>
  <c r="W6674" i="1"/>
  <c r="V6674" i="1"/>
  <c r="W6678" i="1"/>
  <c r="V6678" i="1"/>
  <c r="W6685" i="1"/>
  <c r="V6685" i="1"/>
  <c r="W6689" i="1"/>
  <c r="V6689" i="1"/>
  <c r="W6692" i="1"/>
  <c r="V6692" i="1"/>
  <c r="W6696" i="1"/>
  <c r="V6696" i="1"/>
  <c r="W6699" i="1"/>
  <c r="V6699" i="1"/>
  <c r="W6706" i="1"/>
  <c r="V6706" i="1"/>
  <c r="W6710" i="1"/>
  <c r="V6710" i="1"/>
  <c r="W6717" i="1"/>
  <c r="V6717" i="1"/>
  <c r="W6721" i="1"/>
  <c r="V6721" i="1"/>
  <c r="W6724" i="1"/>
  <c r="V6724" i="1"/>
  <c r="W6728" i="1"/>
  <c r="V6728" i="1"/>
  <c r="W6731" i="1"/>
  <c r="V6731" i="1"/>
  <c r="W6738" i="1"/>
  <c r="V6738" i="1"/>
  <c r="W6741" i="1"/>
  <c r="V6741" i="1"/>
  <c r="W6745" i="1"/>
  <c r="V6745" i="1"/>
  <c r="W6754" i="1"/>
  <c r="V6754" i="1"/>
  <c r="W6757" i="1"/>
  <c r="V6757" i="1"/>
  <c r="W6761" i="1"/>
  <c r="V6761" i="1"/>
  <c r="W6764" i="1"/>
  <c r="V6764" i="1"/>
  <c r="W6768" i="1"/>
  <c r="V6768" i="1"/>
  <c r="W6771" i="1"/>
  <c r="V6771" i="1"/>
  <c r="W6774" i="1"/>
  <c r="V6774" i="1"/>
  <c r="W6780" i="1"/>
  <c r="V6780" i="1"/>
  <c r="W6784" i="1"/>
  <c r="V6784" i="1"/>
  <c r="W6787" i="1"/>
  <c r="V6787" i="1"/>
  <c r="W6794" i="1"/>
  <c r="V6794" i="1"/>
  <c r="W6798" i="1"/>
  <c r="V6798" i="1"/>
  <c r="W6805" i="1"/>
  <c r="V6805" i="1"/>
  <c r="W6809" i="1"/>
  <c r="V6809" i="1"/>
  <c r="W6812" i="1"/>
  <c r="V6812" i="1"/>
  <c r="W6816" i="1"/>
  <c r="V6816" i="1"/>
  <c r="W6819" i="1"/>
  <c r="V6819" i="1"/>
  <c r="W6826" i="1"/>
  <c r="V6826" i="1"/>
  <c r="W6830" i="1"/>
  <c r="V6830" i="1"/>
  <c r="W6837" i="1"/>
  <c r="V6837" i="1"/>
  <c r="W6841" i="1"/>
  <c r="V6841" i="1"/>
  <c r="W6844" i="1"/>
  <c r="V6844" i="1"/>
  <c r="W6848" i="1"/>
  <c r="V6848" i="1"/>
  <c r="W6851" i="1"/>
  <c r="V6851" i="1"/>
  <c r="W6858" i="1"/>
  <c r="V6858" i="1"/>
  <c r="W6862" i="1"/>
  <c r="V6862" i="1"/>
  <c r="W6869" i="1"/>
  <c r="V6869" i="1"/>
  <c r="W6873" i="1"/>
  <c r="V6873" i="1"/>
  <c r="W6876" i="1"/>
  <c r="V6876" i="1"/>
  <c r="W6880" i="1"/>
  <c r="V6880" i="1"/>
  <c r="W6883" i="1"/>
  <c r="V6883" i="1"/>
  <c r="W6890" i="1"/>
  <c r="V6890" i="1"/>
  <c r="W6894" i="1"/>
  <c r="V6894" i="1"/>
  <c r="W6900" i="1"/>
  <c r="V6900" i="1"/>
  <c r="W6904" i="1"/>
  <c r="V6904" i="1"/>
  <c r="W6907" i="1"/>
  <c r="V6907" i="1"/>
  <c r="W6910" i="1"/>
  <c r="V6910" i="1"/>
  <c r="W6916" i="1"/>
  <c r="V6916" i="1"/>
  <c r="W6920" i="1"/>
  <c r="V6920" i="1"/>
  <c r="W6923" i="1"/>
  <c r="V6923" i="1"/>
  <c r="W6930" i="1"/>
  <c r="V6930" i="1"/>
  <c r="W6934" i="1"/>
  <c r="V6934" i="1"/>
  <c r="W6941" i="1"/>
  <c r="V6941" i="1"/>
  <c r="W6945" i="1"/>
  <c r="V6945" i="1"/>
  <c r="W6948" i="1"/>
  <c r="V6948" i="1"/>
  <c r="W6952" i="1"/>
  <c r="V6952" i="1"/>
  <c r="W6955" i="1"/>
  <c r="V6955" i="1"/>
  <c r="W6962" i="1"/>
  <c r="V6962" i="1"/>
  <c r="W6966" i="1"/>
  <c r="V6966" i="1"/>
  <c r="W6973" i="1"/>
  <c r="V6973" i="1"/>
  <c r="W6977" i="1"/>
  <c r="V6977" i="1"/>
  <c r="W6980" i="1"/>
  <c r="V6980" i="1"/>
  <c r="W6984" i="1"/>
  <c r="V6984" i="1"/>
  <c r="W6987" i="1"/>
  <c r="V6987" i="1"/>
  <c r="W6994" i="1"/>
  <c r="V6994" i="1"/>
  <c r="W6998" i="1"/>
  <c r="V6998" i="1"/>
  <c r="W7004" i="1"/>
  <c r="V7004" i="1"/>
  <c r="W7008" i="1"/>
  <c r="V7008" i="1"/>
  <c r="W7011" i="1"/>
  <c r="V7011" i="1"/>
  <c r="W7014" i="1"/>
  <c r="V7014" i="1"/>
  <c r="W7021" i="1"/>
  <c r="V7021" i="1"/>
  <c r="W7025" i="1"/>
  <c r="V7025" i="1"/>
  <c r="W7028" i="1"/>
  <c r="V7028" i="1"/>
  <c r="W7032" i="1"/>
  <c r="V7032" i="1"/>
  <c r="W7035" i="1"/>
  <c r="V7035" i="1"/>
  <c r="W7042" i="1"/>
  <c r="V7042" i="1"/>
  <c r="W7045" i="1"/>
  <c r="V7045" i="1"/>
  <c r="W7049" i="1"/>
  <c r="V7049" i="1"/>
  <c r="W7052" i="1"/>
  <c r="V7052" i="1"/>
  <c r="W7056" i="1"/>
  <c r="V7056" i="1"/>
  <c r="W7059" i="1"/>
  <c r="V7059" i="1"/>
  <c r="W7066" i="1"/>
  <c r="V7066" i="1"/>
  <c r="W7070" i="1"/>
  <c r="V7070" i="1"/>
  <c r="W7073" i="1"/>
  <c r="V7073" i="1"/>
  <c r="W7076" i="1"/>
  <c r="V7076" i="1"/>
  <c r="W7082" i="1"/>
  <c r="V7082" i="1"/>
  <c r="W7086" i="1"/>
  <c r="V7086" i="1"/>
  <c r="W7089" i="1"/>
  <c r="V7089" i="1"/>
  <c r="W7092" i="1"/>
  <c r="V7092" i="1"/>
  <c r="W7102" i="1"/>
  <c r="V7102" i="1"/>
  <c r="W7106" i="1"/>
  <c r="V7106" i="1"/>
  <c r="W7109" i="1"/>
  <c r="V7109" i="1"/>
  <c r="W7113" i="1"/>
  <c r="V7113" i="1"/>
  <c r="W7116" i="1"/>
  <c r="V7116" i="1"/>
  <c r="W7120" i="1"/>
  <c r="V7120" i="1"/>
  <c r="W7124" i="1"/>
  <c r="V7124" i="1"/>
  <c r="W7134" i="1"/>
  <c r="V7134" i="1"/>
  <c r="W7138" i="1"/>
  <c r="V7138" i="1"/>
  <c r="W7141" i="1"/>
  <c r="V7141" i="1"/>
  <c r="W7145" i="1"/>
  <c r="V7145" i="1"/>
  <c r="W7148" i="1"/>
  <c r="V7148" i="1"/>
  <c r="W7152" i="1"/>
  <c r="V7152" i="1"/>
  <c r="W7155" i="1"/>
  <c r="V7155" i="1"/>
  <c r="W7158" i="1"/>
  <c r="V7158" i="1"/>
  <c r="W7162" i="1"/>
  <c r="V7162" i="1"/>
  <c r="W7165" i="1"/>
  <c r="V7165" i="1"/>
  <c r="W7169" i="1"/>
  <c r="V7169" i="1"/>
  <c r="W7176" i="1"/>
  <c r="V7176" i="1"/>
  <c r="W7179" i="1"/>
  <c r="V7179" i="1"/>
  <c r="W7187" i="1"/>
  <c r="V7187" i="1"/>
  <c r="W7190" i="1"/>
  <c r="V7190" i="1"/>
  <c r="W7194" i="1"/>
  <c r="V7194" i="1"/>
  <c r="W7197" i="1"/>
  <c r="V7197" i="1"/>
  <c r="W7201" i="1"/>
  <c r="V7201" i="1"/>
  <c r="W7208" i="1"/>
  <c r="V7208" i="1"/>
  <c r="W7211" i="1"/>
  <c r="V7211" i="1"/>
  <c r="W7221" i="1"/>
  <c r="V7221" i="1"/>
  <c r="W7225" i="1"/>
  <c r="V7225" i="1"/>
  <c r="W7228" i="1"/>
  <c r="V7228" i="1"/>
  <c r="W7232" i="1"/>
  <c r="V7232" i="1"/>
  <c r="W7236" i="1"/>
  <c r="V7236" i="1"/>
  <c r="W7246" i="1"/>
  <c r="V7246" i="1"/>
  <c r="W7250" i="1"/>
  <c r="V7250" i="1"/>
  <c r="W7253" i="1"/>
  <c r="V7253" i="1"/>
  <c r="W7257" i="1"/>
  <c r="V7257" i="1"/>
  <c r="W7261" i="1"/>
  <c r="V7261" i="1"/>
  <c r="W7265" i="1"/>
  <c r="V7265" i="1"/>
  <c r="W7272" i="1"/>
  <c r="V7272" i="1"/>
  <c r="W7276" i="1"/>
  <c r="V7276" i="1"/>
  <c r="W7280" i="1"/>
  <c r="V7280" i="1"/>
  <c r="W7284" i="1"/>
  <c r="V7284" i="1"/>
  <c r="W7291" i="1"/>
  <c r="V7291" i="1"/>
  <c r="W7299" i="1"/>
  <c r="V7299" i="1"/>
  <c r="W7302" i="1"/>
  <c r="V7302" i="1"/>
  <c r="W7306" i="1"/>
  <c r="V7306" i="1"/>
  <c r="W7310" i="1"/>
  <c r="V7310" i="1"/>
  <c r="W7314" i="1"/>
  <c r="V7314" i="1"/>
  <c r="W7317" i="1"/>
  <c r="V7317" i="1"/>
  <c r="W7321" i="1"/>
  <c r="V7321" i="1"/>
  <c r="W7325" i="1"/>
  <c r="V7325" i="1"/>
  <c r="W7329" i="1"/>
  <c r="V7329" i="1"/>
  <c r="W7336" i="1"/>
  <c r="V7336" i="1"/>
  <c r="W7340" i="1"/>
  <c r="V7340" i="1"/>
  <c r="W7344" i="1"/>
  <c r="V7344" i="1"/>
  <c r="W7348" i="1"/>
  <c r="V7348" i="1"/>
  <c r="W7355" i="1"/>
  <c r="V7355" i="1"/>
  <c r="W7363" i="1"/>
  <c r="V7363" i="1"/>
  <c r="W7366" i="1"/>
  <c r="V7366" i="1"/>
  <c r="W7370" i="1"/>
  <c r="V7370" i="1"/>
  <c r="W7374" i="1"/>
  <c r="V7374" i="1"/>
  <c r="W7378" i="1"/>
  <c r="V7378" i="1"/>
  <c r="W7381" i="1"/>
  <c r="V7381" i="1"/>
  <c r="W7385" i="1"/>
  <c r="V7385" i="1"/>
  <c r="W7389" i="1"/>
  <c r="V7389" i="1"/>
  <c r="W7393" i="1"/>
  <c r="V7393" i="1"/>
  <c r="W7400" i="1"/>
  <c r="V7400" i="1"/>
  <c r="W7404" i="1"/>
  <c r="V7404" i="1"/>
  <c r="W7408" i="1"/>
  <c r="V7408" i="1"/>
  <c r="W7412" i="1"/>
  <c r="V7412" i="1"/>
  <c r="W7419" i="1"/>
  <c r="V7419" i="1"/>
  <c r="W7427" i="1"/>
  <c r="V7427" i="1"/>
  <c r="W7430" i="1"/>
  <c r="V7430" i="1"/>
  <c r="W7434" i="1"/>
  <c r="V7434" i="1"/>
  <c r="W7438" i="1"/>
  <c r="V7438" i="1"/>
  <c r="W7442" i="1"/>
  <c r="V7442" i="1"/>
  <c r="W7445" i="1"/>
  <c r="V7445" i="1"/>
  <c r="W7449" i="1"/>
  <c r="V7449" i="1"/>
  <c r="W7453" i="1"/>
  <c r="V7453" i="1"/>
  <c r="W7457" i="1"/>
  <c r="V7457" i="1"/>
  <c r="W7464" i="1"/>
  <c r="V7464" i="1"/>
  <c r="W7468" i="1"/>
  <c r="V7468" i="1"/>
  <c r="W7472" i="1"/>
  <c r="V7472" i="1"/>
  <c r="W7476" i="1"/>
  <c r="V7476" i="1"/>
  <c r="W7483" i="1"/>
  <c r="V7483" i="1"/>
  <c r="W7491" i="1"/>
  <c r="V7491" i="1"/>
  <c r="W7494" i="1"/>
  <c r="V7494" i="1"/>
  <c r="W7498" i="1"/>
  <c r="V7498" i="1"/>
  <c r="W7502" i="1"/>
  <c r="V7502" i="1"/>
  <c r="W7506" i="1"/>
  <c r="V7506" i="1"/>
  <c r="W7509" i="1"/>
  <c r="V7509" i="1"/>
  <c r="W7513" i="1"/>
  <c r="V7513" i="1"/>
  <c r="W7517" i="1"/>
  <c r="V7517" i="1"/>
  <c r="W7521" i="1"/>
  <c r="V7521" i="1"/>
  <c r="W7528" i="1"/>
  <c r="V7528" i="1"/>
  <c r="W7532" i="1"/>
  <c r="V7532" i="1"/>
  <c r="W7536" i="1"/>
  <c r="V7536" i="1"/>
  <c r="W7540" i="1"/>
  <c r="V7540" i="1"/>
  <c r="W7547" i="1"/>
  <c r="V7547" i="1"/>
  <c r="W7555" i="1"/>
  <c r="V7555" i="1"/>
  <c r="W7558" i="1"/>
  <c r="V7558" i="1"/>
  <c r="W7562" i="1"/>
  <c r="V7562" i="1"/>
  <c r="W7566" i="1"/>
  <c r="V7566" i="1"/>
  <c r="W7570" i="1"/>
  <c r="V7570" i="1"/>
  <c r="W7573" i="1"/>
  <c r="V7573" i="1"/>
  <c r="W7577" i="1"/>
  <c r="V7577" i="1"/>
  <c r="W7581" i="1"/>
  <c r="V7581" i="1"/>
  <c r="W7585" i="1"/>
  <c r="V7585" i="1"/>
  <c r="W7592" i="1"/>
  <c r="V7592" i="1"/>
  <c r="W7596" i="1"/>
  <c r="V7596" i="1"/>
  <c r="W7600" i="1"/>
  <c r="V7600" i="1"/>
  <c r="W7604" i="1"/>
  <c r="V7604" i="1"/>
  <c r="W7611" i="1"/>
  <c r="V7611" i="1"/>
  <c r="W7619" i="1"/>
  <c r="V7619" i="1"/>
  <c r="W7622" i="1"/>
  <c r="V7622" i="1"/>
  <c r="W7626" i="1"/>
  <c r="V7626" i="1"/>
  <c r="W7630" i="1"/>
  <c r="V7630" i="1"/>
  <c r="W7634" i="1"/>
  <c r="V7634" i="1"/>
  <c r="W7637" i="1"/>
  <c r="V7637" i="1"/>
  <c r="W7641" i="1"/>
  <c r="V7641" i="1"/>
  <c r="W7645" i="1"/>
  <c r="V7645" i="1"/>
  <c r="W7649" i="1"/>
  <c r="V7649" i="1"/>
  <c r="W7656" i="1"/>
  <c r="V7656" i="1"/>
  <c r="W7660" i="1"/>
  <c r="V7660" i="1"/>
  <c r="W7664" i="1"/>
  <c r="V7664" i="1"/>
  <c r="W7668" i="1"/>
  <c r="V7668" i="1"/>
  <c r="W7675" i="1"/>
  <c r="V7675" i="1"/>
  <c r="W7683" i="1"/>
  <c r="V7683" i="1"/>
  <c r="W7686" i="1"/>
  <c r="V7686" i="1"/>
  <c r="W7690" i="1"/>
  <c r="V7690" i="1"/>
  <c r="W7694" i="1"/>
  <c r="V7694" i="1"/>
  <c r="W7698" i="1"/>
  <c r="V7698" i="1"/>
  <c r="W7701" i="1"/>
  <c r="V7701" i="1"/>
  <c r="W7705" i="1"/>
  <c r="V7705" i="1"/>
  <c r="W7709" i="1"/>
  <c r="V7709" i="1"/>
  <c r="W7713" i="1"/>
  <c r="V7713" i="1"/>
  <c r="W7720" i="1"/>
  <c r="V7720" i="1"/>
  <c r="W7724" i="1"/>
  <c r="V7724" i="1"/>
  <c r="W7728" i="1"/>
  <c r="V7728" i="1"/>
  <c r="W7732" i="1"/>
  <c r="V7732" i="1"/>
  <c r="W7739" i="1"/>
  <c r="V7739" i="1"/>
  <c r="W7747" i="1"/>
  <c r="V7747" i="1"/>
  <c r="W7750" i="1"/>
  <c r="V7750" i="1"/>
  <c r="W7754" i="1"/>
  <c r="V7754" i="1"/>
  <c r="W7758" i="1"/>
  <c r="V7758" i="1"/>
  <c r="W7762" i="1"/>
  <c r="V7762" i="1"/>
  <c r="V1653" i="1"/>
  <c r="V1637" i="1"/>
  <c r="V1621" i="1"/>
  <c r="V1605" i="1"/>
  <c r="V1589" i="1"/>
  <c r="V1573" i="1"/>
  <c r="V1557" i="1"/>
  <c r="V1541" i="1"/>
  <c r="V1525" i="1"/>
  <c r="V1509" i="1"/>
  <c r="V1493" i="1"/>
  <c r="V1477" i="1"/>
  <c r="V1461" i="1"/>
  <c r="V1445" i="1"/>
  <c r="V1429" i="1"/>
  <c r="V1413" i="1"/>
  <c r="V1397" i="1"/>
  <c r="V1381" i="1"/>
  <c r="V1365" i="1"/>
  <c r="V1349" i="1"/>
  <c r="V1333" i="1"/>
  <c r="V1317" i="1"/>
  <c r="V1301" i="1"/>
  <c r="V1285" i="1"/>
  <c r="V1269" i="1"/>
  <c r="V1253" i="1"/>
  <c r="V1237" i="1"/>
  <c r="V1221" i="1"/>
  <c r="V1205" i="1"/>
  <c r="V1189" i="1"/>
  <c r="V1173" i="1"/>
  <c r="V1157" i="1"/>
  <c r="V1141" i="1"/>
  <c r="V1125" i="1"/>
  <c r="V1109" i="1"/>
  <c r="V1093" i="1"/>
  <c r="V1077" i="1"/>
  <c r="V1061" i="1"/>
  <c r="V1045" i="1"/>
  <c r="V1029" i="1"/>
  <c r="V1013" i="1"/>
  <c r="V997" i="1"/>
  <c r="V981" i="1"/>
  <c r="V965" i="1"/>
  <c r="V949" i="1"/>
  <c r="V933" i="1"/>
  <c r="V917" i="1"/>
  <c r="V901" i="1"/>
  <c r="V885" i="1"/>
  <c r="V869" i="1"/>
  <c r="V853" i="1"/>
  <c r="V837" i="1"/>
  <c r="V821" i="1"/>
  <c r="V805" i="1"/>
  <c r="V789" i="1"/>
  <c r="V773" i="1"/>
  <c r="V757" i="1"/>
  <c r="V741" i="1"/>
  <c r="V725" i="1"/>
  <c r="V709" i="1"/>
  <c r="V693" i="1"/>
  <c r="V677" i="1"/>
  <c r="V661" i="1"/>
  <c r="V645" i="1"/>
  <c r="V629" i="1"/>
  <c r="V613" i="1"/>
  <c r="V597" i="1"/>
  <c r="V581" i="1"/>
  <c r="V565" i="1"/>
  <c r="V549" i="1"/>
  <c r="V533" i="1"/>
  <c r="V517" i="1"/>
  <c r="V501" i="1"/>
  <c r="V485" i="1"/>
  <c r="V469" i="1"/>
  <c r="V453" i="1"/>
  <c r="V437" i="1"/>
  <c r="V410" i="1"/>
  <c r="V378" i="1"/>
  <c r="V346" i="1"/>
  <c r="V314" i="1"/>
  <c r="V282" i="1"/>
  <c r="V250" i="1"/>
  <c r="V218" i="1"/>
  <c r="V186" i="1"/>
  <c r="V154" i="1"/>
  <c r="V122" i="1"/>
  <c r="V90" i="1"/>
  <c r="V58" i="1"/>
  <c r="V26" i="1"/>
  <c r="V8391" i="1"/>
  <c r="V8359" i="1"/>
  <c r="V8327" i="1"/>
  <c r="V8295" i="1"/>
  <c r="V8263" i="1"/>
  <c r="V8231" i="1"/>
  <c r="V8199" i="1"/>
  <c r="V8135" i="1"/>
  <c r="V8103" i="1"/>
  <c r="V8071" i="1"/>
  <c r="V8039" i="1"/>
  <c r="V7751" i="1"/>
  <c r="V7687" i="1"/>
  <c r="V7655" i="1"/>
  <c r="V7623" i="1"/>
  <c r="V7591" i="1"/>
  <c r="V7559" i="1"/>
  <c r="V7527" i="1"/>
  <c r="V7495" i="1"/>
  <c r="V7463" i="1"/>
  <c r="V7431" i="1"/>
  <c r="V7399" i="1"/>
  <c r="V7367" i="1"/>
  <c r="V7335" i="1"/>
  <c r="V7303" i="1"/>
  <c r="V7271" i="1"/>
  <c r="V7239" i="1"/>
  <c r="V7207" i="1"/>
  <c r="V7175" i="1"/>
  <c r="V7143" i="1"/>
  <c r="V7111" i="1"/>
  <c r="V7079" i="1"/>
  <c r="V7047" i="1"/>
  <c r="V7015" i="1"/>
  <c r="V6983" i="1"/>
  <c r="V6951" i="1"/>
  <c r="V6919" i="1"/>
  <c r="V6887" i="1"/>
  <c r="V6855" i="1"/>
  <c r="V6823" i="1"/>
  <c r="V6791" i="1"/>
  <c r="V6759" i="1"/>
  <c r="V6727" i="1"/>
  <c r="V6695" i="1"/>
  <c r="V6663" i="1"/>
  <c r="V6631" i="1"/>
  <c r="V6599" i="1"/>
  <c r="V6567" i="1"/>
  <c r="V6505" i="1"/>
  <c r="V6441" i="1"/>
  <c r="V6377" i="1"/>
  <c r="V6313" i="1"/>
  <c r="V6249" i="1"/>
  <c r="V6185" i="1"/>
  <c r="V6121" i="1"/>
  <c r="W30" i="1"/>
  <c r="V30" i="1"/>
  <c r="W56" i="1"/>
  <c r="V56" i="1"/>
  <c r="W73" i="1"/>
  <c r="V73" i="1"/>
  <c r="W79" i="1"/>
  <c r="V79" i="1"/>
  <c r="W85" i="1"/>
  <c r="V85" i="1"/>
  <c r="W120" i="1"/>
  <c r="V120" i="1"/>
  <c r="W137" i="1"/>
  <c r="V137" i="1"/>
  <c r="W143" i="1"/>
  <c r="V143" i="1"/>
  <c r="W152" i="1"/>
  <c r="V152" i="1"/>
  <c r="W163" i="1"/>
  <c r="V163" i="1"/>
  <c r="W175" i="1"/>
  <c r="V175" i="1"/>
  <c r="W184" i="1"/>
  <c r="V184" i="1"/>
  <c r="W195" i="1"/>
  <c r="V195" i="1"/>
  <c r="W216" i="1"/>
  <c r="V216" i="1"/>
  <c r="W233" i="1"/>
  <c r="V233" i="1"/>
  <c r="W239" i="1"/>
  <c r="V239" i="1"/>
  <c r="W248" i="1"/>
  <c r="V248" i="1"/>
  <c r="W286" i="1"/>
  <c r="V286" i="1"/>
  <c r="W297" i="1"/>
  <c r="V297" i="1"/>
  <c r="W300" i="1"/>
  <c r="V300" i="1"/>
  <c r="W309" i="1"/>
  <c r="V309" i="1"/>
  <c r="W323" i="1"/>
  <c r="V323" i="1"/>
  <c r="W344" i="1"/>
  <c r="V344" i="1"/>
  <c r="W361" i="1"/>
  <c r="V361" i="1"/>
  <c r="W364" i="1"/>
  <c r="V364" i="1"/>
  <c r="W373" i="1"/>
  <c r="V373" i="1"/>
  <c r="W387" i="1"/>
  <c r="V387" i="1"/>
  <c r="W393" i="1"/>
  <c r="V393" i="1"/>
  <c r="W399" i="1"/>
  <c r="V399" i="1"/>
  <c r="W408" i="1"/>
  <c r="V408" i="1"/>
  <c r="W428" i="1"/>
  <c r="V428" i="1"/>
  <c r="W446" i="1"/>
  <c r="V446" i="1"/>
  <c r="W460" i="1"/>
  <c r="V460" i="1"/>
  <c r="W466" i="1"/>
  <c r="V466" i="1"/>
  <c r="W478" i="1"/>
  <c r="V478" i="1"/>
  <c r="W483" i="1"/>
  <c r="V483" i="1"/>
  <c r="W492" i="1"/>
  <c r="V492" i="1"/>
  <c r="W498" i="1"/>
  <c r="V498" i="1"/>
  <c r="W504" i="1"/>
  <c r="V504" i="1"/>
  <c r="W515" i="1"/>
  <c r="V515" i="1"/>
  <c r="W527" i="1"/>
  <c r="V527" i="1"/>
  <c r="W536" i="1"/>
  <c r="V536" i="1"/>
  <c r="W547" i="1"/>
  <c r="V547" i="1"/>
  <c r="W623" i="1"/>
  <c r="V623" i="1"/>
  <c r="W632" i="1"/>
  <c r="V632" i="1"/>
  <c r="W643" i="1"/>
  <c r="V643" i="1"/>
  <c r="W652" i="1"/>
  <c r="V652" i="1"/>
  <c r="W658" i="1"/>
  <c r="V658" i="1"/>
  <c r="W670" i="1"/>
  <c r="V670" i="1"/>
  <c r="W675" i="1"/>
  <c r="V675" i="1"/>
  <c r="W739" i="1"/>
  <c r="V739" i="1"/>
  <c r="W748" i="1"/>
  <c r="V748" i="1"/>
  <c r="W754" i="1"/>
  <c r="V754" i="1"/>
  <c r="W783" i="1"/>
  <c r="V783" i="1"/>
  <c r="W792" i="1"/>
  <c r="V792" i="1"/>
  <c r="W812" i="1"/>
  <c r="V812" i="1"/>
  <c r="W818" i="1"/>
  <c r="V818" i="1"/>
  <c r="W830" i="1"/>
  <c r="V830" i="1"/>
  <c r="W835" i="1"/>
  <c r="V835" i="1"/>
  <c r="W847" i="1"/>
  <c r="V847" i="1"/>
  <c r="W850" i="1"/>
  <c r="V850" i="1"/>
  <c r="W862" i="1"/>
  <c r="V862" i="1"/>
  <c r="W867" i="1"/>
  <c r="V867" i="1"/>
  <c r="W876" i="1"/>
  <c r="V876" i="1"/>
  <c r="W882" i="1"/>
  <c r="V882" i="1"/>
  <c r="W914" i="1"/>
  <c r="V914" i="1"/>
  <c r="W926" i="1"/>
  <c r="V926" i="1"/>
  <c r="W958" i="1"/>
  <c r="V958" i="1"/>
  <c r="W963" i="1"/>
  <c r="V963" i="1"/>
  <c r="W972" i="1"/>
  <c r="V972" i="1"/>
  <c r="W978" i="1"/>
  <c r="V978" i="1"/>
  <c r="W1007" i="1"/>
  <c r="V1007" i="1"/>
  <c r="W1016" i="1"/>
  <c r="V1016" i="1"/>
  <c r="W1022" i="1"/>
  <c r="V1022" i="1"/>
  <c r="W1036" i="1"/>
  <c r="V1036" i="1"/>
  <c r="W1042" i="1"/>
  <c r="V1042" i="1"/>
  <c r="W1054" i="1"/>
  <c r="V1054" i="1"/>
  <c r="W1059" i="1"/>
  <c r="V1059" i="1"/>
  <c r="W1068" i="1"/>
  <c r="V1068" i="1"/>
  <c r="W1074" i="1"/>
  <c r="V1074" i="1"/>
  <c r="W1086" i="1"/>
  <c r="V1086" i="1"/>
  <c r="W1118" i="1"/>
  <c r="V1118" i="1"/>
  <c r="W1123" i="1"/>
  <c r="V1123" i="1"/>
  <c r="W1132" i="1"/>
  <c r="V1132" i="1"/>
  <c r="W1138" i="1"/>
  <c r="V1138" i="1"/>
  <c r="W1150" i="1"/>
  <c r="V1150" i="1"/>
  <c r="W1199" i="1"/>
  <c r="V1199" i="1"/>
  <c r="W1208" i="1"/>
  <c r="V1208" i="1"/>
  <c r="W1219" i="1"/>
  <c r="V1219" i="1"/>
  <c r="W1228" i="1"/>
  <c r="V1228" i="1"/>
  <c r="W1234" i="1"/>
  <c r="V1234" i="1"/>
  <c r="W1263" i="1"/>
  <c r="V1263" i="1"/>
  <c r="W1272" i="1"/>
  <c r="V1272" i="1"/>
  <c r="W1283" i="1"/>
  <c r="V1283" i="1"/>
  <c r="W1292" i="1"/>
  <c r="V1292" i="1"/>
  <c r="W1298" i="1"/>
  <c r="V1298" i="1"/>
  <c r="W1310" i="1"/>
  <c r="V1310" i="1"/>
  <c r="W1374" i="1"/>
  <c r="V1374" i="1"/>
  <c r="W1388" i="1"/>
  <c r="V1388" i="1"/>
  <c r="W1394" i="1"/>
  <c r="V1394" i="1"/>
  <c r="W1400" i="1"/>
  <c r="V1400" i="1"/>
  <c r="W1438" i="1"/>
  <c r="V1438" i="1"/>
  <c r="W1487" i="1"/>
  <c r="V1487" i="1"/>
  <c r="W1496" i="1"/>
  <c r="V1496" i="1"/>
  <c r="W1507" i="1"/>
  <c r="V1507" i="1"/>
  <c r="W1516" i="1"/>
  <c r="V1516" i="1"/>
  <c r="W1522" i="1"/>
  <c r="V1522" i="1"/>
  <c r="W1534" i="1"/>
  <c r="V1534" i="1"/>
  <c r="W1566" i="1"/>
  <c r="V1566" i="1"/>
  <c r="W1571" i="1"/>
  <c r="V1571" i="1"/>
  <c r="W1580" i="1"/>
  <c r="V1580" i="1"/>
  <c r="W1598" i="1"/>
  <c r="V1598" i="1"/>
  <c r="W1603" i="1"/>
  <c r="V1603" i="1"/>
  <c r="W1612" i="1"/>
  <c r="V1612" i="1"/>
  <c r="W1630" i="1"/>
  <c r="V1630" i="1"/>
  <c r="W1635" i="1"/>
  <c r="V1635" i="1"/>
  <c r="W1662" i="1"/>
  <c r="V1662" i="1"/>
  <c r="W1673" i="1"/>
  <c r="V1673" i="1"/>
  <c r="W1679" i="1"/>
  <c r="V1679" i="1"/>
  <c r="W1685" i="1"/>
  <c r="V1685" i="1"/>
  <c r="W1694" i="1"/>
  <c r="V1694" i="1"/>
  <c r="W1705" i="1"/>
  <c r="V1705" i="1"/>
  <c r="W1711" i="1"/>
  <c r="V1711" i="1"/>
  <c r="W1720" i="1"/>
  <c r="V1720" i="1"/>
  <c r="W1731" i="1"/>
  <c r="V1731" i="1"/>
  <c r="W1740" i="1"/>
  <c r="V1740" i="1"/>
  <c r="W1746" i="1"/>
  <c r="V1746" i="1"/>
  <c r="W1752" i="1"/>
  <c r="V1752" i="1"/>
  <c r="W1769" i="1"/>
  <c r="V1769" i="1"/>
  <c r="W1778" i="1"/>
  <c r="V1778" i="1"/>
  <c r="W1790" i="1"/>
  <c r="V1790" i="1"/>
  <c r="W1801" i="1"/>
  <c r="V1801" i="1"/>
  <c r="W1807" i="1"/>
  <c r="V1807" i="1"/>
  <c r="W1816" i="1"/>
  <c r="V1816" i="1"/>
  <c r="W1827" i="1"/>
  <c r="V1827" i="1"/>
  <c r="W1839" i="1"/>
  <c r="V1839" i="1"/>
  <c r="W1845" i="1"/>
  <c r="V1845" i="1"/>
  <c r="W1859" i="1"/>
  <c r="V1859" i="1"/>
  <c r="W1871" i="1"/>
  <c r="V1871" i="1"/>
  <c r="W1880" i="1"/>
  <c r="V1880" i="1"/>
  <c r="W1891" i="1"/>
  <c r="V1891" i="1"/>
  <c r="W1903" i="1"/>
  <c r="V1903" i="1"/>
  <c r="W1909" i="1"/>
  <c r="V1909" i="1"/>
  <c r="W1923" i="1"/>
  <c r="V1923" i="1"/>
  <c r="W1933" i="1"/>
  <c r="V1933" i="1"/>
  <c r="W1939" i="1"/>
  <c r="V1939" i="1"/>
  <c r="W1952" i="1"/>
  <c r="V1952" i="1"/>
  <c r="W1968" i="1"/>
  <c r="V1968" i="1"/>
  <c r="W1978" i="1"/>
  <c r="V1978" i="1"/>
  <c r="W1987" i="1"/>
  <c r="V1987" i="1"/>
  <c r="W1997" i="1"/>
  <c r="V1997" i="1"/>
  <c r="W2003" i="1"/>
  <c r="V2003" i="1"/>
  <c r="W2016" i="1"/>
  <c r="V2016" i="1"/>
  <c r="W2026" i="1"/>
  <c r="V2026" i="1"/>
  <c r="W2035" i="1"/>
  <c r="V2035" i="1"/>
  <c r="W2042" i="1"/>
  <c r="V2042" i="1"/>
  <c r="W2052" i="1"/>
  <c r="V2052" i="1"/>
  <c r="W2060" i="1"/>
  <c r="V2060" i="1"/>
  <c r="W2071" i="1"/>
  <c r="V2071" i="1"/>
  <c r="W2078" i="1"/>
  <c r="V2078" i="1"/>
  <c r="W2090" i="1"/>
  <c r="V2090" i="1"/>
  <c r="W2101" i="1"/>
  <c r="V2101" i="1"/>
  <c r="W2112" i="1"/>
  <c r="V2112" i="1"/>
  <c r="W2124" i="1"/>
  <c r="V2124" i="1"/>
  <c r="W2131" i="1"/>
  <c r="V2131" i="1"/>
  <c r="W2139" i="1"/>
  <c r="V2139" i="1"/>
  <c r="W2154" i="1"/>
  <c r="V2154" i="1"/>
  <c r="W2165" i="1"/>
  <c r="V2165" i="1"/>
  <c r="W2176" i="1"/>
  <c r="V2176" i="1"/>
  <c r="W2188" i="1"/>
  <c r="V2188" i="1"/>
  <c r="W2195" i="1"/>
  <c r="V2195" i="1"/>
  <c r="W2206" i="1"/>
  <c r="V2206" i="1"/>
  <c r="W2218" i="1"/>
  <c r="V2218" i="1"/>
  <c r="W2233" i="1"/>
  <c r="V2233" i="1"/>
  <c r="W2244" i="1"/>
  <c r="V2244" i="1"/>
  <c r="W2255" i="1"/>
  <c r="V2255" i="1"/>
  <c r="W2263" i="1"/>
  <c r="V2263" i="1"/>
  <c r="W2274" i="1"/>
  <c r="V2274" i="1"/>
  <c r="W2282" i="1"/>
  <c r="V2282" i="1"/>
  <c r="W2293" i="1"/>
  <c r="V2293" i="1"/>
  <c r="W2304" i="1"/>
  <c r="V2304" i="1"/>
  <c r="W2312" i="1"/>
  <c r="V2312" i="1"/>
  <c r="W2327" i="1"/>
  <c r="V2327" i="1"/>
  <c r="W2331" i="1"/>
  <c r="V2331" i="1"/>
  <c r="W2342" i="1"/>
  <c r="V2342" i="1"/>
  <c r="W2353" i="1"/>
  <c r="V2353" i="1"/>
  <c r="W2361" i="1"/>
  <c r="V2361" i="1"/>
  <c r="W2372" i="1"/>
  <c r="V2372" i="1"/>
  <c r="W2380" i="1"/>
  <c r="V2380" i="1"/>
  <c r="W2387" i="1"/>
  <c r="V2387" i="1"/>
  <c r="W2398" i="1"/>
  <c r="V2398" i="1"/>
  <c r="W2402" i="1"/>
  <c r="V2402" i="1"/>
  <c r="W2414" i="1"/>
  <c r="V2414" i="1"/>
  <c r="W2422" i="1"/>
  <c r="V2422" i="1"/>
  <c r="W2441" i="1"/>
  <c r="V2441" i="1"/>
  <c r="W2449" i="1"/>
  <c r="V2449" i="1"/>
  <c r="W2461" i="1"/>
  <c r="V2461" i="1"/>
  <c r="W2468" i="1"/>
  <c r="V2468" i="1"/>
  <c r="W2480" i="1"/>
  <c r="V2480" i="1"/>
  <c r="W2492" i="1"/>
  <c r="V2492" i="1"/>
  <c r="W2499" i="1"/>
  <c r="V2499" i="1"/>
  <c r="W2510" i="1"/>
  <c r="V2510" i="1"/>
  <c r="W2518" i="1"/>
  <c r="V2518" i="1"/>
  <c r="W2529" i="1"/>
  <c r="V2529" i="1"/>
  <c r="W2541" i="1"/>
  <c r="V2541" i="1"/>
  <c r="W2549" i="1"/>
  <c r="V2549" i="1"/>
  <c r="W2560" i="1"/>
  <c r="V2560" i="1"/>
  <c r="W2564" i="1"/>
  <c r="V2564" i="1"/>
  <c r="W2576" i="1"/>
  <c r="V2576" i="1"/>
  <c r="W2584" i="1"/>
  <c r="V2584" i="1"/>
  <c r="W2595" i="1"/>
  <c r="V2595" i="1"/>
  <c r="W2603" i="1"/>
  <c r="V2603" i="1"/>
  <c r="W2615" i="1"/>
  <c r="V2615" i="1"/>
  <c r="W2622" i="1"/>
  <c r="V2622" i="1"/>
  <c r="W2634" i="1"/>
  <c r="V2634" i="1"/>
  <c r="W2642" i="1"/>
  <c r="V2642" i="1"/>
  <c r="W2657" i="1"/>
  <c r="V2657" i="1"/>
  <c r="W2665" i="1"/>
  <c r="V2665" i="1"/>
  <c r="W2677" i="1"/>
  <c r="V2677" i="1"/>
  <c r="W2688" i="1"/>
  <c r="V2688" i="1"/>
  <c r="W2696" i="1"/>
  <c r="V2696" i="1"/>
  <c r="W2708" i="1"/>
  <c r="V2708" i="1"/>
  <c r="W2719" i="1"/>
  <c r="V2719" i="1"/>
  <c r="W2731" i="1"/>
  <c r="V2731" i="1"/>
  <c r="W2743" i="1"/>
  <c r="V2743" i="1"/>
  <c r="W2754" i="1"/>
  <c r="V2754" i="1"/>
  <c r="W2762" i="1"/>
  <c r="V2762" i="1"/>
  <c r="W2774" i="1"/>
  <c r="V2774" i="1"/>
  <c r="W2785" i="1"/>
  <c r="V2785" i="1"/>
  <c r="W2797" i="1"/>
  <c r="V2797" i="1"/>
  <c r="W2809" i="1"/>
  <c r="V2809" i="1"/>
  <c r="W2820" i="1"/>
  <c r="V2820" i="1"/>
  <c r="W2832" i="1"/>
  <c r="V2832" i="1"/>
  <c r="W2840" i="1"/>
  <c r="V2840" i="1"/>
  <c r="W2851" i="1"/>
  <c r="V2851" i="1"/>
  <c r="W2863" i="1"/>
  <c r="V2863" i="1"/>
  <c r="W2867" i="1"/>
  <c r="V2867" i="1"/>
  <c r="W2878" i="1"/>
  <c r="V2878" i="1"/>
  <c r="W2890" i="1"/>
  <c r="V2890" i="1"/>
  <c r="W2898" i="1"/>
  <c r="V2898" i="1"/>
  <c r="W2913" i="1"/>
  <c r="V2913" i="1"/>
  <c r="W2921" i="1"/>
  <c r="V2921" i="1"/>
  <c r="W2932" i="1"/>
  <c r="V2932" i="1"/>
  <c r="W2936" i="1"/>
  <c r="V2936" i="1"/>
  <c r="W2947" i="1"/>
  <c r="V2947" i="1"/>
  <c r="W2955" i="1"/>
  <c r="V2955" i="1"/>
  <c r="W2966" i="1"/>
  <c r="V2966" i="1"/>
  <c r="W2977" i="1"/>
  <c r="V2977" i="1"/>
  <c r="W2989" i="1"/>
  <c r="V2989" i="1"/>
  <c r="W2997" i="1"/>
  <c r="V2997" i="1"/>
  <c r="W3005" i="1"/>
  <c r="V3005" i="1"/>
  <c r="W3020" i="1"/>
  <c r="V3020" i="1"/>
  <c r="W3028" i="1"/>
  <c r="V3028" i="1"/>
  <c r="W3036" i="1"/>
  <c r="V3036" i="1"/>
  <c r="W3047" i="1"/>
  <c r="V3047" i="1"/>
  <c r="W3055" i="1"/>
  <c r="V3055" i="1"/>
  <c r="W3067" i="1"/>
  <c r="V3067" i="1"/>
  <c r="W3074" i="1"/>
  <c r="V3074" i="1"/>
  <c r="W3086" i="1"/>
  <c r="V3086" i="1"/>
  <c r="W3098" i="1"/>
  <c r="V3098" i="1"/>
  <c r="W3109" i="1"/>
  <c r="V3109" i="1"/>
  <c r="W3121" i="1"/>
  <c r="V3121" i="1"/>
  <c r="W3133" i="1"/>
  <c r="V3133" i="1"/>
  <c r="W3140" i="1"/>
  <c r="V3140" i="1"/>
  <c r="W3152" i="1"/>
  <c r="V3152" i="1"/>
  <c r="W3164" i="1"/>
  <c r="V3164" i="1"/>
  <c r="W3175" i="1"/>
  <c r="V3175" i="1"/>
  <c r="W3187" i="1"/>
  <c r="V3187" i="1"/>
  <c r="W3198" i="1"/>
  <c r="V3198" i="1"/>
  <c r="W3206" i="1"/>
  <c r="V3206" i="1"/>
  <c r="W3218" i="1"/>
  <c r="V3218" i="1"/>
  <c r="W3226" i="1"/>
  <c r="V3226" i="1"/>
  <c r="W3245" i="1"/>
  <c r="V3245" i="1"/>
  <c r="W3257" i="1"/>
  <c r="V3257" i="1"/>
  <c r="W3264" i="1"/>
  <c r="V3264" i="1"/>
  <c r="W3276" i="1"/>
  <c r="V3276" i="1"/>
  <c r="W3288" i="1"/>
  <c r="V3288" i="1"/>
  <c r="W3295" i="1"/>
  <c r="V3295" i="1"/>
  <c r="W3307" i="1"/>
  <c r="V3307" i="1"/>
  <c r="W3319" i="1"/>
  <c r="V3319" i="1"/>
  <c r="W3326" i="1"/>
  <c r="V3326" i="1"/>
  <c r="W3338" i="1"/>
  <c r="V3338" i="1"/>
  <c r="W3346" i="1"/>
  <c r="V3346" i="1"/>
  <c r="W3357" i="1"/>
  <c r="V3357" i="1"/>
  <c r="W3368" i="1"/>
  <c r="V3368" i="1"/>
  <c r="W3379" i="1"/>
  <c r="V3379" i="1"/>
  <c r="W3390" i="1"/>
  <c r="V3390" i="1"/>
  <c r="W3400" i="1"/>
  <c r="V3400" i="1"/>
  <c r="W3418" i="1"/>
  <c r="V3418" i="1"/>
  <c r="W3425" i="1"/>
  <c r="V3425" i="1"/>
  <c r="W3436" i="1"/>
  <c r="V3436" i="1"/>
  <c r="W3449" i="1"/>
  <c r="V3449" i="1"/>
  <c r="W3456" i="1"/>
  <c r="V3456" i="1"/>
  <c r="W3466" i="1"/>
  <c r="V3466" i="1"/>
  <c r="W3477" i="1"/>
  <c r="V3477" i="1"/>
  <c r="W3487" i="1"/>
  <c r="V3487" i="1"/>
  <c r="W3504" i="1"/>
  <c r="V3504" i="1"/>
  <c r="W3511" i="1"/>
  <c r="V3511" i="1"/>
  <c r="W3518" i="1"/>
  <c r="V3518" i="1"/>
  <c r="W3528" i="1"/>
  <c r="V3528" i="1"/>
  <c r="W3539" i="1"/>
  <c r="V3539" i="1"/>
  <c r="W3549" i="1"/>
  <c r="V3549" i="1"/>
  <c r="W3556" i="1"/>
  <c r="V3556" i="1"/>
  <c r="W3567" i="1"/>
  <c r="V3567" i="1"/>
  <c r="W3577" i="1"/>
  <c r="V3577" i="1"/>
  <c r="W3584" i="1"/>
  <c r="V3584" i="1"/>
  <c r="W3595" i="1"/>
  <c r="V3595" i="1"/>
  <c r="W3602" i="1"/>
  <c r="V3602" i="1"/>
  <c r="W3616" i="1"/>
  <c r="V3616" i="1"/>
  <c r="W3627" i="1"/>
  <c r="V3627" i="1"/>
  <c r="W3634" i="1"/>
  <c r="V3634" i="1"/>
  <c r="W3649" i="1"/>
  <c r="V3649" i="1"/>
  <c r="W3661" i="1"/>
  <c r="V3661" i="1"/>
  <c r="W3668" i="1"/>
  <c r="V3668" i="1"/>
  <c r="W3679" i="1"/>
  <c r="V3679" i="1"/>
  <c r="W3691" i="1"/>
  <c r="V3691" i="1"/>
  <c r="W3702" i="1"/>
  <c r="V3702" i="1"/>
  <c r="W3709" i="1"/>
  <c r="V3709" i="1"/>
  <c r="W3722" i="1"/>
  <c r="V3722" i="1"/>
  <c r="W3732" i="1"/>
  <c r="V3732" i="1"/>
  <c r="W3739" i="1"/>
  <c r="V3739" i="1"/>
  <c r="W3752" i="1"/>
  <c r="V3752" i="1"/>
  <c r="W3759" i="1"/>
  <c r="V3759" i="1"/>
  <c r="W3769" i="1"/>
  <c r="V3769" i="1"/>
  <c r="W3779" i="1"/>
  <c r="V3779" i="1"/>
  <c r="W3792" i="1"/>
  <c r="V3792" i="1"/>
  <c r="W3806" i="1"/>
  <c r="V3806" i="1"/>
  <c r="W3809" i="1"/>
  <c r="V3809" i="1"/>
  <c r="W3820" i="1"/>
  <c r="V3820" i="1"/>
  <c r="W3826" i="1"/>
  <c r="V3826" i="1"/>
  <c r="W3837" i="1"/>
  <c r="V3837" i="1"/>
  <c r="W3847" i="1"/>
  <c r="V3847" i="1"/>
  <c r="W3860" i="1"/>
  <c r="V3860" i="1"/>
  <c r="W3870" i="1"/>
  <c r="V3870" i="1"/>
  <c r="W3877" i="1"/>
  <c r="V3877" i="1"/>
  <c r="W3887" i="1"/>
  <c r="V3887" i="1"/>
  <c r="W3901" i="1"/>
  <c r="V3901" i="1"/>
  <c r="W3911" i="1"/>
  <c r="V3911" i="1"/>
  <c r="W3924" i="1"/>
  <c r="V3924" i="1"/>
  <c r="W3934" i="1"/>
  <c r="V3934" i="1"/>
  <c r="W3944" i="1"/>
  <c r="V3944" i="1"/>
  <c r="W3951" i="1"/>
  <c r="V3951" i="1"/>
  <c r="W3961" i="1"/>
  <c r="V3961" i="1"/>
  <c r="W3975" i="1"/>
  <c r="V3975" i="1"/>
  <c r="W3984" i="1"/>
  <c r="V3984" i="1"/>
  <c r="W3998" i="1"/>
  <c r="V3998" i="1"/>
  <c r="W4012" i="1"/>
  <c r="V4012" i="1"/>
  <c r="W4018" i="1"/>
  <c r="V4018" i="1"/>
  <c r="W4029" i="1"/>
  <c r="V4029" i="1"/>
  <c r="W4035" i="1"/>
  <c r="V4035" i="1"/>
  <c r="W4048" i="1"/>
  <c r="V4048" i="1"/>
  <c r="W4062" i="1"/>
  <c r="V4062" i="1"/>
  <c r="W4069" i="1"/>
  <c r="V4069" i="1"/>
  <c r="W4079" i="1"/>
  <c r="V4079" i="1"/>
  <c r="W4089" i="1"/>
  <c r="V4089" i="1"/>
  <c r="W4099" i="1"/>
  <c r="V4099" i="1"/>
  <c r="W4112" i="1"/>
  <c r="V4112" i="1"/>
  <c r="W4123" i="1"/>
  <c r="V4123" i="1"/>
  <c r="W4133" i="1"/>
  <c r="V4133" i="1"/>
  <c r="W4143" i="1"/>
  <c r="V4143" i="1"/>
  <c r="W4153" i="1"/>
  <c r="V4153" i="1"/>
  <c r="W4163" i="1"/>
  <c r="V4163" i="1"/>
  <c r="W4170" i="1"/>
  <c r="V4170" i="1"/>
  <c r="W4187" i="1"/>
  <c r="V4187" i="1"/>
  <c r="W4200" i="1"/>
  <c r="V4200" i="1"/>
  <c r="W4210" i="1"/>
  <c r="V4210" i="1"/>
  <c r="W4221" i="1"/>
  <c r="V4221" i="1"/>
  <c r="W4231" i="1"/>
  <c r="V4231" i="1"/>
  <c r="W4244" i="1"/>
  <c r="V4244" i="1"/>
  <c r="W4257" i="1"/>
  <c r="V4257" i="1"/>
  <c r="W4268" i="1"/>
  <c r="V4268" i="1"/>
  <c r="W4274" i="1"/>
  <c r="V4274" i="1"/>
  <c r="W4285" i="1"/>
  <c r="V4285" i="1"/>
  <c r="W4298" i="1"/>
  <c r="V4298" i="1"/>
  <c r="W4308" i="1"/>
  <c r="V4308" i="1"/>
  <c r="W4321" i="1"/>
  <c r="V4321" i="1"/>
  <c r="W4332" i="1"/>
  <c r="V4332" i="1"/>
  <c r="W4342" i="1"/>
  <c r="V4342" i="1"/>
  <c r="W4355" i="1"/>
  <c r="V4355" i="1"/>
  <c r="W4362" i="1"/>
  <c r="V4362" i="1"/>
  <c r="W4382" i="1"/>
  <c r="V4382" i="1"/>
  <c r="W4390" i="1"/>
  <c r="V4390" i="1"/>
  <c r="W4400" i="1"/>
  <c r="V4400" i="1"/>
  <c r="W4414" i="1"/>
  <c r="V4414" i="1"/>
  <c r="W4418" i="1"/>
  <c r="V4418" i="1"/>
  <c r="W4429" i="1"/>
  <c r="V4429" i="1"/>
  <c r="W4443" i="1"/>
  <c r="V4443" i="1"/>
  <c r="W4449" i="1"/>
  <c r="V4449" i="1"/>
  <c r="W4460" i="1"/>
  <c r="V4460" i="1"/>
  <c r="W4466" i="1"/>
  <c r="V4466" i="1"/>
  <c r="W4477" i="1"/>
  <c r="V4477" i="1"/>
  <c r="W4491" i="1"/>
  <c r="V4491" i="1"/>
  <c r="W4501" i="1"/>
  <c r="V4501" i="1"/>
  <c r="W4511" i="1"/>
  <c r="V4511" i="1"/>
  <c r="W4521" i="1"/>
  <c r="V4521" i="1"/>
  <c r="W4535" i="1"/>
  <c r="V4535" i="1"/>
  <c r="W4544" i="1"/>
  <c r="V4544" i="1"/>
  <c r="W4558" i="1"/>
  <c r="V4558" i="1"/>
  <c r="W4569" i="1"/>
  <c r="V4569" i="1"/>
  <c r="W4576" i="1"/>
  <c r="V4576" i="1"/>
  <c r="W4590" i="1"/>
  <c r="V4590" i="1"/>
  <c r="W4601" i="1"/>
  <c r="V4601" i="1"/>
  <c r="W4612" i="1"/>
  <c r="V4612" i="1"/>
  <c r="W4619" i="1"/>
  <c r="V4619" i="1"/>
  <c r="W4630" i="1"/>
  <c r="V4630" i="1"/>
  <c r="W4637" i="1"/>
  <c r="V4637" i="1"/>
  <c r="W4651" i="1"/>
  <c r="V4651" i="1"/>
  <c r="W4657" i="1"/>
  <c r="V4657" i="1"/>
  <c r="W4668" i="1"/>
  <c r="V4668" i="1"/>
  <c r="W4674" i="1"/>
  <c r="V4674" i="1"/>
  <c r="W4685" i="1"/>
  <c r="V4685" i="1"/>
  <c r="W4698" i="1"/>
  <c r="V4698" i="1"/>
  <c r="W4715" i="1"/>
  <c r="V4715" i="1"/>
  <c r="W4721" i="1"/>
  <c r="V4721" i="1"/>
  <c r="W4735" i="1"/>
  <c r="V4735" i="1"/>
  <c r="W4742" i="1"/>
  <c r="V4742" i="1"/>
  <c r="W4753" i="1"/>
  <c r="V4753" i="1"/>
  <c r="W4771" i="1"/>
  <c r="V4771" i="1"/>
  <c r="W4774" i="1"/>
  <c r="V4774" i="1"/>
  <c r="W4785" i="1"/>
  <c r="V4785" i="1"/>
  <c r="W4803" i="1"/>
  <c r="V4803" i="1"/>
  <c r="W4809" i="1"/>
  <c r="V4809" i="1"/>
  <c r="W4817" i="1"/>
  <c r="V4817" i="1"/>
  <c r="W4827" i="1"/>
  <c r="V4827" i="1"/>
  <c r="W4835" i="1"/>
  <c r="V4835" i="1"/>
  <c r="W4841" i="1"/>
  <c r="V4841" i="1"/>
  <c r="W4855" i="1"/>
  <c r="V4855" i="1"/>
  <c r="W4875" i="1"/>
  <c r="V4875" i="1"/>
  <c r="W4883" i="1"/>
  <c r="V4883" i="1"/>
  <c r="W4893" i="1"/>
  <c r="V4893" i="1"/>
  <c r="W4907" i="1"/>
  <c r="V4907" i="1"/>
  <c r="W4915" i="1"/>
  <c r="V4915" i="1"/>
  <c r="W4925" i="1"/>
  <c r="V4925" i="1"/>
  <c r="W4929" i="1"/>
  <c r="V4929" i="1"/>
  <c r="W4943" i="1"/>
  <c r="V4943" i="1"/>
  <c r="W4953" i="1"/>
  <c r="V4953" i="1"/>
  <c r="W4961" i="1"/>
  <c r="V4961" i="1"/>
  <c r="W4971" i="1"/>
  <c r="V4971" i="1"/>
  <c r="W4982" i="1"/>
  <c r="V4982" i="1"/>
  <c r="W4989" i="1"/>
  <c r="V4989" i="1"/>
  <c r="W5007" i="1"/>
  <c r="V5007" i="1"/>
  <c r="W5017" i="1"/>
  <c r="V5017" i="1"/>
  <c r="W5025" i="1"/>
  <c r="V5025" i="1"/>
  <c r="W5039" i="1"/>
  <c r="V5039" i="1"/>
  <c r="W5049" i="1"/>
  <c r="V5049" i="1"/>
  <c r="W5061" i="1"/>
  <c r="V5061" i="1"/>
  <c r="W5071" i="1"/>
  <c r="V5071" i="1"/>
  <c r="W5082" i="1"/>
  <c r="V5082" i="1"/>
  <c r="W5090" i="1"/>
  <c r="V5090" i="1"/>
  <c r="W5105" i="1"/>
  <c r="V5105" i="1"/>
  <c r="W5116" i="1"/>
  <c r="V5116" i="1"/>
  <c r="W5124" i="1"/>
  <c r="V5124" i="1"/>
  <c r="W5135" i="1"/>
  <c r="V5135" i="1"/>
  <c r="W5146" i="1"/>
  <c r="V5146" i="1"/>
  <c r="W5154" i="1"/>
  <c r="V5154" i="1"/>
  <c r="W5169" i="1"/>
  <c r="V5169" i="1"/>
  <c r="W5180" i="1"/>
  <c r="V5180" i="1"/>
  <c r="W5188" i="1"/>
  <c r="V5188" i="1"/>
  <c r="W5199" i="1"/>
  <c r="V5199" i="1"/>
  <c r="W5210" i="1"/>
  <c r="V5210" i="1"/>
  <c r="W5222" i="1"/>
  <c r="V5222" i="1"/>
  <c r="W5226" i="1"/>
  <c r="V5226" i="1"/>
  <c r="W5238" i="1"/>
  <c r="V5238" i="1"/>
  <c r="W5253" i="1"/>
  <c r="V5253" i="1"/>
  <c r="W5264" i="1"/>
  <c r="V5264" i="1"/>
  <c r="W5272" i="1"/>
  <c r="V5272" i="1"/>
  <c r="W5283" i="1"/>
  <c r="V5283" i="1"/>
  <c r="W5300" i="1"/>
  <c r="V5300" i="1"/>
  <c r="W5317" i="1"/>
  <c r="V5317" i="1"/>
  <c r="W5320" i="1"/>
  <c r="V5320" i="1"/>
  <c r="W5330" i="1"/>
  <c r="V5330" i="1"/>
  <c r="W5343" i="1"/>
  <c r="V5343" i="1"/>
  <c r="W5353" i="1"/>
  <c r="V5353" i="1"/>
  <c r="W5363" i="1"/>
  <c r="V5363" i="1"/>
  <c r="W5370" i="1"/>
  <c r="V5370" i="1"/>
  <c r="W5385" i="1"/>
  <c r="V5385" i="1"/>
  <c r="W5395" i="1"/>
  <c r="V5395" i="1"/>
  <c r="W5402" i="1"/>
  <c r="V5402" i="1"/>
  <c r="W5417" i="1"/>
  <c r="V5417" i="1"/>
  <c r="W5424" i="1"/>
  <c r="V5424" i="1"/>
  <c r="W5434" i="1"/>
  <c r="V5434" i="1"/>
  <c r="W5449" i="1"/>
  <c r="V5449" i="1"/>
  <c r="W5456" i="1"/>
  <c r="V5456" i="1"/>
  <c r="W5470" i="1"/>
  <c r="V5470" i="1"/>
  <c r="W5484" i="1"/>
  <c r="V5484" i="1"/>
  <c r="W5491" i="1"/>
  <c r="V5491" i="1"/>
  <c r="W5502" i="1"/>
  <c r="V5502" i="1"/>
  <c r="W5513" i="1"/>
  <c r="V5513" i="1"/>
  <c r="W5520" i="1"/>
  <c r="V5520" i="1"/>
  <c r="W5530" i="1"/>
  <c r="V5530" i="1"/>
  <c r="W5545" i="1"/>
  <c r="V5545" i="1"/>
  <c r="W5552" i="1"/>
  <c r="V5552" i="1"/>
  <c r="W5562" i="1"/>
  <c r="V5562" i="1"/>
  <c r="W5573" i="1"/>
  <c r="V5573" i="1"/>
  <c r="W5584" i="1"/>
  <c r="V5584" i="1"/>
  <c r="W5598" i="1"/>
  <c r="V5598" i="1"/>
  <c r="W5605" i="1"/>
  <c r="V5605" i="1"/>
  <c r="W5616" i="1"/>
  <c r="V5616" i="1"/>
  <c r="W5630" i="1"/>
  <c r="V5630" i="1"/>
  <c r="W5644" i="1"/>
  <c r="V5644" i="1"/>
  <c r="W5651" i="1"/>
  <c r="V5651" i="1"/>
  <c r="W5662" i="1"/>
  <c r="V5662" i="1"/>
  <c r="W5669" i="1"/>
  <c r="V5669" i="1"/>
  <c r="W5680" i="1"/>
  <c r="V5680" i="1"/>
  <c r="W5693" i="1"/>
  <c r="V5693" i="1"/>
  <c r="W5700" i="1"/>
  <c r="V5700" i="1"/>
  <c r="W5711" i="1"/>
  <c r="V5711" i="1"/>
  <c r="W5718" i="1"/>
  <c r="V5718" i="1"/>
  <c r="W5729" i="1"/>
  <c r="V5729" i="1"/>
  <c r="W5736" i="1"/>
  <c r="V5736" i="1"/>
  <c r="W5746" i="1"/>
  <c r="V5746" i="1"/>
  <c r="W5763" i="1"/>
  <c r="V5763" i="1"/>
  <c r="W5773" i="1"/>
  <c r="V5773" i="1"/>
  <c r="W5784" i="1"/>
  <c r="V5784" i="1"/>
  <c r="W5796" i="1"/>
  <c r="V5796" i="1"/>
  <c r="W5800" i="1"/>
  <c r="V5800" i="1"/>
  <c r="W5813" i="1"/>
  <c r="V5813" i="1"/>
  <c r="W5817" i="1"/>
  <c r="V5817" i="1"/>
  <c r="W5827" i="1"/>
  <c r="V5827" i="1"/>
  <c r="W5834" i="1"/>
  <c r="V5834" i="1"/>
  <c r="W5852" i="1"/>
  <c r="V5852" i="1"/>
  <c r="W5859" i="1"/>
  <c r="V5859" i="1"/>
  <c r="W5866" i="1"/>
  <c r="V5866" i="1"/>
  <c r="W5884" i="1"/>
  <c r="V5884" i="1"/>
  <c r="W5891" i="1"/>
  <c r="V5891" i="1"/>
  <c r="W5902" i="1"/>
  <c r="V5902" i="1"/>
  <c r="W5917" i="1"/>
  <c r="V5917" i="1"/>
  <c r="W5925" i="1"/>
  <c r="V5925" i="1"/>
  <c r="W5936" i="1"/>
  <c r="V5936" i="1"/>
  <c r="W5947" i="1"/>
  <c r="V5947" i="1"/>
  <c r="W5955" i="1"/>
  <c r="V5955" i="1"/>
  <c r="W5969" i="1"/>
  <c r="V5969" i="1"/>
  <c r="W5979" i="1"/>
  <c r="V5979" i="1"/>
  <c r="W5987" i="1"/>
  <c r="V5987" i="1"/>
  <c r="W5998" i="1"/>
  <c r="V5998" i="1"/>
  <c r="W6012" i="1"/>
  <c r="V6012" i="1"/>
  <c r="W6020" i="1"/>
  <c r="V6020" i="1"/>
  <c r="W6031" i="1"/>
  <c r="V6031" i="1"/>
  <c r="W6042" i="1"/>
  <c r="V6042" i="1"/>
  <c r="W6050" i="1"/>
  <c r="V6050" i="1"/>
  <c r="W6065" i="1"/>
  <c r="V6065" i="1"/>
  <c r="W6072" i="1"/>
  <c r="V6072" i="1"/>
  <c r="W6084" i="1"/>
  <c r="V6084" i="1"/>
  <c r="W6095" i="1"/>
  <c r="V6095" i="1"/>
  <c r="W6102" i="1"/>
  <c r="V6102" i="1"/>
  <c r="W6110" i="1"/>
  <c r="V6110" i="1"/>
  <c r="W6125" i="1"/>
  <c r="V6125" i="1"/>
  <c r="W6129" i="1"/>
  <c r="V6129" i="1"/>
  <c r="W6144" i="1"/>
  <c r="V6144" i="1"/>
  <c r="W6151" i="1"/>
  <c r="V6151" i="1"/>
  <c r="W6166" i="1"/>
  <c r="V6166" i="1"/>
  <c r="W6193" i="1"/>
  <c r="V6193" i="1"/>
  <c r="W6204" i="1"/>
  <c r="V6204" i="1"/>
  <c r="W6215" i="1"/>
  <c r="V6215" i="1"/>
  <c r="W6223" i="1"/>
  <c r="V6223" i="1"/>
  <c r="W6230" i="1"/>
  <c r="V6230" i="1"/>
  <c r="W6261" i="1"/>
  <c r="V6261" i="1"/>
  <c r="W6268" i="1"/>
  <c r="V6268" i="1"/>
  <c r="W6279" i="1"/>
  <c r="V6279" i="1"/>
  <c r="W6291" i="1"/>
  <c r="V6291" i="1"/>
  <c r="W6298" i="1"/>
  <c r="V6298" i="1"/>
  <c r="W6306" i="1"/>
  <c r="V6306" i="1"/>
  <c r="W6321" i="1"/>
  <c r="V6321" i="1"/>
  <c r="W6335" i="1"/>
  <c r="V6335" i="1"/>
  <c r="W6346" i="1"/>
  <c r="V6346" i="1"/>
  <c r="W6353" i="1"/>
  <c r="V6353" i="1"/>
  <c r="W6364" i="1"/>
  <c r="V6364" i="1"/>
  <c r="W6375" i="1"/>
  <c r="V6375" i="1"/>
  <c r="W6379" i="1"/>
  <c r="V6379" i="1"/>
  <c r="W6386" i="1"/>
  <c r="V6386" i="1"/>
  <c r="W6397" i="1"/>
  <c r="V6397" i="1"/>
  <c r="W6405" i="1"/>
  <c r="V6405" i="1"/>
  <c r="W6412" i="1"/>
  <c r="V6412" i="1"/>
  <c r="W6426" i="1"/>
  <c r="V6426" i="1"/>
  <c r="W6434" i="1"/>
  <c r="V6434" i="1"/>
  <c r="W6445" i="1"/>
  <c r="V6445" i="1"/>
  <c r="W6455" i="1"/>
  <c r="V6455" i="1"/>
  <c r="W6463" i="1"/>
  <c r="V6463" i="1"/>
  <c r="W6474" i="1"/>
  <c r="V6474" i="1"/>
  <c r="W6485" i="1"/>
  <c r="V6485" i="1"/>
  <c r="W6496" i="1"/>
  <c r="V6496" i="1"/>
  <c r="W6503" i="1"/>
  <c r="V6503" i="1"/>
  <c r="W6511" i="1"/>
  <c r="V6511" i="1"/>
  <c r="W6525" i="1"/>
  <c r="V6525" i="1"/>
  <c r="W6533" i="1"/>
  <c r="V6533" i="1"/>
  <c r="W6550" i="1"/>
  <c r="V6550" i="1"/>
  <c r="W6562" i="1"/>
  <c r="V6562" i="1"/>
  <c r="W6573" i="1"/>
  <c r="V6573" i="1"/>
  <c r="W6595" i="1"/>
  <c r="V6595" i="1"/>
  <c r="W6606" i="1"/>
  <c r="V6606" i="1"/>
  <c r="W6636" i="1"/>
  <c r="V6636" i="1"/>
  <c r="W6646" i="1"/>
  <c r="V6646" i="1"/>
  <c r="W6673" i="1"/>
  <c r="V6673" i="1"/>
  <c r="W6676" i="1"/>
  <c r="V6676" i="1"/>
  <c r="W6683" i="1"/>
  <c r="V6683" i="1"/>
  <c r="W6690" i="1"/>
  <c r="V6690" i="1"/>
  <c r="W6705" i="1"/>
  <c r="V6705" i="1"/>
  <c r="W6726" i="1"/>
  <c r="V6726" i="1"/>
  <c r="W6737" i="1"/>
  <c r="V6737" i="1"/>
  <c r="W6746" i="1"/>
  <c r="V6746" i="1"/>
  <c r="W6766" i="1"/>
  <c r="V6766" i="1"/>
  <c r="W6772" i="1"/>
  <c r="V6772" i="1"/>
  <c r="W6779" i="1"/>
  <c r="V6779" i="1"/>
  <c r="W6793" i="1"/>
  <c r="V6793" i="1"/>
  <c r="W6814" i="1"/>
  <c r="V6814" i="1"/>
  <c r="W6825" i="1"/>
  <c r="V6825" i="1"/>
  <c r="W6832" i="1"/>
  <c r="V6832" i="1"/>
  <c r="W6835" i="1"/>
  <c r="V6835" i="1"/>
  <c r="W6842" i="1"/>
  <c r="V6842" i="1"/>
  <c r="W6853" i="1"/>
  <c r="V6853" i="1"/>
  <c r="W6857" i="1"/>
  <c r="V6857" i="1"/>
  <c r="W6864" i="1"/>
  <c r="V6864" i="1"/>
  <c r="W6867" i="1"/>
  <c r="V6867" i="1"/>
  <c r="W6878" i="1"/>
  <c r="V6878" i="1"/>
  <c r="W6889" i="1"/>
  <c r="V6889" i="1"/>
  <c r="W6892" i="1"/>
  <c r="V6892" i="1"/>
  <c r="W6899" i="1"/>
  <c r="V6899" i="1"/>
  <c r="W6908" i="1"/>
  <c r="V6908" i="1"/>
  <c r="W6915" i="1"/>
  <c r="V6915" i="1"/>
  <c r="W6929" i="1"/>
  <c r="V6929" i="1"/>
  <c r="W6946" i="1"/>
  <c r="V6946" i="1"/>
  <c r="W6957" i="1"/>
  <c r="V6957" i="1"/>
  <c r="W6964" i="1"/>
  <c r="V6964" i="1"/>
  <c r="W6968" i="1"/>
  <c r="V6968" i="1"/>
  <c r="W6971" i="1"/>
  <c r="V6971" i="1"/>
  <c r="W6978" i="1"/>
  <c r="V6978" i="1"/>
  <c r="W6989" i="1"/>
  <c r="V6989" i="1"/>
  <c r="W6996" i="1"/>
  <c r="V6996" i="1"/>
  <c r="W7003" i="1"/>
  <c r="V7003" i="1"/>
  <c r="W7012" i="1"/>
  <c r="V7012" i="1"/>
  <c r="W7016" i="1"/>
  <c r="V7016" i="1"/>
  <c r="W7019" i="1"/>
  <c r="V7019" i="1"/>
  <c r="W7026" i="1"/>
  <c r="V7026" i="1"/>
  <c r="W7037" i="1"/>
  <c r="V7037" i="1"/>
  <c r="W7041" i="1"/>
  <c r="V7041" i="1"/>
  <c r="W7050" i="1"/>
  <c r="V7050" i="1"/>
  <c r="W7061" i="1"/>
  <c r="V7061" i="1"/>
  <c r="W7064" i="1"/>
  <c r="V7064" i="1"/>
  <c r="W7074" i="1"/>
  <c r="V7074" i="1"/>
  <c r="W7084" i="1"/>
  <c r="V7084" i="1"/>
  <c r="W7097" i="1"/>
  <c r="V7097" i="1"/>
  <c r="W7104" i="1"/>
  <c r="V7104" i="1"/>
  <c r="W7108" i="1"/>
  <c r="V7108" i="1"/>
  <c r="W7118" i="1"/>
  <c r="V7118" i="1"/>
  <c r="W7125" i="1"/>
  <c r="V7125" i="1"/>
  <c r="W7132" i="1"/>
  <c r="V7132" i="1"/>
  <c r="W7136" i="1"/>
  <c r="V7136" i="1"/>
  <c r="W7140" i="1"/>
  <c r="V7140" i="1"/>
  <c r="W7154" i="1"/>
  <c r="V7154" i="1"/>
  <c r="W7174" i="1"/>
  <c r="V7174" i="1"/>
  <c r="W7181" i="1"/>
  <c r="V7181" i="1"/>
  <c r="W7203" i="1"/>
  <c r="V7203" i="1"/>
  <c r="W7210" i="1"/>
  <c r="V7210" i="1"/>
  <c r="W7234" i="1"/>
  <c r="V7234" i="1"/>
  <c r="W7241" i="1"/>
  <c r="V7241" i="1"/>
  <c r="W7248" i="1"/>
  <c r="V7248" i="1"/>
  <c r="W7252" i="1"/>
  <c r="V7252" i="1"/>
  <c r="W7270" i="1"/>
  <c r="V7270" i="1"/>
  <c r="W7278" i="1"/>
  <c r="V7278" i="1"/>
  <c r="W7285" i="1"/>
  <c r="V7285" i="1"/>
  <c r="W7293" i="1"/>
  <c r="V7293" i="1"/>
  <c r="W7304" i="1"/>
  <c r="V7304" i="1"/>
  <c r="W7312" i="1"/>
  <c r="V7312" i="1"/>
  <c r="W7323" i="1"/>
  <c r="V7323" i="1"/>
  <c r="W7331" i="1"/>
  <c r="V7331" i="1"/>
  <c r="W7338" i="1"/>
  <c r="V7338" i="1"/>
  <c r="W7346" i="1"/>
  <c r="V7346" i="1"/>
  <c r="W7353" i="1"/>
  <c r="V7353" i="1"/>
  <c r="W7368" i="1"/>
  <c r="V7368" i="1"/>
  <c r="W7376" i="1"/>
  <c r="V7376" i="1"/>
  <c r="W7387" i="1"/>
  <c r="V7387" i="1"/>
  <c r="W7395" i="1"/>
  <c r="V7395" i="1"/>
  <c r="W7402" i="1"/>
  <c r="V7402" i="1"/>
  <c r="W7410" i="1"/>
  <c r="V7410" i="1"/>
  <c r="W7417" i="1"/>
  <c r="V7417" i="1"/>
  <c r="W7425" i="1"/>
  <c r="V7425" i="1"/>
  <c r="W7436" i="1"/>
  <c r="V7436" i="1"/>
  <c r="W7444" i="1"/>
  <c r="V7444" i="1"/>
  <c r="W7462" i="1"/>
  <c r="V7462" i="1"/>
  <c r="W7470" i="1"/>
  <c r="V7470" i="1"/>
  <c r="W7481" i="1"/>
  <c r="V7481" i="1"/>
  <c r="W7489" i="1"/>
  <c r="V7489" i="1"/>
  <c r="W7500" i="1"/>
  <c r="V7500" i="1"/>
  <c r="W7526" i="1"/>
  <c r="V7526" i="1"/>
  <c r="W7530" i="1"/>
  <c r="V7530" i="1"/>
  <c r="W7545" i="1"/>
  <c r="V7545" i="1"/>
  <c r="W7594" i="1"/>
  <c r="V7594" i="1"/>
  <c r="W7605" i="1"/>
  <c r="V7605" i="1"/>
  <c r="W7628" i="1"/>
  <c r="V7628" i="1"/>
  <c r="W16" i="1"/>
  <c r="V16" i="1"/>
  <c r="W33" i="1"/>
  <c r="V33" i="1"/>
  <c r="W39" i="1"/>
  <c r="V39" i="1"/>
  <c r="W45" i="1"/>
  <c r="V45" i="1"/>
  <c r="W54" i="1"/>
  <c r="V54" i="1"/>
  <c r="W65" i="1"/>
  <c r="V65" i="1"/>
  <c r="W71" i="1"/>
  <c r="V71" i="1"/>
  <c r="W80" i="1"/>
  <c r="V80" i="1"/>
  <c r="W91" i="1"/>
  <c r="V91" i="1"/>
  <c r="W97" i="1"/>
  <c r="V97" i="1"/>
  <c r="W100" i="1"/>
  <c r="V100" i="1"/>
  <c r="W109" i="1"/>
  <c r="V109" i="1"/>
  <c r="W118" i="1"/>
  <c r="V118" i="1"/>
  <c r="W129" i="1"/>
  <c r="V129" i="1"/>
  <c r="W132" i="1"/>
  <c r="V132" i="1"/>
  <c r="W141" i="1"/>
  <c r="V141" i="1"/>
  <c r="W155" i="1"/>
  <c r="V155" i="1"/>
  <c r="W182" i="1"/>
  <c r="V182" i="1"/>
  <c r="W214" i="1"/>
  <c r="V214" i="1"/>
  <c r="W225" i="1"/>
  <c r="V225" i="1"/>
  <c r="W231" i="1"/>
  <c r="V231" i="1"/>
  <c r="W240" i="1"/>
  <c r="V240" i="1"/>
  <c r="W260" i="1"/>
  <c r="V260" i="1"/>
  <c r="W272" i="1"/>
  <c r="V272" i="1"/>
  <c r="W289" i="1"/>
  <c r="V289" i="1"/>
  <c r="W292" i="1"/>
  <c r="V292" i="1"/>
  <c r="W301" i="1"/>
  <c r="V301" i="1"/>
  <c r="W315" i="1"/>
  <c r="V315" i="1"/>
  <c r="W324" i="1"/>
  <c r="V324" i="1"/>
  <c r="W333" i="1"/>
  <c r="V333" i="1"/>
  <c r="W342" i="1"/>
  <c r="V342" i="1"/>
  <c r="W353" i="1"/>
  <c r="V353" i="1"/>
  <c r="W359" i="1"/>
  <c r="V359" i="1"/>
  <c r="W368" i="1"/>
  <c r="V368" i="1"/>
  <c r="W379" i="1"/>
  <c r="V379" i="1"/>
  <c r="W391" i="1"/>
  <c r="V391" i="1"/>
  <c r="W400" i="1"/>
  <c r="V400" i="1"/>
  <c r="W455" i="1"/>
  <c r="V455" i="1"/>
  <c r="W464" i="1"/>
  <c r="V464" i="1"/>
  <c r="W487" i="1"/>
  <c r="V487" i="1"/>
  <c r="W496" i="1"/>
  <c r="V496" i="1"/>
  <c r="W502" i="1"/>
  <c r="V502" i="1"/>
  <c r="W519" i="1"/>
  <c r="V519" i="1"/>
  <c r="W528" i="1"/>
  <c r="V528" i="1"/>
  <c r="W551" i="1"/>
  <c r="V551" i="1"/>
  <c r="W560" i="1"/>
  <c r="V560" i="1"/>
  <c r="W583" i="1"/>
  <c r="V583" i="1"/>
  <c r="W592" i="1"/>
  <c r="V592" i="1"/>
  <c r="W603" i="1"/>
  <c r="V603" i="1"/>
  <c r="W630" i="1"/>
  <c r="V630" i="1"/>
  <c r="W679" i="1"/>
  <c r="V679" i="1"/>
  <c r="W688" i="1"/>
  <c r="V688" i="1"/>
  <c r="W694" i="1"/>
  <c r="V694" i="1"/>
  <c r="W711" i="1"/>
  <c r="V711" i="1"/>
  <c r="W720" i="1"/>
  <c r="V720" i="1"/>
  <c r="W731" i="1"/>
  <c r="V731" i="1"/>
  <c r="W740" i="1"/>
  <c r="V740" i="1"/>
  <c r="W743" i="1"/>
  <c r="V743" i="1"/>
  <c r="W752" i="1"/>
  <c r="V752" i="1"/>
  <c r="W758" i="1"/>
  <c r="V758" i="1"/>
  <c r="W772" i="1"/>
  <c r="V772" i="1"/>
  <c r="W784" i="1"/>
  <c r="V784" i="1"/>
  <c r="W795" i="1"/>
  <c r="V795" i="1"/>
  <c r="W827" i="1"/>
  <c r="V827" i="1"/>
  <c r="W839" i="1"/>
  <c r="V839" i="1"/>
  <c r="W842" i="1"/>
  <c r="V842" i="1"/>
  <c r="W854" i="1"/>
  <c r="V854" i="1"/>
  <c r="W868" i="1"/>
  <c r="V868" i="1"/>
  <c r="W874" i="1"/>
  <c r="V874" i="1"/>
  <c r="W903" i="1"/>
  <c r="V903" i="1"/>
  <c r="W912" i="1"/>
  <c r="V912" i="1"/>
  <c r="W918" i="1"/>
  <c r="V918" i="1"/>
  <c r="W932" i="1"/>
  <c r="V932" i="1"/>
  <c r="W935" i="1"/>
  <c r="V935" i="1"/>
  <c r="W944" i="1"/>
  <c r="V944" i="1"/>
  <c r="W950" i="1"/>
  <c r="V950" i="1"/>
  <c r="W982" i="1"/>
  <c r="V982" i="1"/>
  <c r="W996" i="1"/>
  <c r="V996" i="1"/>
  <c r="W1008" i="1"/>
  <c r="V1008" i="1"/>
  <c r="W1031" i="1"/>
  <c r="V1031" i="1"/>
  <c r="W1040" i="1"/>
  <c r="V1040" i="1"/>
  <c r="W1051" i="1"/>
  <c r="V1051" i="1"/>
  <c r="W1078" i="1"/>
  <c r="V1078" i="1"/>
  <c r="W1168" i="1"/>
  <c r="V1168" i="1"/>
  <c r="W8" i="1"/>
  <c r="V8" i="1"/>
  <c r="W14" i="1"/>
  <c r="V14" i="1"/>
  <c r="W19" i="1"/>
  <c r="V19" i="1"/>
  <c r="W25" i="1"/>
  <c r="V25" i="1"/>
  <c r="W28" i="1"/>
  <c r="V28" i="1"/>
  <c r="W31" i="1"/>
  <c r="V31" i="1"/>
  <c r="W37" i="1"/>
  <c r="V37" i="1"/>
  <c r="W40" i="1"/>
  <c r="V40" i="1"/>
  <c r="W57" i="1"/>
  <c r="V57" i="1"/>
  <c r="W72" i="1"/>
  <c r="V72" i="1"/>
  <c r="W83" i="1"/>
  <c r="V83" i="1"/>
  <c r="W92" i="1"/>
  <c r="V92" i="1"/>
  <c r="W104" i="1"/>
  <c r="V104" i="1"/>
  <c r="W115" i="1"/>
  <c r="V115" i="1"/>
  <c r="W121" i="1"/>
  <c r="V121" i="1"/>
  <c r="W124" i="1"/>
  <c r="V124" i="1"/>
  <c r="W127" i="1"/>
  <c r="V127" i="1"/>
  <c r="W133" i="1"/>
  <c r="V133" i="1"/>
  <c r="W142" i="1"/>
  <c r="V142" i="1"/>
  <c r="W153" i="1"/>
  <c r="V153" i="1"/>
  <c r="W156" i="1"/>
  <c r="V156" i="1"/>
  <c r="W159" i="1"/>
  <c r="V159" i="1"/>
  <c r="W165" i="1"/>
  <c r="V165" i="1"/>
  <c r="W174" i="1"/>
  <c r="V174" i="1"/>
  <c r="W185" i="1"/>
  <c r="V185" i="1"/>
  <c r="W200" i="1"/>
  <c r="V200" i="1"/>
  <c r="W206" i="1"/>
  <c r="V206" i="1"/>
  <c r="W217" i="1"/>
  <c r="V217" i="1"/>
  <c r="W220" i="1"/>
  <c r="V220" i="1"/>
  <c r="W223" i="1"/>
  <c r="V223" i="1"/>
  <c r="W229" i="1"/>
  <c r="V229" i="1"/>
  <c r="W232" i="1"/>
  <c r="V232" i="1"/>
  <c r="W243" i="1"/>
  <c r="V243" i="1"/>
  <c r="W252" i="1"/>
  <c r="V252" i="1"/>
  <c r="W255" i="1"/>
  <c r="V255" i="1"/>
  <c r="W261" i="1"/>
  <c r="V261" i="1"/>
  <c r="W270" i="1"/>
  <c r="V270" i="1"/>
  <c r="W275" i="1"/>
  <c r="V275" i="1"/>
  <c r="W284" i="1"/>
  <c r="V284" i="1"/>
  <c r="W287" i="1"/>
  <c r="V287" i="1"/>
  <c r="W293" i="1"/>
  <c r="V293" i="1"/>
  <c r="W302" i="1"/>
  <c r="V302" i="1"/>
  <c r="W313" i="1"/>
  <c r="V313" i="1"/>
  <c r="W328" i="1"/>
  <c r="V328" i="1"/>
  <c r="W334" i="1"/>
  <c r="V334" i="1"/>
  <c r="W345" i="1"/>
  <c r="V345" i="1"/>
  <c r="W348" i="1"/>
  <c r="V348" i="1"/>
  <c r="W351" i="1"/>
  <c r="V351" i="1"/>
  <c r="W357" i="1"/>
  <c r="V357" i="1"/>
  <c r="W366" i="1"/>
  <c r="V366" i="1"/>
  <c r="W377" i="1"/>
  <c r="V377" i="1"/>
  <c r="W392" i="1"/>
  <c r="V392" i="1"/>
  <c r="W403" i="1"/>
  <c r="V403" i="1"/>
  <c r="W409" i="1"/>
  <c r="V409" i="1"/>
  <c r="W424" i="1"/>
  <c r="V424" i="1"/>
  <c r="W430" i="1"/>
  <c r="V430" i="1"/>
  <c r="W435" i="1"/>
  <c r="V435" i="1"/>
  <c r="W444" i="1"/>
  <c r="V444" i="1"/>
  <c r="W462" i="1"/>
  <c r="V462" i="1"/>
  <c r="W467" i="1"/>
  <c r="V467" i="1"/>
  <c r="W476" i="1"/>
  <c r="V476" i="1"/>
  <c r="W494" i="1"/>
  <c r="V494" i="1"/>
  <c r="W6" i="1"/>
  <c r="V6" i="1"/>
  <c r="W11" i="1"/>
  <c r="V11" i="1"/>
  <c r="W17" i="1"/>
  <c r="V17" i="1"/>
  <c r="W20" i="1"/>
  <c r="V20" i="1"/>
  <c r="W23" i="1"/>
  <c r="V23" i="1"/>
  <c r="W29" i="1"/>
  <c r="V29" i="1"/>
  <c r="W32" i="1"/>
  <c r="V32" i="1"/>
  <c r="W38" i="1"/>
  <c r="V38" i="1"/>
  <c r="W43" i="1"/>
  <c r="V43" i="1"/>
  <c r="W49" i="1"/>
  <c r="V49" i="1"/>
  <c r="W52" i="1"/>
  <c r="V52" i="1"/>
  <c r="W55" i="1"/>
  <c r="V55" i="1"/>
  <c r="W61" i="1"/>
  <c r="V61" i="1"/>
  <c r="W64" i="1"/>
  <c r="V64" i="1"/>
  <c r="W70" i="1"/>
  <c r="V70" i="1"/>
  <c r="W75" i="1"/>
  <c r="V75" i="1"/>
  <c r="W81" i="1"/>
  <c r="V81" i="1"/>
  <c r="W84" i="1"/>
  <c r="V84" i="1"/>
  <c r="W87" i="1"/>
  <c r="V87" i="1"/>
  <c r="W93" i="1"/>
  <c r="V93" i="1"/>
  <c r="W96" i="1"/>
  <c r="V96" i="1"/>
  <c r="W102" i="1"/>
  <c r="V102" i="1"/>
  <c r="W107" i="1"/>
  <c r="V107" i="1"/>
  <c r="W113" i="1"/>
  <c r="V113" i="1"/>
  <c r="W116" i="1"/>
  <c r="V116" i="1"/>
  <c r="W119" i="1"/>
  <c r="V119" i="1"/>
  <c r="W125" i="1"/>
  <c r="V125" i="1"/>
  <c r="W128" i="1"/>
  <c r="V128" i="1"/>
  <c r="W134" i="1"/>
  <c r="V134" i="1"/>
  <c r="W139" i="1"/>
  <c r="V139" i="1"/>
  <c r="W145" i="1"/>
  <c r="V145" i="1"/>
  <c r="W148" i="1"/>
  <c r="V148" i="1"/>
  <c r="W151" i="1"/>
  <c r="V151" i="1"/>
  <c r="W157" i="1"/>
  <c r="V157" i="1"/>
  <c r="W160" i="1"/>
  <c r="V160" i="1"/>
  <c r="W166" i="1"/>
  <c r="V166" i="1"/>
  <c r="W171" i="1"/>
  <c r="V171" i="1"/>
  <c r="W177" i="1"/>
  <c r="V177" i="1"/>
  <c r="W180" i="1"/>
  <c r="V180" i="1"/>
  <c r="W183" i="1"/>
  <c r="V183" i="1"/>
  <c r="W189" i="1"/>
  <c r="V189" i="1"/>
  <c r="W192" i="1"/>
  <c r="V192" i="1"/>
  <c r="W198" i="1"/>
  <c r="V198" i="1"/>
  <c r="W203" i="1"/>
  <c r="V203" i="1"/>
  <c r="W209" i="1"/>
  <c r="V209" i="1"/>
  <c r="W212" i="1"/>
  <c r="V212" i="1"/>
  <c r="W215" i="1"/>
  <c r="V215" i="1"/>
  <c r="W221" i="1"/>
  <c r="V221" i="1"/>
  <c r="W224" i="1"/>
  <c r="V224" i="1"/>
  <c r="W230" i="1"/>
  <c r="V230" i="1"/>
  <c r="W235" i="1"/>
  <c r="V235" i="1"/>
  <c r="W241" i="1"/>
  <c r="V241" i="1"/>
  <c r="W244" i="1"/>
  <c r="V244" i="1"/>
  <c r="W247" i="1"/>
  <c r="V247" i="1"/>
  <c r="W253" i="1"/>
  <c r="V253" i="1"/>
  <c r="W256" i="1"/>
  <c r="V256" i="1"/>
  <c r="W262" i="1"/>
  <c r="V262" i="1"/>
  <c r="W267" i="1"/>
  <c r="V267" i="1"/>
  <c r="W273" i="1"/>
  <c r="V273" i="1"/>
  <c r="W276" i="1"/>
  <c r="V276" i="1"/>
  <c r="W279" i="1"/>
  <c r="V279" i="1"/>
  <c r="W285" i="1"/>
  <c r="V285" i="1"/>
  <c r="W288" i="1"/>
  <c r="V288" i="1"/>
  <c r="W294" i="1"/>
  <c r="V294" i="1"/>
  <c r="W299" i="1"/>
  <c r="V299" i="1"/>
  <c r="W305" i="1"/>
  <c r="V305" i="1"/>
  <c r="W308" i="1"/>
  <c r="V308" i="1"/>
  <c r="W311" i="1"/>
  <c r="V311" i="1"/>
  <c r="W317" i="1"/>
  <c r="V317" i="1"/>
  <c r="W320" i="1"/>
  <c r="V320" i="1"/>
  <c r="W326" i="1"/>
  <c r="V326" i="1"/>
  <c r="W331" i="1"/>
  <c r="V331" i="1"/>
  <c r="W337" i="1"/>
  <c r="V337" i="1"/>
  <c r="W340" i="1"/>
  <c r="V340" i="1"/>
  <c r="W343" i="1"/>
  <c r="V343" i="1"/>
  <c r="W349" i="1"/>
  <c r="V349" i="1"/>
  <c r="W352" i="1"/>
  <c r="V352" i="1"/>
  <c r="W358" i="1"/>
  <c r="V358" i="1"/>
  <c r="W363" i="1"/>
  <c r="V363" i="1"/>
  <c r="W369" i="1"/>
  <c r="V369" i="1"/>
  <c r="W372" i="1"/>
  <c r="V372" i="1"/>
  <c r="W375" i="1"/>
  <c r="V375" i="1"/>
  <c r="W381" i="1"/>
  <c r="V381" i="1"/>
  <c r="W384" i="1"/>
  <c r="V384" i="1"/>
  <c r="W390" i="1"/>
  <c r="V390" i="1"/>
  <c r="W395" i="1"/>
  <c r="V395" i="1"/>
  <c r="W401" i="1"/>
  <c r="V401" i="1"/>
  <c r="W404" i="1"/>
  <c r="V404" i="1"/>
  <c r="W407" i="1"/>
  <c r="V407" i="1"/>
  <c r="W413" i="1"/>
  <c r="V413" i="1"/>
  <c r="W416" i="1"/>
  <c r="V416" i="1"/>
  <c r="W422" i="1"/>
  <c r="V422" i="1"/>
  <c r="W427" i="1"/>
  <c r="V427" i="1"/>
  <c r="W436" i="1"/>
  <c r="V436" i="1"/>
  <c r="W439" i="1"/>
  <c r="V439" i="1"/>
  <c r="W442" i="1"/>
  <c r="V442" i="1"/>
  <c r="W448" i="1"/>
  <c r="V448" i="1"/>
  <c r="W454" i="1"/>
  <c r="V454" i="1"/>
  <c r="W459" i="1"/>
  <c r="V459" i="1"/>
  <c r="W468" i="1"/>
  <c r="V468" i="1"/>
  <c r="W471" i="1"/>
  <c r="V471" i="1"/>
  <c r="W474" i="1"/>
  <c r="V474" i="1"/>
  <c r="W480" i="1"/>
  <c r="V480" i="1"/>
  <c r="W486" i="1"/>
  <c r="V486" i="1"/>
  <c r="W491" i="1"/>
  <c r="V491" i="1"/>
  <c r="W500" i="1"/>
  <c r="V500" i="1"/>
  <c r="W503" i="1"/>
  <c r="V503" i="1"/>
  <c r="W506" i="1"/>
  <c r="V506" i="1"/>
  <c r="W512" i="1"/>
  <c r="V512" i="1"/>
  <c r="W518" i="1"/>
  <c r="V518" i="1"/>
  <c r="W523" i="1"/>
  <c r="V523" i="1"/>
  <c r="W532" i="1"/>
  <c r="V532" i="1"/>
  <c r="W535" i="1"/>
  <c r="V535" i="1"/>
  <c r="W538" i="1"/>
  <c r="V538" i="1"/>
  <c r="W544" i="1"/>
  <c r="V544" i="1"/>
  <c r="W550" i="1"/>
  <c r="V550" i="1"/>
  <c r="W555" i="1"/>
  <c r="V555" i="1"/>
  <c r="W564" i="1"/>
  <c r="V564" i="1"/>
  <c r="W567" i="1"/>
  <c r="V567" i="1"/>
  <c r="W570" i="1"/>
  <c r="V570" i="1"/>
  <c r="W576" i="1"/>
  <c r="V576" i="1"/>
  <c r="W582" i="1"/>
  <c r="V582" i="1"/>
  <c r="W587" i="1"/>
  <c r="V587" i="1"/>
  <c r="W596" i="1"/>
  <c r="V596" i="1"/>
  <c r="W599" i="1"/>
  <c r="V599" i="1"/>
  <c r="W602" i="1"/>
  <c r="V602" i="1"/>
  <c r="W608" i="1"/>
  <c r="V608" i="1"/>
  <c r="W614" i="1"/>
  <c r="V614" i="1"/>
  <c r="W619" i="1"/>
  <c r="V619" i="1"/>
  <c r="W628" i="1"/>
  <c r="V628" i="1"/>
  <c r="W631" i="1"/>
  <c r="V631" i="1"/>
  <c r="W634" i="1"/>
  <c r="V634" i="1"/>
  <c r="W640" i="1"/>
  <c r="V640" i="1"/>
  <c r="W646" i="1"/>
  <c r="V646" i="1"/>
  <c r="W651" i="1"/>
  <c r="V651" i="1"/>
  <c r="W660" i="1"/>
  <c r="V660" i="1"/>
  <c r="W663" i="1"/>
  <c r="V663" i="1"/>
  <c r="W666" i="1"/>
  <c r="V666" i="1"/>
  <c r="W672" i="1"/>
  <c r="V672" i="1"/>
  <c r="W678" i="1"/>
  <c r="V678" i="1"/>
  <c r="W683" i="1"/>
  <c r="V683" i="1"/>
  <c r="W692" i="1"/>
  <c r="V692" i="1"/>
  <c r="W695" i="1"/>
  <c r="V695" i="1"/>
  <c r="W698" i="1"/>
  <c r="V698" i="1"/>
  <c r="W704" i="1"/>
  <c r="V704" i="1"/>
  <c r="W710" i="1"/>
  <c r="V710" i="1"/>
  <c r="W715" i="1"/>
  <c r="V715" i="1"/>
  <c r="W724" i="1"/>
  <c r="V724" i="1"/>
  <c r="W727" i="1"/>
  <c r="V727" i="1"/>
  <c r="W730" i="1"/>
  <c r="V730" i="1"/>
  <c r="W736" i="1"/>
  <c r="V736" i="1"/>
  <c r="W742" i="1"/>
  <c r="V742" i="1"/>
  <c r="W747" i="1"/>
  <c r="V747" i="1"/>
  <c r="W756" i="1"/>
  <c r="V756" i="1"/>
  <c r="W759" i="1"/>
  <c r="V759" i="1"/>
  <c r="W762" i="1"/>
  <c r="V762" i="1"/>
  <c r="W768" i="1"/>
  <c r="V768" i="1"/>
  <c r="W774" i="1"/>
  <c r="V774" i="1"/>
  <c r="W779" i="1"/>
  <c r="V779" i="1"/>
  <c r="W788" i="1"/>
  <c r="V788" i="1"/>
  <c r="W791" i="1"/>
  <c r="V791" i="1"/>
  <c r="W794" i="1"/>
  <c r="V794" i="1"/>
  <c r="W800" i="1"/>
  <c r="V800" i="1"/>
  <c r="W806" i="1"/>
  <c r="V806" i="1"/>
  <c r="W811" i="1"/>
  <c r="V811" i="1"/>
  <c r="W820" i="1"/>
  <c r="V820" i="1"/>
  <c r="W823" i="1"/>
  <c r="V823" i="1"/>
  <c r="W826" i="1"/>
  <c r="V826" i="1"/>
  <c r="W832" i="1"/>
  <c r="V832" i="1"/>
  <c r="W838" i="1"/>
  <c r="V838" i="1"/>
  <c r="W843" i="1"/>
  <c r="V843" i="1"/>
  <c r="W852" i="1"/>
  <c r="V852" i="1"/>
  <c r="W855" i="1"/>
  <c r="V855" i="1"/>
  <c r="W858" i="1"/>
  <c r="V858" i="1"/>
  <c r="W864" i="1"/>
  <c r="V864" i="1"/>
  <c r="W870" i="1"/>
  <c r="V870" i="1"/>
  <c r="W875" i="1"/>
  <c r="V875" i="1"/>
  <c r="W884" i="1"/>
  <c r="V884" i="1"/>
  <c r="W887" i="1"/>
  <c r="V887" i="1"/>
  <c r="W890" i="1"/>
  <c r="V890" i="1"/>
  <c r="W896" i="1"/>
  <c r="V896" i="1"/>
  <c r="W902" i="1"/>
  <c r="V902" i="1"/>
  <c r="W907" i="1"/>
  <c r="V907" i="1"/>
  <c r="W916" i="1"/>
  <c r="V916" i="1"/>
  <c r="W919" i="1"/>
  <c r="V919" i="1"/>
  <c r="W922" i="1"/>
  <c r="V922" i="1"/>
  <c r="W928" i="1"/>
  <c r="V928" i="1"/>
  <c r="W934" i="1"/>
  <c r="V934" i="1"/>
  <c r="W939" i="1"/>
  <c r="V939" i="1"/>
  <c r="W948" i="1"/>
  <c r="V948" i="1"/>
  <c r="W951" i="1"/>
  <c r="V951" i="1"/>
  <c r="W954" i="1"/>
  <c r="V954" i="1"/>
  <c r="W960" i="1"/>
  <c r="V960" i="1"/>
  <c r="W966" i="1"/>
  <c r="V966" i="1"/>
  <c r="W971" i="1"/>
  <c r="V971" i="1"/>
  <c r="W980" i="1"/>
  <c r="V980" i="1"/>
  <c r="W983" i="1"/>
  <c r="V983" i="1"/>
  <c r="W986" i="1"/>
  <c r="V986" i="1"/>
  <c r="W992" i="1"/>
  <c r="V992" i="1"/>
  <c r="W998" i="1"/>
  <c r="V998" i="1"/>
  <c r="W1003" i="1"/>
  <c r="V1003" i="1"/>
  <c r="W1012" i="1"/>
  <c r="V1012" i="1"/>
  <c r="W1015" i="1"/>
  <c r="V1015" i="1"/>
  <c r="W1018" i="1"/>
  <c r="V1018" i="1"/>
  <c r="W1024" i="1"/>
  <c r="V1024" i="1"/>
  <c r="W1030" i="1"/>
  <c r="V1030" i="1"/>
  <c r="W1035" i="1"/>
  <c r="V1035" i="1"/>
  <c r="W1044" i="1"/>
  <c r="V1044" i="1"/>
  <c r="W1047" i="1"/>
  <c r="V1047" i="1"/>
  <c r="W1050" i="1"/>
  <c r="V1050" i="1"/>
  <c r="W1056" i="1"/>
  <c r="V1056" i="1"/>
  <c r="W1062" i="1"/>
  <c r="V1062" i="1"/>
  <c r="W1067" i="1"/>
  <c r="V1067" i="1"/>
  <c r="W1076" i="1"/>
  <c r="V1076" i="1"/>
  <c r="W1079" i="1"/>
  <c r="V1079" i="1"/>
  <c r="W1082" i="1"/>
  <c r="V1082" i="1"/>
  <c r="W1088" i="1"/>
  <c r="V1088" i="1"/>
  <c r="W1094" i="1"/>
  <c r="V1094" i="1"/>
  <c r="W1099" i="1"/>
  <c r="V1099" i="1"/>
  <c r="W1108" i="1"/>
  <c r="V1108" i="1"/>
  <c r="W1111" i="1"/>
  <c r="V1111" i="1"/>
  <c r="W1114" i="1"/>
  <c r="V1114" i="1"/>
  <c r="W1120" i="1"/>
  <c r="V1120" i="1"/>
  <c r="W1126" i="1"/>
  <c r="V1126" i="1"/>
  <c r="W1131" i="1"/>
  <c r="V1131" i="1"/>
  <c r="W1140" i="1"/>
  <c r="V1140" i="1"/>
  <c r="W1143" i="1"/>
  <c r="V1143" i="1"/>
  <c r="W1146" i="1"/>
  <c r="V1146" i="1"/>
  <c r="W1152" i="1"/>
  <c r="V1152" i="1"/>
  <c r="W1158" i="1"/>
  <c r="V1158" i="1"/>
  <c r="W1163" i="1"/>
  <c r="V1163" i="1"/>
  <c r="W1172" i="1"/>
  <c r="V1172" i="1"/>
  <c r="W1175" i="1"/>
  <c r="V1175" i="1"/>
  <c r="W1178" i="1"/>
  <c r="V1178" i="1"/>
  <c r="W1184" i="1"/>
  <c r="V1184" i="1"/>
  <c r="W1190" i="1"/>
  <c r="V1190" i="1"/>
  <c r="W1195" i="1"/>
  <c r="V1195" i="1"/>
  <c r="W1204" i="1"/>
  <c r="V1204" i="1"/>
  <c r="W1207" i="1"/>
  <c r="V1207" i="1"/>
  <c r="W1210" i="1"/>
  <c r="V1210" i="1"/>
  <c r="W1216" i="1"/>
  <c r="V1216" i="1"/>
  <c r="W1222" i="1"/>
  <c r="V1222" i="1"/>
  <c r="W1227" i="1"/>
  <c r="V1227" i="1"/>
  <c r="W1236" i="1"/>
  <c r="V1236" i="1"/>
  <c r="W1239" i="1"/>
  <c r="V1239" i="1"/>
  <c r="W1242" i="1"/>
  <c r="V1242" i="1"/>
  <c r="W1248" i="1"/>
  <c r="V1248" i="1"/>
  <c r="W1254" i="1"/>
  <c r="V1254" i="1"/>
  <c r="W1259" i="1"/>
  <c r="V1259" i="1"/>
  <c r="W1268" i="1"/>
  <c r="V1268" i="1"/>
  <c r="W1271" i="1"/>
  <c r="V1271" i="1"/>
  <c r="W1274" i="1"/>
  <c r="V1274" i="1"/>
  <c r="W1280" i="1"/>
  <c r="V1280" i="1"/>
  <c r="W1286" i="1"/>
  <c r="V1286" i="1"/>
  <c r="W1291" i="1"/>
  <c r="V1291" i="1"/>
  <c r="W1300" i="1"/>
  <c r="V1300" i="1"/>
  <c r="W1303" i="1"/>
  <c r="V1303" i="1"/>
  <c r="W1306" i="1"/>
  <c r="V1306" i="1"/>
  <c r="W1312" i="1"/>
  <c r="V1312" i="1"/>
  <c r="W1318" i="1"/>
  <c r="V1318" i="1"/>
  <c r="W1323" i="1"/>
  <c r="V1323" i="1"/>
  <c r="W1332" i="1"/>
  <c r="V1332" i="1"/>
  <c r="W1335" i="1"/>
  <c r="V1335" i="1"/>
  <c r="W1338" i="1"/>
  <c r="V1338" i="1"/>
  <c r="W1344" i="1"/>
  <c r="V1344" i="1"/>
  <c r="W1350" i="1"/>
  <c r="V1350" i="1"/>
  <c r="W1355" i="1"/>
  <c r="V1355" i="1"/>
  <c r="W1364" i="1"/>
  <c r="V1364" i="1"/>
  <c r="W1367" i="1"/>
  <c r="V1367" i="1"/>
  <c r="W1370" i="1"/>
  <c r="V1370" i="1"/>
  <c r="W1376" i="1"/>
  <c r="V1376" i="1"/>
  <c r="W1382" i="1"/>
  <c r="V1382" i="1"/>
  <c r="W1387" i="1"/>
  <c r="V1387" i="1"/>
  <c r="W1396" i="1"/>
  <c r="V1396" i="1"/>
  <c r="W1399" i="1"/>
  <c r="V1399" i="1"/>
  <c r="W1402" i="1"/>
  <c r="V1402" i="1"/>
  <c r="W1408" i="1"/>
  <c r="V1408" i="1"/>
  <c r="W1414" i="1"/>
  <c r="V1414" i="1"/>
  <c r="W1419" i="1"/>
  <c r="V1419" i="1"/>
  <c r="W1428" i="1"/>
  <c r="V1428" i="1"/>
  <c r="W1431" i="1"/>
  <c r="V1431" i="1"/>
  <c r="W1434" i="1"/>
  <c r="V1434" i="1"/>
  <c r="W1440" i="1"/>
  <c r="V1440" i="1"/>
  <c r="W1446" i="1"/>
  <c r="V1446" i="1"/>
  <c r="W1451" i="1"/>
  <c r="V1451" i="1"/>
  <c r="W1460" i="1"/>
  <c r="V1460" i="1"/>
  <c r="W1463" i="1"/>
  <c r="V1463" i="1"/>
  <c r="W1466" i="1"/>
  <c r="V1466" i="1"/>
  <c r="W1472" i="1"/>
  <c r="V1472" i="1"/>
  <c r="W1478" i="1"/>
  <c r="V1478" i="1"/>
  <c r="W1483" i="1"/>
  <c r="V1483" i="1"/>
  <c r="W1492" i="1"/>
  <c r="V1492" i="1"/>
  <c r="W1495" i="1"/>
  <c r="V1495" i="1"/>
  <c r="W1498" i="1"/>
  <c r="V1498" i="1"/>
  <c r="W1504" i="1"/>
  <c r="V1504" i="1"/>
  <c r="W1510" i="1"/>
  <c r="V1510" i="1"/>
  <c r="W1515" i="1"/>
  <c r="V1515" i="1"/>
  <c r="W1524" i="1"/>
  <c r="V1524" i="1"/>
  <c r="W1527" i="1"/>
  <c r="V1527" i="1"/>
  <c r="W1530" i="1"/>
  <c r="V1530" i="1"/>
  <c r="W1536" i="1"/>
  <c r="V1536" i="1"/>
  <c r="W1542" i="1"/>
  <c r="V1542" i="1"/>
  <c r="W1547" i="1"/>
  <c r="V1547" i="1"/>
  <c r="W1556" i="1"/>
  <c r="V1556" i="1"/>
  <c r="W1559" i="1"/>
  <c r="V1559" i="1"/>
  <c r="W1562" i="1"/>
  <c r="V1562" i="1"/>
  <c r="W1568" i="1"/>
  <c r="V1568" i="1"/>
  <c r="W1574" i="1"/>
  <c r="V1574" i="1"/>
  <c r="W1579" i="1"/>
  <c r="V1579" i="1"/>
  <c r="W1588" i="1"/>
  <c r="V1588" i="1"/>
  <c r="W1591" i="1"/>
  <c r="V1591" i="1"/>
  <c r="W1594" i="1"/>
  <c r="V1594" i="1"/>
  <c r="W1600" i="1"/>
  <c r="V1600" i="1"/>
  <c r="W1606" i="1"/>
  <c r="V1606" i="1"/>
  <c r="W1611" i="1"/>
  <c r="V1611" i="1"/>
  <c r="W1620" i="1"/>
  <c r="V1620" i="1"/>
  <c r="W1623" i="1"/>
  <c r="V1623" i="1"/>
  <c r="W1626" i="1"/>
  <c r="V1626" i="1"/>
  <c r="W1632" i="1"/>
  <c r="V1632" i="1"/>
  <c r="W1638" i="1"/>
  <c r="V1638" i="1"/>
  <c r="W1643" i="1"/>
  <c r="V1643" i="1"/>
  <c r="W1652" i="1"/>
  <c r="V1652" i="1"/>
  <c r="W1655" i="1"/>
  <c r="V1655" i="1"/>
  <c r="W1658" i="1"/>
  <c r="V1658" i="1"/>
  <c r="W1661" i="1"/>
  <c r="V1661" i="1"/>
  <c r="W1664" i="1"/>
  <c r="V1664" i="1"/>
  <c r="W1670" i="1"/>
  <c r="V1670" i="1"/>
  <c r="W1675" i="1"/>
  <c r="V1675" i="1"/>
  <c r="W1681" i="1"/>
  <c r="V1681" i="1"/>
  <c r="W1684" i="1"/>
  <c r="V1684" i="1"/>
  <c r="W1687" i="1"/>
  <c r="V1687" i="1"/>
  <c r="W1690" i="1"/>
  <c r="V1690" i="1"/>
  <c r="W1693" i="1"/>
  <c r="V1693" i="1"/>
  <c r="W1696" i="1"/>
  <c r="V1696" i="1"/>
  <c r="W1702" i="1"/>
  <c r="V1702" i="1"/>
  <c r="W1707" i="1"/>
  <c r="V1707" i="1"/>
  <c r="W1713" i="1"/>
  <c r="V1713" i="1"/>
  <c r="W1716" i="1"/>
  <c r="V1716" i="1"/>
  <c r="W1719" i="1"/>
  <c r="V1719" i="1"/>
  <c r="W1722" i="1"/>
  <c r="V1722" i="1"/>
  <c r="W1725" i="1"/>
  <c r="V1725" i="1"/>
  <c r="W1728" i="1"/>
  <c r="V1728" i="1"/>
  <c r="W1734" i="1"/>
  <c r="V1734" i="1"/>
  <c r="W1739" i="1"/>
  <c r="V1739" i="1"/>
  <c r="W1745" i="1"/>
  <c r="V1745" i="1"/>
  <c r="W1748" i="1"/>
  <c r="V1748" i="1"/>
  <c r="W1751" i="1"/>
  <c r="V1751" i="1"/>
  <c r="W1754" i="1"/>
  <c r="V1754" i="1"/>
  <c r="W1757" i="1"/>
  <c r="V1757" i="1"/>
  <c r="W1760" i="1"/>
  <c r="V1760" i="1"/>
  <c r="W1766" i="1"/>
  <c r="V1766" i="1"/>
  <c r="W1771" i="1"/>
  <c r="V1771" i="1"/>
  <c r="W1777" i="1"/>
  <c r="V1777" i="1"/>
  <c r="W1780" i="1"/>
  <c r="V1780" i="1"/>
  <c r="W1783" i="1"/>
  <c r="V1783" i="1"/>
  <c r="W1786" i="1"/>
  <c r="V1786" i="1"/>
  <c r="W1789" i="1"/>
  <c r="V1789" i="1"/>
  <c r="W1792" i="1"/>
  <c r="V1792" i="1"/>
  <c r="W1798" i="1"/>
  <c r="V1798" i="1"/>
  <c r="W1803" i="1"/>
  <c r="V1803" i="1"/>
  <c r="W1809" i="1"/>
  <c r="V1809" i="1"/>
  <c r="W1812" i="1"/>
  <c r="V1812" i="1"/>
  <c r="W1815" i="1"/>
  <c r="V1815" i="1"/>
  <c r="W1818" i="1"/>
  <c r="V1818" i="1"/>
  <c r="W1821" i="1"/>
  <c r="V1821" i="1"/>
  <c r="W1824" i="1"/>
  <c r="V1824" i="1"/>
  <c r="W1830" i="1"/>
  <c r="V1830" i="1"/>
  <c r="W1835" i="1"/>
  <c r="V1835" i="1"/>
  <c r="W1841" i="1"/>
  <c r="V1841" i="1"/>
  <c r="W1844" i="1"/>
  <c r="V1844" i="1"/>
  <c r="W1847" i="1"/>
  <c r="V1847" i="1"/>
  <c r="W1850" i="1"/>
  <c r="V1850" i="1"/>
  <c r="W1853" i="1"/>
  <c r="V1853" i="1"/>
  <c r="W1856" i="1"/>
  <c r="V1856" i="1"/>
  <c r="W1862" i="1"/>
  <c r="V1862" i="1"/>
  <c r="W1867" i="1"/>
  <c r="V1867" i="1"/>
  <c r="W1873" i="1"/>
  <c r="V1873" i="1"/>
  <c r="W1876" i="1"/>
  <c r="V1876" i="1"/>
  <c r="W1879" i="1"/>
  <c r="V1879" i="1"/>
  <c r="W1882" i="1"/>
  <c r="V1882" i="1"/>
  <c r="W1885" i="1"/>
  <c r="V1885" i="1"/>
  <c r="W1888" i="1"/>
  <c r="V1888" i="1"/>
  <c r="W1894" i="1"/>
  <c r="V1894" i="1"/>
  <c r="W1899" i="1"/>
  <c r="V1899" i="1"/>
  <c r="W1905" i="1"/>
  <c r="V1905" i="1"/>
  <c r="W1908" i="1"/>
  <c r="V1908" i="1"/>
  <c r="W1911" i="1"/>
  <c r="V1911" i="1"/>
  <c r="W1914" i="1"/>
  <c r="V1914" i="1"/>
  <c r="W1917" i="1"/>
  <c r="V1917" i="1"/>
  <c r="W1920" i="1"/>
  <c r="V1920" i="1"/>
  <c r="W1926" i="1"/>
  <c r="V1926" i="1"/>
  <c r="W1929" i="1"/>
  <c r="V1929" i="1"/>
  <c r="W1932" i="1"/>
  <c r="V1932" i="1"/>
  <c r="W1935" i="1"/>
  <c r="V1935" i="1"/>
  <c r="W1942" i="1"/>
  <c r="V1942" i="1"/>
  <c r="W1945" i="1"/>
  <c r="V1945" i="1"/>
  <c r="W1948" i="1"/>
  <c r="V1948" i="1"/>
  <c r="W1951" i="1"/>
  <c r="V1951" i="1"/>
  <c r="W1958" i="1"/>
  <c r="V1958" i="1"/>
  <c r="W1961" i="1"/>
  <c r="V1961" i="1"/>
  <c r="W1964" i="1"/>
  <c r="V1964" i="1"/>
  <c r="W1967" i="1"/>
  <c r="V1967" i="1"/>
  <c r="W1974" i="1"/>
  <c r="V1974" i="1"/>
  <c r="W1977" i="1"/>
  <c r="V1977" i="1"/>
  <c r="W1980" i="1"/>
  <c r="V1980" i="1"/>
  <c r="W1983" i="1"/>
  <c r="V1983" i="1"/>
  <c r="W1990" i="1"/>
  <c r="V1990" i="1"/>
  <c r="W1993" i="1"/>
  <c r="V1993" i="1"/>
  <c r="W1996" i="1"/>
  <c r="V1996" i="1"/>
  <c r="W1999" i="1"/>
  <c r="V1999" i="1"/>
  <c r="W2006" i="1"/>
  <c r="V2006" i="1"/>
  <c r="W2009" i="1"/>
  <c r="V2009" i="1"/>
  <c r="W2012" i="1"/>
  <c r="V2012" i="1"/>
  <c r="W2015" i="1"/>
  <c r="V2015" i="1"/>
  <c r="W2022" i="1"/>
  <c r="V2022" i="1"/>
  <c r="W2025" i="1"/>
  <c r="V2025" i="1"/>
  <c r="W2028" i="1"/>
  <c r="V2028" i="1"/>
  <c r="W2031" i="1"/>
  <c r="V2031" i="1"/>
  <c r="W2038" i="1"/>
  <c r="V2038" i="1"/>
  <c r="W2041" i="1"/>
  <c r="V2041" i="1"/>
  <c r="W2044" i="1"/>
  <c r="V2044" i="1"/>
  <c r="W2047" i="1"/>
  <c r="V2047" i="1"/>
  <c r="W2051" i="1"/>
  <c r="V2051" i="1"/>
  <c r="W2055" i="1"/>
  <c r="V2055" i="1"/>
  <c r="W2059" i="1"/>
  <c r="V2059" i="1"/>
  <c r="W2062" i="1"/>
  <c r="V2062" i="1"/>
  <c r="W2066" i="1"/>
  <c r="V2066" i="1"/>
  <c r="W2070" i="1"/>
  <c r="V2070" i="1"/>
  <c r="W2074" i="1"/>
  <c r="V2074" i="1"/>
  <c r="W2081" i="1"/>
  <c r="V2081" i="1"/>
  <c r="W2085" i="1"/>
  <c r="V2085" i="1"/>
  <c r="W2089" i="1"/>
  <c r="V2089" i="1"/>
  <c r="W2093" i="1"/>
  <c r="V2093" i="1"/>
  <c r="W2096" i="1"/>
  <c r="V2096" i="1"/>
  <c r="W2100" i="1"/>
  <c r="V2100" i="1"/>
  <c r="W2104" i="1"/>
  <c r="V2104" i="1"/>
  <c r="W2108" i="1"/>
  <c r="V2108" i="1"/>
  <c r="W2111" i="1"/>
  <c r="V2111" i="1"/>
  <c r="W2115" i="1"/>
  <c r="V2115" i="1"/>
  <c r="W2119" i="1"/>
  <c r="V2119" i="1"/>
  <c r="W2123" i="1"/>
  <c r="V2123" i="1"/>
  <c r="W2126" i="1"/>
  <c r="V2126" i="1"/>
  <c r="W2130" i="1"/>
  <c r="V2130" i="1"/>
  <c r="W2134" i="1"/>
  <c r="V2134" i="1"/>
  <c r="W2138" i="1"/>
  <c r="V2138" i="1"/>
  <c r="W2145" i="1"/>
  <c r="V2145" i="1"/>
  <c r="W2149" i="1"/>
  <c r="V2149" i="1"/>
  <c r="W2153" i="1"/>
  <c r="V2153" i="1"/>
  <c r="W2157" i="1"/>
  <c r="V2157" i="1"/>
  <c r="W2160" i="1"/>
  <c r="V2160" i="1"/>
  <c r="W2164" i="1"/>
  <c r="V2164" i="1"/>
  <c r="W2168" i="1"/>
  <c r="V2168" i="1"/>
  <c r="W2172" i="1"/>
  <c r="V2172" i="1"/>
  <c r="W2175" i="1"/>
  <c r="V2175" i="1"/>
  <c r="W2179" i="1"/>
  <c r="V2179" i="1"/>
  <c r="W2183" i="1"/>
  <c r="V2183" i="1"/>
  <c r="W2187" i="1"/>
  <c r="V2187" i="1"/>
  <c r="W2190" i="1"/>
  <c r="V2190" i="1"/>
  <c r="W2194" i="1"/>
  <c r="V2194" i="1"/>
  <c r="W2198" i="1"/>
  <c r="V2198" i="1"/>
  <c r="W2202" i="1"/>
  <c r="V2202" i="1"/>
  <c r="W2209" i="1"/>
  <c r="V2209" i="1"/>
  <c r="W2213" i="1"/>
  <c r="V2213" i="1"/>
  <c r="W2217" i="1"/>
  <c r="V2217" i="1"/>
  <c r="W2221" i="1"/>
  <c r="V2221" i="1"/>
  <c r="W2224" i="1"/>
  <c r="V2224" i="1"/>
  <c r="W2228" i="1"/>
  <c r="V2228" i="1"/>
  <c r="W2232" i="1"/>
  <c r="V2232" i="1"/>
  <c r="W2236" i="1"/>
  <c r="V2236" i="1"/>
  <c r="W2239" i="1"/>
  <c r="V2239" i="1"/>
  <c r="W2243" i="1"/>
  <c r="V2243" i="1"/>
  <c r="W2247" i="1"/>
  <c r="V2247" i="1"/>
  <c r="W2251" i="1"/>
  <c r="V2251" i="1"/>
  <c r="W2254" i="1"/>
  <c r="V2254" i="1"/>
  <c r="W2258" i="1"/>
  <c r="V2258" i="1"/>
  <c r="W2262" i="1"/>
  <c r="V2262" i="1"/>
  <c r="W2266" i="1"/>
  <c r="V2266" i="1"/>
  <c r="W2273" i="1"/>
  <c r="V2273" i="1"/>
  <c r="W2277" i="1"/>
  <c r="V2277" i="1"/>
  <c r="W2281" i="1"/>
  <c r="V2281" i="1"/>
  <c r="W2285" i="1"/>
  <c r="V2285" i="1"/>
  <c r="W2288" i="1"/>
  <c r="V2288" i="1"/>
  <c r="W2292" i="1"/>
  <c r="V2292" i="1"/>
  <c r="W2296" i="1"/>
  <c r="V2296" i="1"/>
  <c r="W2300" i="1"/>
  <c r="V2300" i="1"/>
  <c r="W2303" i="1"/>
  <c r="V2303" i="1"/>
  <c r="W2307" i="1"/>
  <c r="V2307" i="1"/>
  <c r="W2311" i="1"/>
  <c r="V2311" i="1"/>
  <c r="W2315" i="1"/>
  <c r="V2315" i="1"/>
  <c r="W2318" i="1"/>
  <c r="V2318" i="1"/>
  <c r="W2322" i="1"/>
  <c r="V2322" i="1"/>
  <c r="W2326" i="1"/>
  <c r="V2326" i="1"/>
  <c r="W2330" i="1"/>
  <c r="V2330" i="1"/>
  <c r="W2337" i="1"/>
  <c r="V2337" i="1"/>
  <c r="W2341" i="1"/>
  <c r="V2341" i="1"/>
  <c r="W2345" i="1"/>
  <c r="V2345" i="1"/>
  <c r="W2349" i="1"/>
  <c r="V2349" i="1"/>
  <c r="W2352" i="1"/>
  <c r="V2352" i="1"/>
  <c r="W2356" i="1"/>
  <c r="V2356" i="1"/>
  <c r="W2360" i="1"/>
  <c r="V2360" i="1"/>
  <c r="W2364" i="1"/>
  <c r="V2364" i="1"/>
  <c r="W2367" i="1"/>
  <c r="V2367" i="1"/>
  <c r="W2371" i="1"/>
  <c r="V2371" i="1"/>
  <c r="W2375" i="1"/>
  <c r="V2375" i="1"/>
  <c r="W2379" i="1"/>
  <c r="V2379" i="1"/>
  <c r="W2382" i="1"/>
  <c r="V2382" i="1"/>
  <c r="W2386" i="1"/>
  <c r="V2386" i="1"/>
  <c r="W2390" i="1"/>
  <c r="V2390" i="1"/>
  <c r="W2394" i="1"/>
  <c r="V2394" i="1"/>
  <c r="W2401" i="1"/>
  <c r="V2401" i="1"/>
  <c r="W2405" i="1"/>
  <c r="V2405" i="1"/>
  <c r="W2409" i="1"/>
  <c r="V2409" i="1"/>
  <c r="W2413" i="1"/>
  <c r="V2413" i="1"/>
  <c r="W2417" i="1"/>
  <c r="V2417" i="1"/>
  <c r="W2421" i="1"/>
  <c r="V2421" i="1"/>
  <c r="W2425" i="1"/>
  <c r="V2425" i="1"/>
  <c r="W2429" i="1"/>
  <c r="V2429" i="1"/>
  <c r="W2432" i="1"/>
  <c r="V2432" i="1"/>
  <c r="W2436" i="1"/>
  <c r="V2436" i="1"/>
  <c r="W2440" i="1"/>
  <c r="V2440" i="1"/>
  <c r="W2444" i="1"/>
  <c r="V2444" i="1"/>
  <c r="W2448" i="1"/>
  <c r="V2448" i="1"/>
  <c r="W2452" i="1"/>
  <c r="V2452" i="1"/>
  <c r="W2456" i="1"/>
  <c r="V2456" i="1"/>
  <c r="W2460" i="1"/>
  <c r="V2460" i="1"/>
  <c r="W2463" i="1"/>
  <c r="V2463" i="1"/>
  <c r="W2467" i="1"/>
  <c r="V2467" i="1"/>
  <c r="W2471" i="1"/>
  <c r="V2471" i="1"/>
  <c r="W2475" i="1"/>
  <c r="V2475" i="1"/>
  <c r="W2479" i="1"/>
  <c r="V2479" i="1"/>
  <c r="W2483" i="1"/>
  <c r="V2483" i="1"/>
  <c r="W2487" i="1"/>
  <c r="V2487" i="1"/>
  <c r="W2491" i="1"/>
  <c r="V2491" i="1"/>
  <c r="W2494" i="1"/>
  <c r="V2494" i="1"/>
  <c r="W2498" i="1"/>
  <c r="V2498" i="1"/>
  <c r="W2502" i="1"/>
  <c r="V2502" i="1"/>
  <c r="W2506" i="1"/>
  <c r="V2506" i="1"/>
  <c r="W2513" i="1"/>
  <c r="V2513" i="1"/>
  <c r="W2517" i="1"/>
  <c r="V2517" i="1"/>
  <c r="W2521" i="1"/>
  <c r="V2521" i="1"/>
  <c r="W2525" i="1"/>
  <c r="V2525" i="1"/>
  <c r="W2528" i="1"/>
  <c r="V2528" i="1"/>
  <c r="W2532" i="1"/>
  <c r="V2532" i="1"/>
  <c r="W2536" i="1"/>
  <c r="V2536" i="1"/>
  <c r="W2540" i="1"/>
  <c r="V2540" i="1"/>
  <c r="W2544" i="1"/>
  <c r="V2544" i="1"/>
  <c r="W2548" i="1"/>
  <c r="V2548" i="1"/>
  <c r="W2552" i="1"/>
  <c r="V2552" i="1"/>
  <c r="W2556" i="1"/>
  <c r="V2556" i="1"/>
  <c r="W2559" i="1"/>
  <c r="V2559" i="1"/>
  <c r="W2563" i="1"/>
  <c r="V2563" i="1"/>
  <c r="W2567" i="1"/>
  <c r="V2567" i="1"/>
  <c r="W2571" i="1"/>
  <c r="V2571" i="1"/>
  <c r="W2575" i="1"/>
  <c r="V2575" i="1"/>
  <c r="W2579" i="1"/>
  <c r="V2579" i="1"/>
  <c r="W2583" i="1"/>
  <c r="V2583" i="1"/>
  <c r="W2587" i="1"/>
  <c r="V2587" i="1"/>
  <c r="W2590" i="1"/>
  <c r="V2590" i="1"/>
  <c r="W2594" i="1"/>
  <c r="V2594" i="1"/>
  <c r="W2598" i="1"/>
  <c r="V2598" i="1"/>
  <c r="W2602" i="1"/>
  <c r="V2602" i="1"/>
  <c r="W2606" i="1"/>
  <c r="V2606" i="1"/>
  <c r="W2610" i="1"/>
  <c r="V2610" i="1"/>
  <c r="W2614" i="1"/>
  <c r="V2614" i="1"/>
  <c r="W2618" i="1"/>
  <c r="V2618" i="1"/>
  <c r="W2625" i="1"/>
  <c r="V2625" i="1"/>
  <c r="W2629" i="1"/>
  <c r="V2629" i="1"/>
  <c r="W2633" i="1"/>
  <c r="V2633" i="1"/>
  <c r="W2637" i="1"/>
  <c r="V2637" i="1"/>
  <c r="W2641" i="1"/>
  <c r="V2641" i="1"/>
  <c r="W2645" i="1"/>
  <c r="V2645" i="1"/>
  <c r="W2649" i="1"/>
  <c r="V2649" i="1"/>
  <c r="W2653" i="1"/>
  <c r="V2653" i="1"/>
  <c r="W2656" i="1"/>
  <c r="V2656" i="1"/>
  <c r="W2660" i="1"/>
  <c r="V2660" i="1"/>
  <c r="W2664" i="1"/>
  <c r="V2664" i="1"/>
  <c r="W2668" i="1"/>
  <c r="V2668" i="1"/>
  <c r="W2672" i="1"/>
  <c r="V2672" i="1"/>
  <c r="W2676" i="1"/>
  <c r="V2676" i="1"/>
  <c r="W2680" i="1"/>
  <c r="V2680" i="1"/>
  <c r="W2684" i="1"/>
  <c r="V2684" i="1"/>
  <c r="W2687" i="1"/>
  <c r="V2687" i="1"/>
  <c r="W2691" i="1"/>
  <c r="V2691" i="1"/>
  <c r="W2695" i="1"/>
  <c r="V2695" i="1"/>
  <c r="W2699" i="1"/>
  <c r="V2699" i="1"/>
  <c r="W2703" i="1"/>
  <c r="V2703" i="1"/>
  <c r="W2707" i="1"/>
  <c r="V2707" i="1"/>
  <c r="W2711" i="1"/>
  <c r="V2711" i="1"/>
  <c r="W2715" i="1"/>
  <c r="V2715" i="1"/>
  <c r="W2718" i="1"/>
  <c r="V2718" i="1"/>
  <c r="W2722" i="1"/>
  <c r="V2722" i="1"/>
  <c r="W2726" i="1"/>
  <c r="V2726" i="1"/>
  <c r="W2730" i="1"/>
  <c r="V2730" i="1"/>
  <c r="W2734" i="1"/>
  <c r="V2734" i="1"/>
  <c r="W2738" i="1"/>
  <c r="V2738" i="1"/>
  <c r="W2742" i="1"/>
  <c r="V2742" i="1"/>
  <c r="W2746" i="1"/>
  <c r="V2746" i="1"/>
  <c r="W2753" i="1"/>
  <c r="V2753" i="1"/>
  <c r="W2757" i="1"/>
  <c r="V2757" i="1"/>
  <c r="W2761" i="1"/>
  <c r="V2761" i="1"/>
  <c r="W2765" i="1"/>
  <c r="V2765" i="1"/>
  <c r="W2769" i="1"/>
  <c r="V2769" i="1"/>
  <c r="W2773" i="1"/>
  <c r="V2773" i="1"/>
  <c r="W2777" i="1"/>
  <c r="V2777" i="1"/>
  <c r="W2781" i="1"/>
  <c r="V2781" i="1"/>
  <c r="W2784" i="1"/>
  <c r="V2784" i="1"/>
  <c r="W2788" i="1"/>
  <c r="V2788" i="1"/>
  <c r="W2792" i="1"/>
  <c r="V2792" i="1"/>
  <c r="W2796" i="1"/>
  <c r="V2796" i="1"/>
  <c r="W2800" i="1"/>
  <c r="V2800" i="1"/>
  <c r="W2804" i="1"/>
  <c r="V2804" i="1"/>
  <c r="W2808" i="1"/>
  <c r="V2808" i="1"/>
  <c r="W2812" i="1"/>
  <c r="V2812" i="1"/>
  <c r="W2815" i="1"/>
  <c r="V2815" i="1"/>
  <c r="W2819" i="1"/>
  <c r="V2819" i="1"/>
  <c r="W2823" i="1"/>
  <c r="V2823" i="1"/>
  <c r="W2827" i="1"/>
  <c r="V2827" i="1"/>
  <c r="W2831" i="1"/>
  <c r="V2831" i="1"/>
  <c r="W2835" i="1"/>
  <c r="V2835" i="1"/>
  <c r="W2839" i="1"/>
  <c r="V2839" i="1"/>
  <c r="W2843" i="1"/>
  <c r="V2843" i="1"/>
  <c r="W2846" i="1"/>
  <c r="V2846" i="1"/>
  <c r="W2850" i="1"/>
  <c r="V2850" i="1"/>
  <c r="W2854" i="1"/>
  <c r="V2854" i="1"/>
  <c r="W2858" i="1"/>
  <c r="V2858" i="1"/>
  <c r="W2862" i="1"/>
  <c r="V2862" i="1"/>
  <c r="W2866" i="1"/>
  <c r="V2866" i="1"/>
  <c r="W2870" i="1"/>
  <c r="V2870" i="1"/>
  <c r="W2874" i="1"/>
  <c r="V2874" i="1"/>
  <c r="W2881" i="1"/>
  <c r="V2881" i="1"/>
  <c r="W2885" i="1"/>
  <c r="V2885" i="1"/>
  <c r="W2889" i="1"/>
  <c r="V2889" i="1"/>
  <c r="W2893" i="1"/>
  <c r="V2893" i="1"/>
  <c r="W2897" i="1"/>
  <c r="V2897" i="1"/>
  <c r="W2901" i="1"/>
  <c r="V2901" i="1"/>
  <c r="W2905" i="1"/>
  <c r="V2905" i="1"/>
  <c r="W2909" i="1"/>
  <c r="V2909" i="1"/>
  <c r="W2912" i="1"/>
  <c r="V2912" i="1"/>
  <c r="W2916" i="1"/>
  <c r="V2916" i="1"/>
  <c r="W2920" i="1"/>
  <c r="V2920" i="1"/>
  <c r="W2924" i="1"/>
  <c r="V2924" i="1"/>
  <c r="W2927" i="1"/>
  <c r="V2927" i="1"/>
  <c r="W2931" i="1"/>
  <c r="V2931" i="1"/>
  <c r="W2935" i="1"/>
  <c r="V2935" i="1"/>
  <c r="W2939" i="1"/>
  <c r="V2939" i="1"/>
  <c r="W2942" i="1"/>
  <c r="V2942" i="1"/>
  <c r="W2946" i="1"/>
  <c r="V2946" i="1"/>
  <c r="W2950" i="1"/>
  <c r="V2950" i="1"/>
  <c r="W2954" i="1"/>
  <c r="V2954" i="1"/>
  <c r="W2961" i="1"/>
  <c r="V2961" i="1"/>
  <c r="W2965" i="1"/>
  <c r="V2965" i="1"/>
  <c r="W2969" i="1"/>
  <c r="V2969" i="1"/>
  <c r="W2973" i="1"/>
  <c r="V2973" i="1"/>
  <c r="W2976" i="1"/>
  <c r="V2976" i="1"/>
  <c r="W2980" i="1"/>
  <c r="V2980" i="1"/>
  <c r="W2984" i="1"/>
  <c r="V2984" i="1"/>
  <c r="W2988" i="1"/>
  <c r="V2988" i="1"/>
  <c r="W2992" i="1"/>
  <c r="V2992" i="1"/>
  <c r="W2996" i="1"/>
  <c r="V2996" i="1"/>
  <c r="W3000" i="1"/>
  <c r="V3000" i="1"/>
  <c r="W3004" i="1"/>
  <c r="V3004" i="1"/>
  <c r="W3007" i="1"/>
  <c r="V3007" i="1"/>
  <c r="W3011" i="1"/>
  <c r="V3011" i="1"/>
  <c r="W3015" i="1"/>
  <c r="V3015" i="1"/>
  <c r="W3019" i="1"/>
  <c r="V3019" i="1"/>
  <c r="W3023" i="1"/>
  <c r="V3023" i="1"/>
  <c r="W3027" i="1"/>
  <c r="V3027" i="1"/>
  <c r="W3031" i="1"/>
  <c r="V3031" i="1"/>
  <c r="W3035" i="1"/>
  <c r="V3035" i="1"/>
  <c r="W3038" i="1"/>
  <c r="V3038" i="1"/>
  <c r="W3042" i="1"/>
  <c r="V3042" i="1"/>
  <c r="W3046" i="1"/>
  <c r="V3046" i="1"/>
  <c r="W3050" i="1"/>
  <c r="V3050" i="1"/>
  <c r="W3054" i="1"/>
  <c r="V3054" i="1"/>
  <c r="W3058" i="1"/>
  <c r="V3058" i="1"/>
  <c r="W3062" i="1"/>
  <c r="V3062" i="1"/>
  <c r="W3066" i="1"/>
  <c r="V3066" i="1"/>
  <c r="W3073" i="1"/>
  <c r="V3073" i="1"/>
  <c r="W3077" i="1"/>
  <c r="V3077" i="1"/>
  <c r="W3081" i="1"/>
  <c r="V3081" i="1"/>
  <c r="W3085" i="1"/>
  <c r="V3085" i="1"/>
  <c r="W3089" i="1"/>
  <c r="V3089" i="1"/>
  <c r="W3093" i="1"/>
  <c r="V3093" i="1"/>
  <c r="W3097" i="1"/>
  <c r="V3097" i="1"/>
  <c r="W3101" i="1"/>
  <c r="V3101" i="1"/>
  <c r="W3104" i="1"/>
  <c r="V3104" i="1"/>
  <c r="W3108" i="1"/>
  <c r="V3108" i="1"/>
  <c r="W3112" i="1"/>
  <c r="V3112" i="1"/>
  <c r="W3116" i="1"/>
  <c r="V3116" i="1"/>
  <c r="W3120" i="1"/>
  <c r="V3120" i="1"/>
  <c r="W3124" i="1"/>
  <c r="V3124" i="1"/>
  <c r="W3128" i="1"/>
  <c r="V3128" i="1"/>
  <c r="W3132" i="1"/>
  <c r="V3132" i="1"/>
  <c r="W3135" i="1"/>
  <c r="V3135" i="1"/>
  <c r="W3139" i="1"/>
  <c r="V3139" i="1"/>
  <c r="W3143" i="1"/>
  <c r="V3143" i="1"/>
  <c r="W3147" i="1"/>
  <c r="V3147" i="1"/>
  <c r="W3151" i="1"/>
  <c r="V3151" i="1"/>
  <c r="W3155" i="1"/>
  <c r="V3155" i="1"/>
  <c r="W3159" i="1"/>
  <c r="V3159" i="1"/>
  <c r="W3163" i="1"/>
  <c r="V3163" i="1"/>
  <c r="W3166" i="1"/>
  <c r="V3166" i="1"/>
  <c r="W3170" i="1"/>
  <c r="V3170" i="1"/>
  <c r="W3174" i="1"/>
  <c r="V3174" i="1"/>
  <c r="W3178" i="1"/>
  <c r="V3178" i="1"/>
  <c r="W3182" i="1"/>
  <c r="V3182" i="1"/>
  <c r="W3186" i="1"/>
  <c r="V3186" i="1"/>
  <c r="W3190" i="1"/>
  <c r="V3190" i="1"/>
  <c r="W3194" i="1"/>
  <c r="V3194" i="1"/>
  <c r="W3201" i="1"/>
  <c r="V3201" i="1"/>
  <c r="W3205" i="1"/>
  <c r="V3205" i="1"/>
  <c r="W3209" i="1"/>
  <c r="V3209" i="1"/>
  <c r="W3213" i="1"/>
  <c r="V3213" i="1"/>
  <c r="W3217" i="1"/>
  <c r="V3217" i="1"/>
  <c r="W3221" i="1"/>
  <c r="V3221" i="1"/>
  <c r="W3225" i="1"/>
  <c r="V3225" i="1"/>
  <c r="W3229" i="1"/>
  <c r="V3229" i="1"/>
  <c r="W3232" i="1"/>
  <c r="V3232" i="1"/>
  <c r="W3236" i="1"/>
  <c r="V3236" i="1"/>
  <c r="W3240" i="1"/>
  <c r="V3240" i="1"/>
  <c r="W3244" i="1"/>
  <c r="V3244" i="1"/>
  <c r="W3248" i="1"/>
  <c r="V3248" i="1"/>
  <c r="W3252" i="1"/>
  <c r="V3252" i="1"/>
  <c r="W3256" i="1"/>
  <c r="V3256" i="1"/>
  <c r="W3260" i="1"/>
  <c r="V3260" i="1"/>
  <c r="W3263" i="1"/>
  <c r="V3263" i="1"/>
  <c r="W3267" i="1"/>
  <c r="V3267" i="1"/>
  <c r="W3271" i="1"/>
  <c r="V3271" i="1"/>
  <c r="W3275" i="1"/>
  <c r="V3275" i="1"/>
  <c r="W3279" i="1"/>
  <c r="V3279" i="1"/>
  <c r="W3283" i="1"/>
  <c r="V3283" i="1"/>
  <c r="W3287" i="1"/>
  <c r="V3287" i="1"/>
  <c r="W3291" i="1"/>
  <c r="V3291" i="1"/>
  <c r="W3294" i="1"/>
  <c r="V3294" i="1"/>
  <c r="W3298" i="1"/>
  <c r="V3298" i="1"/>
  <c r="W3302" i="1"/>
  <c r="V3302" i="1"/>
  <c r="W3306" i="1"/>
  <c r="V3306" i="1"/>
  <c r="W3310" i="1"/>
  <c r="V3310" i="1"/>
  <c r="W3314" i="1"/>
  <c r="V3314" i="1"/>
  <c r="W3318" i="1"/>
  <c r="V3318" i="1"/>
  <c r="W3322" i="1"/>
  <c r="V3322" i="1"/>
  <c r="W3329" i="1"/>
  <c r="V3329" i="1"/>
  <c r="W3333" i="1"/>
  <c r="V3333" i="1"/>
  <c r="W3337" i="1"/>
  <c r="V3337" i="1"/>
  <c r="W3341" i="1"/>
  <c r="V3341" i="1"/>
  <c r="W3345" i="1"/>
  <c r="V3345" i="1"/>
  <c r="W3349" i="1"/>
  <c r="V3349" i="1"/>
  <c r="W3352" i="1"/>
  <c r="V3352" i="1"/>
  <c r="W3356" i="1"/>
  <c r="V3356" i="1"/>
  <c r="W3363" i="1"/>
  <c r="V3363" i="1"/>
  <c r="W3367" i="1"/>
  <c r="V3367" i="1"/>
  <c r="W3371" i="1"/>
  <c r="V3371" i="1"/>
  <c r="W3375" i="1"/>
  <c r="V3375" i="1"/>
  <c r="W3378" i="1"/>
  <c r="V3378" i="1"/>
  <c r="W3385" i="1"/>
  <c r="V3385" i="1"/>
  <c r="W3389" i="1"/>
  <c r="V3389" i="1"/>
  <c r="W3392" i="1"/>
  <c r="V3392" i="1"/>
  <c r="W3396" i="1"/>
  <c r="V3396" i="1"/>
  <c r="W3399" i="1"/>
  <c r="V3399" i="1"/>
  <c r="W3403" i="1"/>
  <c r="V3403" i="1"/>
  <c r="W3407" i="1"/>
  <c r="V3407" i="1"/>
  <c r="W3410" i="1"/>
  <c r="V3410" i="1"/>
  <c r="W3417" i="1"/>
  <c r="V3417" i="1"/>
  <c r="W3421" i="1"/>
  <c r="V3421" i="1"/>
  <c r="W3424" i="1"/>
  <c r="V3424" i="1"/>
  <c r="W3428" i="1"/>
  <c r="V3428" i="1"/>
  <c r="W3431" i="1"/>
  <c r="V3431" i="1"/>
  <c r="W3435" i="1"/>
  <c r="V3435" i="1"/>
  <c r="W3439" i="1"/>
  <c r="V3439" i="1"/>
  <c r="W3442" i="1"/>
  <c r="V3442" i="1"/>
  <c r="W3448" i="1"/>
  <c r="V3448" i="1"/>
  <c r="W3452" i="1"/>
  <c r="V3452" i="1"/>
  <c r="W3459" i="1"/>
  <c r="V3459" i="1"/>
  <c r="W3462" i="1"/>
  <c r="V3462" i="1"/>
  <c r="W3465" i="1"/>
  <c r="V3465" i="1"/>
  <c r="W3469" i="1"/>
  <c r="V3469" i="1"/>
  <c r="W3472" i="1"/>
  <c r="V3472" i="1"/>
  <c r="W3476" i="1"/>
  <c r="V3476" i="1"/>
  <c r="W3479" i="1"/>
  <c r="V3479" i="1"/>
  <c r="W3482" i="1"/>
  <c r="V3482" i="1"/>
  <c r="W3486" i="1"/>
  <c r="V3486" i="1"/>
  <c r="W3489" i="1"/>
  <c r="V3489" i="1"/>
  <c r="W3493" i="1"/>
  <c r="V3493" i="1"/>
  <c r="W3496" i="1"/>
  <c r="V3496" i="1"/>
  <c r="W3500" i="1"/>
  <c r="V3500" i="1"/>
  <c r="W3507" i="1"/>
  <c r="V3507" i="1"/>
  <c r="W3510" i="1"/>
  <c r="V3510" i="1"/>
  <c r="W3513" i="1"/>
  <c r="V3513" i="1"/>
  <c r="W3517" i="1"/>
  <c r="V3517" i="1"/>
  <c r="W3520" i="1"/>
  <c r="V3520" i="1"/>
  <c r="W3524" i="1"/>
  <c r="V3524" i="1"/>
  <c r="W3527" i="1"/>
  <c r="V3527" i="1"/>
  <c r="W3531" i="1"/>
  <c r="V3531" i="1"/>
  <c r="W3535" i="1"/>
  <c r="V3535" i="1"/>
  <c r="W3538" i="1"/>
  <c r="V3538" i="1"/>
  <c r="W3544" i="1"/>
  <c r="V3544" i="1"/>
  <c r="W3548" i="1"/>
  <c r="V3548" i="1"/>
  <c r="W3555" i="1"/>
  <c r="V3555" i="1"/>
  <c r="W3558" i="1"/>
  <c r="V3558" i="1"/>
  <c r="W3562" i="1"/>
  <c r="V3562" i="1"/>
  <c r="W3566" i="1"/>
  <c r="V3566" i="1"/>
  <c r="W3569" i="1"/>
  <c r="V3569" i="1"/>
  <c r="W3573" i="1"/>
  <c r="V3573" i="1"/>
  <c r="W3576" i="1"/>
  <c r="V3576" i="1"/>
  <c r="W3580" i="1"/>
  <c r="V3580" i="1"/>
  <c r="W3587" i="1"/>
  <c r="V3587" i="1"/>
  <c r="W3590" i="1"/>
  <c r="V3590" i="1"/>
  <c r="W3594" i="1"/>
  <c r="V3594" i="1"/>
  <c r="W3598" i="1"/>
  <c r="V3598" i="1"/>
  <c r="W3601" i="1"/>
  <c r="V3601" i="1"/>
  <c r="W3605" i="1"/>
  <c r="V3605" i="1"/>
  <c r="W3608" i="1"/>
  <c r="V3608" i="1"/>
  <c r="W3612" i="1"/>
  <c r="V3612" i="1"/>
  <c r="W3619" i="1"/>
  <c r="V3619" i="1"/>
  <c r="W3622" i="1"/>
  <c r="V3622" i="1"/>
  <c r="W3626" i="1"/>
  <c r="V3626" i="1"/>
  <c r="W3630" i="1"/>
  <c r="V3630" i="1"/>
  <c r="W3633" i="1"/>
  <c r="V3633" i="1"/>
  <c r="W3637" i="1"/>
  <c r="V3637" i="1"/>
  <c r="W3640" i="1"/>
  <c r="V3640" i="1"/>
  <c r="W3644" i="1"/>
  <c r="V3644" i="1"/>
  <c r="W3648" i="1"/>
  <c r="V3648" i="1"/>
  <c r="W3652" i="1"/>
  <c r="V3652" i="1"/>
  <c r="W3656" i="1"/>
  <c r="V3656" i="1"/>
  <c r="W3660" i="1"/>
  <c r="V3660" i="1"/>
  <c r="W3663" i="1"/>
  <c r="V3663" i="1"/>
  <c r="W3667" i="1"/>
  <c r="V3667" i="1"/>
  <c r="W3670" i="1"/>
  <c r="V3670" i="1"/>
  <c r="W3674" i="1"/>
  <c r="V3674" i="1"/>
  <c r="W3678" i="1"/>
  <c r="V3678" i="1"/>
  <c r="W3682" i="1"/>
  <c r="V3682" i="1"/>
  <c r="W3686" i="1"/>
  <c r="V3686" i="1"/>
  <c r="W3690" i="1"/>
  <c r="V3690" i="1"/>
  <c r="W3697" i="1"/>
  <c r="V3697" i="1"/>
  <c r="W3701" i="1"/>
  <c r="V3701" i="1"/>
  <c r="W3704" i="1"/>
  <c r="V3704" i="1"/>
  <c r="W3708" i="1"/>
  <c r="V3708" i="1"/>
  <c r="W3711" i="1"/>
  <c r="V3711" i="1"/>
  <c r="W3714" i="1"/>
  <c r="V3714" i="1"/>
  <c r="W3718" i="1"/>
  <c r="V3718" i="1"/>
  <c r="W3721" i="1"/>
  <c r="V3721" i="1"/>
  <c r="W3725" i="1"/>
  <c r="V3725" i="1"/>
  <c r="W3731" i="1"/>
  <c r="V3731" i="1"/>
  <c r="W3735" i="1"/>
  <c r="V3735" i="1"/>
  <c r="W3738" i="1"/>
  <c r="V3738" i="1"/>
  <c r="W3744" i="1"/>
  <c r="V3744" i="1"/>
  <c r="W3748" i="1"/>
  <c r="V3748" i="1"/>
  <c r="W3755" i="1"/>
  <c r="V3755" i="1"/>
  <c r="W3758" i="1"/>
  <c r="V3758" i="1"/>
  <c r="W3761" i="1"/>
  <c r="V3761" i="1"/>
  <c r="W3765" i="1"/>
  <c r="V3765" i="1"/>
  <c r="W3768" i="1"/>
  <c r="V3768" i="1"/>
  <c r="W3772" i="1"/>
  <c r="V3772" i="1"/>
  <c r="W3775" i="1"/>
  <c r="V3775" i="1"/>
  <c r="W3778" i="1"/>
  <c r="V3778" i="1"/>
  <c r="W3782" i="1"/>
  <c r="V3782" i="1"/>
  <c r="W3785" i="1"/>
  <c r="V3785" i="1"/>
  <c r="W3789" i="1"/>
  <c r="V3789" i="1"/>
  <c r="W3795" i="1"/>
  <c r="V3795" i="1"/>
  <c r="W3799" i="1"/>
  <c r="V3799" i="1"/>
  <c r="W3802" i="1"/>
  <c r="V3802" i="1"/>
  <c r="W3808" i="1"/>
  <c r="V3808" i="1"/>
  <c r="W3812" i="1"/>
  <c r="V3812" i="1"/>
  <c r="W3819" i="1"/>
  <c r="V3819" i="1"/>
  <c r="W3822" i="1"/>
  <c r="V3822" i="1"/>
  <c r="W3825" i="1"/>
  <c r="V3825" i="1"/>
  <c r="W3829" i="1"/>
  <c r="V3829" i="1"/>
  <c r="W3832" i="1"/>
  <c r="V3832" i="1"/>
  <c r="W3836" i="1"/>
  <c r="V3836" i="1"/>
  <c r="W3839" i="1"/>
  <c r="V3839" i="1"/>
  <c r="W3842" i="1"/>
  <c r="V3842" i="1"/>
  <c r="W3846" i="1"/>
  <c r="V3846" i="1"/>
  <c r="W3849" i="1"/>
  <c r="V3849" i="1"/>
  <c r="W3853" i="1"/>
  <c r="V3853" i="1"/>
  <c r="W3859" i="1"/>
  <c r="V3859" i="1"/>
  <c r="W3863" i="1"/>
  <c r="V3863" i="1"/>
  <c r="W3866" i="1"/>
  <c r="V3866" i="1"/>
  <c r="W3872" i="1"/>
  <c r="V3872" i="1"/>
  <c r="W3876" i="1"/>
  <c r="V3876" i="1"/>
  <c r="W3883" i="1"/>
  <c r="V3883" i="1"/>
  <c r="W3886" i="1"/>
  <c r="V3886" i="1"/>
  <c r="W3889" i="1"/>
  <c r="V3889" i="1"/>
  <c r="W3893" i="1"/>
  <c r="V3893" i="1"/>
  <c r="W3896" i="1"/>
  <c r="V3896" i="1"/>
  <c r="W3900" i="1"/>
  <c r="V3900" i="1"/>
  <c r="W3903" i="1"/>
  <c r="V3903" i="1"/>
  <c r="W3906" i="1"/>
  <c r="V3906" i="1"/>
  <c r="W3910" i="1"/>
  <c r="V3910" i="1"/>
  <c r="W3913" i="1"/>
  <c r="V3913" i="1"/>
  <c r="W3917" i="1"/>
  <c r="V3917" i="1"/>
  <c r="W3923" i="1"/>
  <c r="V3923" i="1"/>
  <c r="W3927" i="1"/>
  <c r="V3927" i="1"/>
  <c r="W3930" i="1"/>
  <c r="V3930" i="1"/>
  <c r="W3936" i="1"/>
  <c r="V3936" i="1"/>
  <c r="W3940" i="1"/>
  <c r="V3940" i="1"/>
  <c r="W3947" i="1"/>
  <c r="V3947" i="1"/>
  <c r="W3950" i="1"/>
  <c r="V3950" i="1"/>
  <c r="W3953" i="1"/>
  <c r="V3953" i="1"/>
  <c r="W3957" i="1"/>
  <c r="V3957" i="1"/>
  <c r="W3960" i="1"/>
  <c r="V3960" i="1"/>
  <c r="W3964" i="1"/>
  <c r="V3964" i="1"/>
  <c r="W3967" i="1"/>
  <c r="V3967" i="1"/>
  <c r="W3970" i="1"/>
  <c r="V3970" i="1"/>
  <c r="W3974" i="1"/>
  <c r="V3974" i="1"/>
  <c r="W3977" i="1"/>
  <c r="V3977" i="1"/>
  <c r="W3981" i="1"/>
  <c r="V3981" i="1"/>
  <c r="W3987" i="1"/>
  <c r="V3987" i="1"/>
  <c r="W3991" i="1"/>
  <c r="V3991" i="1"/>
  <c r="W3994" i="1"/>
  <c r="V3994" i="1"/>
  <c r="W4000" i="1"/>
  <c r="V4000" i="1"/>
  <c r="W4004" i="1"/>
  <c r="V4004" i="1"/>
  <c r="W4011" i="1"/>
  <c r="V4011" i="1"/>
  <c r="W4014" i="1"/>
  <c r="V4014" i="1"/>
  <c r="W4017" i="1"/>
  <c r="V4017" i="1"/>
  <c r="W4021" i="1"/>
  <c r="V4021" i="1"/>
  <c r="W4024" i="1"/>
  <c r="V4024" i="1"/>
  <c r="W4028" i="1"/>
  <c r="V4028" i="1"/>
  <c r="W4031" i="1"/>
  <c r="V4031" i="1"/>
  <c r="W4034" i="1"/>
  <c r="V4034" i="1"/>
  <c r="W4038" i="1"/>
  <c r="V4038" i="1"/>
  <c r="W4041" i="1"/>
  <c r="V4041" i="1"/>
  <c r="W4045" i="1"/>
  <c r="V4045" i="1"/>
  <c r="W4051" i="1"/>
  <c r="V4051" i="1"/>
  <c r="W4055" i="1"/>
  <c r="V4055" i="1"/>
  <c r="W4058" i="1"/>
  <c r="V4058" i="1"/>
  <c r="W4064" i="1"/>
  <c r="V4064" i="1"/>
  <c r="W4068" i="1"/>
  <c r="V4068" i="1"/>
  <c r="W4075" i="1"/>
  <c r="V4075" i="1"/>
  <c r="W4078" i="1"/>
  <c r="V4078" i="1"/>
  <c r="W4081" i="1"/>
  <c r="V4081" i="1"/>
  <c r="W4085" i="1"/>
  <c r="V4085" i="1"/>
  <c r="W4088" i="1"/>
  <c r="V4088" i="1"/>
  <c r="W4092" i="1"/>
  <c r="V4092" i="1"/>
  <c r="W4095" i="1"/>
  <c r="V4095" i="1"/>
  <c r="W4098" i="1"/>
  <c r="V4098" i="1"/>
  <c r="W4102" i="1"/>
  <c r="V4102" i="1"/>
  <c r="W4105" i="1"/>
  <c r="V4105" i="1"/>
  <c r="W4109" i="1"/>
  <c r="V4109" i="1"/>
  <c r="W4115" i="1"/>
  <c r="V4115" i="1"/>
  <c r="W4119" i="1"/>
  <c r="V4119" i="1"/>
  <c r="W4122" i="1"/>
  <c r="V4122" i="1"/>
  <c r="W4128" i="1"/>
  <c r="V4128" i="1"/>
  <c r="W4132" i="1"/>
  <c r="V4132" i="1"/>
  <c r="W4139" i="1"/>
  <c r="V4139" i="1"/>
  <c r="W4142" i="1"/>
  <c r="V4142" i="1"/>
  <c r="W4145" i="1"/>
  <c r="V4145" i="1"/>
  <c r="W4149" i="1"/>
  <c r="V4149" i="1"/>
  <c r="W4152" i="1"/>
  <c r="V4152" i="1"/>
  <c r="W4156" i="1"/>
  <c r="V4156" i="1"/>
  <c r="W4159" i="1"/>
  <c r="V4159" i="1"/>
  <c r="W4162" i="1"/>
  <c r="V4162" i="1"/>
  <c r="W4166" i="1"/>
  <c r="V4166" i="1"/>
  <c r="W4169" i="1"/>
  <c r="V4169" i="1"/>
  <c r="W4173" i="1"/>
  <c r="V4173" i="1"/>
  <c r="W4179" i="1"/>
  <c r="V4179" i="1"/>
  <c r="W4183" i="1"/>
  <c r="V4183" i="1"/>
  <c r="W4186" i="1"/>
  <c r="V4186" i="1"/>
  <c r="W4192" i="1"/>
  <c r="V4192" i="1"/>
  <c r="W4196" i="1"/>
  <c r="V4196" i="1"/>
  <c r="W4203" i="1"/>
  <c r="V4203" i="1"/>
  <c r="W4206" i="1"/>
  <c r="V4206" i="1"/>
  <c r="W4209" i="1"/>
  <c r="V4209" i="1"/>
  <c r="W4213" i="1"/>
  <c r="V4213" i="1"/>
  <c r="W4216" i="1"/>
  <c r="V4216" i="1"/>
  <c r="W4220" i="1"/>
  <c r="V4220" i="1"/>
  <c r="W4223" i="1"/>
  <c r="V4223" i="1"/>
  <c r="W4226" i="1"/>
  <c r="V4226" i="1"/>
  <c r="W4230" i="1"/>
  <c r="V4230" i="1"/>
  <c r="W4233" i="1"/>
  <c r="V4233" i="1"/>
  <c r="W4237" i="1"/>
  <c r="V4237" i="1"/>
  <c r="W4243" i="1"/>
  <c r="V4243" i="1"/>
  <c r="W4247" i="1"/>
  <c r="V4247" i="1"/>
  <c r="W4250" i="1"/>
  <c r="V4250" i="1"/>
  <c r="W4256" i="1"/>
  <c r="V4256" i="1"/>
  <c r="W4260" i="1"/>
  <c r="V4260" i="1"/>
  <c r="W4267" i="1"/>
  <c r="V4267" i="1"/>
  <c r="W4270" i="1"/>
  <c r="V4270" i="1"/>
  <c r="W4273" i="1"/>
  <c r="V4273" i="1"/>
  <c r="W4277" i="1"/>
  <c r="V4277" i="1"/>
  <c r="W4280" i="1"/>
  <c r="V4280" i="1"/>
  <c r="W4284" i="1"/>
  <c r="V4284" i="1"/>
  <c r="W4287" i="1"/>
  <c r="V4287" i="1"/>
  <c r="W4290" i="1"/>
  <c r="V4290" i="1"/>
  <c r="W4294" i="1"/>
  <c r="V4294" i="1"/>
  <c r="W4297" i="1"/>
  <c r="V4297" i="1"/>
  <c r="W4301" i="1"/>
  <c r="V4301" i="1"/>
  <c r="W4307" i="1"/>
  <c r="V4307" i="1"/>
  <c r="W4311" i="1"/>
  <c r="V4311" i="1"/>
  <c r="W4314" i="1"/>
  <c r="V4314" i="1"/>
  <c r="W4320" i="1"/>
  <c r="V4320" i="1"/>
  <c r="W4324" i="1"/>
  <c r="V4324" i="1"/>
  <c r="W4331" i="1"/>
  <c r="V4331" i="1"/>
  <c r="W4334" i="1"/>
  <c r="V4334" i="1"/>
  <c r="W4337" i="1"/>
  <c r="V4337" i="1"/>
  <c r="W4341" i="1"/>
  <c r="V4341" i="1"/>
  <c r="W4344" i="1"/>
  <c r="V4344" i="1"/>
  <c r="W4348" i="1"/>
  <c r="V4348" i="1"/>
  <c r="W4351" i="1"/>
  <c r="V4351" i="1"/>
  <c r="W4354" i="1"/>
  <c r="V4354" i="1"/>
  <c r="W4358" i="1"/>
  <c r="V4358" i="1"/>
  <c r="W4361" i="1"/>
  <c r="V4361" i="1"/>
  <c r="W4365" i="1"/>
  <c r="V4365" i="1"/>
  <c r="W4371" i="1"/>
  <c r="V4371" i="1"/>
  <c r="W4375" i="1"/>
  <c r="V4375" i="1"/>
  <c r="W4378" i="1"/>
  <c r="V4378" i="1"/>
  <c r="W4385" i="1"/>
  <c r="V4385" i="1"/>
  <c r="W4389" i="1"/>
  <c r="V4389" i="1"/>
  <c r="W4392" i="1"/>
  <c r="V4392" i="1"/>
  <c r="W4396" i="1"/>
  <c r="V4396" i="1"/>
  <c r="W4399" i="1"/>
  <c r="V4399" i="1"/>
  <c r="W4403" i="1"/>
  <c r="V4403" i="1"/>
  <c r="W4407" i="1"/>
  <c r="V4407" i="1"/>
  <c r="W4410" i="1"/>
  <c r="V4410" i="1"/>
  <c r="W4417" i="1"/>
  <c r="V4417" i="1"/>
  <c r="W4421" i="1"/>
  <c r="V4421" i="1"/>
  <c r="W4424" i="1"/>
  <c r="V4424" i="1"/>
  <c r="W4428" i="1"/>
  <c r="V4428" i="1"/>
  <c r="W4431" i="1"/>
  <c r="V4431" i="1"/>
  <c r="W4435" i="1"/>
  <c r="V4435" i="1"/>
  <c r="W4439" i="1"/>
  <c r="V4439" i="1"/>
  <c r="W4442" i="1"/>
  <c r="V4442" i="1"/>
  <c r="W4448" i="1"/>
  <c r="V4448" i="1"/>
  <c r="W4452" i="1"/>
  <c r="V4452" i="1"/>
  <c r="W4459" i="1"/>
  <c r="V4459" i="1"/>
  <c r="W4462" i="1"/>
  <c r="V4462" i="1"/>
  <c r="W4465" i="1"/>
  <c r="V4465" i="1"/>
  <c r="W4469" i="1"/>
  <c r="V4469" i="1"/>
  <c r="W4472" i="1"/>
  <c r="V4472" i="1"/>
  <c r="W4476" i="1"/>
  <c r="V4476" i="1"/>
  <c r="W4479" i="1"/>
  <c r="V4479" i="1"/>
  <c r="W4483" i="1"/>
  <c r="V4483" i="1"/>
  <c r="W4487" i="1"/>
  <c r="V4487" i="1"/>
  <c r="W4490" i="1"/>
  <c r="V4490" i="1"/>
  <c r="W4496" i="1"/>
  <c r="V4496" i="1"/>
  <c r="W4500" i="1"/>
  <c r="V4500" i="1"/>
  <c r="W4507" i="1"/>
  <c r="V4507" i="1"/>
  <c r="W4510" i="1"/>
  <c r="V4510" i="1"/>
  <c r="W4513" i="1"/>
  <c r="V4513" i="1"/>
  <c r="W4517" i="1"/>
  <c r="V4517" i="1"/>
  <c r="W4520" i="1"/>
  <c r="V4520" i="1"/>
  <c r="W4524" i="1"/>
  <c r="V4524" i="1"/>
  <c r="W4527" i="1"/>
  <c r="V4527" i="1"/>
  <c r="W4530" i="1"/>
  <c r="V4530" i="1"/>
  <c r="W4534" i="1"/>
  <c r="V4534" i="1"/>
  <c r="W4537" i="1"/>
  <c r="V4537" i="1"/>
  <c r="W4541" i="1"/>
  <c r="V4541" i="1"/>
  <c r="W4547" i="1"/>
  <c r="V4547" i="1"/>
  <c r="W4551" i="1"/>
  <c r="V4551" i="1"/>
  <c r="W4554" i="1"/>
  <c r="V4554" i="1"/>
  <c r="W4561" i="1"/>
  <c r="V4561" i="1"/>
  <c r="W4565" i="1"/>
  <c r="V4565" i="1"/>
  <c r="W4568" i="1"/>
  <c r="V4568" i="1"/>
  <c r="W4572" i="1"/>
  <c r="V4572" i="1"/>
  <c r="W4575" i="1"/>
  <c r="V4575" i="1"/>
  <c r="W4579" i="1"/>
  <c r="V4579" i="1"/>
  <c r="W4583" i="1"/>
  <c r="V4583" i="1"/>
  <c r="W4586" i="1"/>
  <c r="V4586" i="1"/>
  <c r="W4593" i="1"/>
  <c r="V4593" i="1"/>
  <c r="W4597" i="1"/>
  <c r="V4597" i="1"/>
  <c r="W4600" i="1"/>
  <c r="V4600" i="1"/>
  <c r="W4604" i="1"/>
  <c r="V4604" i="1"/>
  <c r="W4607" i="1"/>
  <c r="V4607" i="1"/>
  <c r="W4611" i="1"/>
  <c r="V4611" i="1"/>
  <c r="W4615" i="1"/>
  <c r="V4615" i="1"/>
  <c r="W4618" i="1"/>
  <c r="V4618" i="1"/>
  <c r="W4625" i="1"/>
  <c r="V4625" i="1"/>
  <c r="W4629" i="1"/>
  <c r="V4629" i="1"/>
  <c r="W4632" i="1"/>
  <c r="V4632" i="1"/>
  <c r="W4636" i="1"/>
  <c r="V4636" i="1"/>
  <c r="W4639" i="1"/>
  <c r="V4639" i="1"/>
  <c r="W4643" i="1"/>
  <c r="V4643" i="1"/>
  <c r="W4647" i="1"/>
  <c r="V4647" i="1"/>
  <c r="W4650" i="1"/>
  <c r="V4650" i="1"/>
  <c r="W4656" i="1"/>
  <c r="V4656" i="1"/>
  <c r="W4660" i="1"/>
  <c r="V4660" i="1"/>
  <c r="W4667" i="1"/>
  <c r="V4667" i="1"/>
  <c r="W4670" i="1"/>
  <c r="V4670" i="1"/>
  <c r="W4673" i="1"/>
  <c r="V4673" i="1"/>
  <c r="W4677" i="1"/>
  <c r="V4677" i="1"/>
  <c r="W4680" i="1"/>
  <c r="V4680" i="1"/>
  <c r="W4684" i="1"/>
  <c r="V4684" i="1"/>
  <c r="W4687" i="1"/>
  <c r="V4687" i="1"/>
  <c r="W4690" i="1"/>
  <c r="V4690" i="1"/>
  <c r="W4694" i="1"/>
  <c r="V4694" i="1"/>
  <c r="W4697" i="1"/>
  <c r="V4697" i="1"/>
  <c r="W4701" i="1"/>
  <c r="V4701" i="1"/>
  <c r="W4707" i="1"/>
  <c r="V4707" i="1"/>
  <c r="W4711" i="1"/>
  <c r="V4711" i="1"/>
  <c r="W4714" i="1"/>
  <c r="V4714" i="1"/>
  <c r="W4720" i="1"/>
  <c r="V4720" i="1"/>
  <c r="W4724" i="1"/>
  <c r="V4724" i="1"/>
  <c r="W4731" i="1"/>
  <c r="V4731" i="1"/>
  <c r="W4734" i="1"/>
  <c r="V4734" i="1"/>
  <c r="W4737" i="1"/>
  <c r="V4737" i="1"/>
  <c r="W4741" i="1"/>
  <c r="V4741" i="1"/>
  <c r="W4745" i="1"/>
  <c r="V4745" i="1"/>
  <c r="W4749" i="1"/>
  <c r="V4749" i="1"/>
  <c r="W4752" i="1"/>
  <c r="V4752" i="1"/>
  <c r="W4756" i="1"/>
  <c r="V4756" i="1"/>
  <c r="W4759" i="1"/>
  <c r="V4759" i="1"/>
  <c r="W4762" i="1"/>
  <c r="V4762" i="1"/>
  <c r="W4766" i="1"/>
  <c r="V4766" i="1"/>
  <c r="W4770" i="1"/>
  <c r="V4770" i="1"/>
  <c r="W4776" i="1"/>
  <c r="V4776" i="1"/>
  <c r="W4780" i="1"/>
  <c r="V4780" i="1"/>
  <c r="W4784" i="1"/>
  <c r="V4784" i="1"/>
  <c r="W4788" i="1"/>
  <c r="V4788" i="1"/>
  <c r="W4791" i="1"/>
  <c r="V4791" i="1"/>
  <c r="W4794" i="1"/>
  <c r="V4794" i="1"/>
  <c r="W4798" i="1"/>
  <c r="V4798" i="1"/>
  <c r="W4802" i="1"/>
  <c r="V4802" i="1"/>
  <c r="W4808" i="1"/>
  <c r="V4808" i="1"/>
  <c r="W4812" i="1"/>
  <c r="V4812" i="1"/>
  <c r="W4816" i="1"/>
  <c r="V4816" i="1"/>
  <c r="W4820" i="1"/>
  <c r="V4820" i="1"/>
  <c r="W4823" i="1"/>
  <c r="V4823" i="1"/>
  <c r="W4826" i="1"/>
  <c r="V4826" i="1"/>
  <c r="W4830" i="1"/>
  <c r="V4830" i="1"/>
  <c r="W4834" i="1"/>
  <c r="V4834" i="1"/>
  <c r="W4840" i="1"/>
  <c r="V4840" i="1"/>
  <c r="W4844" i="1"/>
  <c r="V4844" i="1"/>
  <c r="W4847" i="1"/>
  <c r="V4847" i="1"/>
  <c r="W4851" i="1"/>
  <c r="V4851" i="1"/>
  <c r="W4854" i="1"/>
  <c r="V4854" i="1"/>
  <c r="W4857" i="1"/>
  <c r="V4857" i="1"/>
  <c r="W4861" i="1"/>
  <c r="V4861" i="1"/>
  <c r="W4864" i="1"/>
  <c r="V4864" i="1"/>
  <c r="W4868" i="1"/>
  <c r="V4868" i="1"/>
  <c r="W4871" i="1"/>
  <c r="V4871" i="1"/>
  <c r="W4874" i="1"/>
  <c r="V4874" i="1"/>
  <c r="W4878" i="1"/>
  <c r="V4878" i="1"/>
  <c r="W4882" i="1"/>
  <c r="V4882" i="1"/>
  <c r="W4888" i="1"/>
  <c r="V4888" i="1"/>
  <c r="W4892" i="1"/>
  <c r="V4892" i="1"/>
  <c r="W4896" i="1"/>
  <c r="V4896" i="1"/>
  <c r="W4900" i="1"/>
  <c r="V4900" i="1"/>
  <c r="W4903" i="1"/>
  <c r="V4903" i="1"/>
  <c r="W4906" i="1"/>
  <c r="V4906" i="1"/>
  <c r="W4910" i="1"/>
  <c r="V4910" i="1"/>
  <c r="W4914" i="1"/>
  <c r="V4914" i="1"/>
  <c r="W4920" i="1"/>
  <c r="V4920" i="1"/>
  <c r="W4924" i="1"/>
  <c r="V4924" i="1"/>
  <c r="W4928" i="1"/>
  <c r="V4928" i="1"/>
  <c r="W4932" i="1"/>
  <c r="V4932" i="1"/>
  <c r="W4935" i="1"/>
  <c r="V4935" i="1"/>
  <c r="W4938" i="1"/>
  <c r="V4938" i="1"/>
  <c r="W4942" i="1"/>
  <c r="V4942" i="1"/>
  <c r="W4946" i="1"/>
  <c r="V4946" i="1"/>
  <c r="W4952" i="1"/>
  <c r="V4952" i="1"/>
  <c r="W4956" i="1"/>
  <c r="V4956" i="1"/>
  <c r="W4960" i="1"/>
  <c r="V4960" i="1"/>
  <c r="W4964" i="1"/>
  <c r="V4964" i="1"/>
  <c r="W4967" i="1"/>
  <c r="V4967" i="1"/>
  <c r="W4970" i="1"/>
  <c r="V4970" i="1"/>
  <c r="W4974" i="1"/>
  <c r="V4974" i="1"/>
  <c r="W4978" i="1"/>
  <c r="V4978" i="1"/>
  <c r="W4984" i="1"/>
  <c r="V4984" i="1"/>
  <c r="W4988" i="1"/>
  <c r="V4988" i="1"/>
  <c r="W4992" i="1"/>
  <c r="V4992" i="1"/>
  <c r="W4996" i="1"/>
  <c r="V4996" i="1"/>
  <c r="W4999" i="1"/>
  <c r="V4999" i="1"/>
  <c r="W5002" i="1"/>
  <c r="V5002" i="1"/>
  <c r="W5006" i="1"/>
  <c r="V5006" i="1"/>
  <c r="W5010" i="1"/>
  <c r="V5010" i="1"/>
  <c r="W5016" i="1"/>
  <c r="V5016" i="1"/>
  <c r="W5020" i="1"/>
  <c r="V5020" i="1"/>
  <c r="W5024" i="1"/>
  <c r="V5024" i="1"/>
  <c r="W5028" i="1"/>
  <c r="V5028" i="1"/>
  <c r="W5031" i="1"/>
  <c r="V5031" i="1"/>
  <c r="W5034" i="1"/>
  <c r="V5034" i="1"/>
  <c r="W5038" i="1"/>
  <c r="V5038" i="1"/>
  <c r="W5042" i="1"/>
  <c r="V5042" i="1"/>
  <c r="W5048" i="1"/>
  <c r="V5048" i="1"/>
  <c r="W5052" i="1"/>
  <c r="V5052" i="1"/>
  <c r="W5056" i="1"/>
  <c r="V5056" i="1"/>
  <c r="W5060" i="1"/>
  <c r="V5060" i="1"/>
  <c r="W5063" i="1"/>
  <c r="V5063" i="1"/>
  <c r="W5066" i="1"/>
  <c r="V5066" i="1"/>
  <c r="W5070" i="1"/>
  <c r="V5070" i="1"/>
  <c r="W5074" i="1"/>
  <c r="V5074" i="1"/>
  <c r="W5081" i="1"/>
  <c r="V5081" i="1"/>
  <c r="W5085" i="1"/>
  <c r="V5085" i="1"/>
  <c r="W5089" i="1"/>
  <c r="V5089" i="1"/>
  <c r="W5093" i="1"/>
  <c r="V5093" i="1"/>
  <c r="W5097" i="1"/>
  <c r="V5097" i="1"/>
  <c r="W5101" i="1"/>
  <c r="V5101" i="1"/>
  <c r="W5104" i="1"/>
  <c r="V5104" i="1"/>
  <c r="W5108" i="1"/>
  <c r="V5108" i="1"/>
  <c r="W5111" i="1"/>
  <c r="V5111" i="1"/>
  <c r="W5115" i="1"/>
  <c r="V5115" i="1"/>
  <c r="W5119" i="1"/>
  <c r="V5119" i="1"/>
  <c r="W5123" i="1"/>
  <c r="V5123" i="1"/>
  <c r="W5127" i="1"/>
  <c r="V5127" i="1"/>
  <c r="W5131" i="1"/>
  <c r="V5131" i="1"/>
  <c r="W5134" i="1"/>
  <c r="V5134" i="1"/>
  <c r="W5138" i="1"/>
  <c r="V5138" i="1"/>
  <c r="W5145" i="1"/>
  <c r="V5145" i="1"/>
  <c r="W5149" i="1"/>
  <c r="V5149" i="1"/>
  <c r="W5153" i="1"/>
  <c r="V5153" i="1"/>
  <c r="W5157" i="1"/>
  <c r="V5157" i="1"/>
  <c r="W5161" i="1"/>
  <c r="V5161" i="1"/>
  <c r="W5165" i="1"/>
  <c r="V5165" i="1"/>
  <c r="W5168" i="1"/>
  <c r="V5168" i="1"/>
  <c r="W5172" i="1"/>
  <c r="V5172" i="1"/>
  <c r="W5175" i="1"/>
  <c r="V5175" i="1"/>
  <c r="W5179" i="1"/>
  <c r="V5179" i="1"/>
  <c r="W5183" i="1"/>
  <c r="V5183" i="1"/>
  <c r="W5187" i="1"/>
  <c r="V5187" i="1"/>
  <c r="W5191" i="1"/>
  <c r="V5191" i="1"/>
  <c r="W5195" i="1"/>
  <c r="V5195" i="1"/>
  <c r="W5198" i="1"/>
  <c r="V5198" i="1"/>
  <c r="W5202" i="1"/>
  <c r="V5202" i="1"/>
  <c r="W5209" i="1"/>
  <c r="V5209" i="1"/>
  <c r="W5213" i="1"/>
  <c r="V5213" i="1"/>
  <c r="W5217" i="1"/>
  <c r="V5217" i="1"/>
  <c r="W5221" i="1"/>
  <c r="V5221" i="1"/>
  <c r="W5225" i="1"/>
  <c r="V5225" i="1"/>
  <c r="W5229" i="1"/>
  <c r="V5229" i="1"/>
  <c r="W5233" i="1"/>
  <c r="V5233" i="1"/>
  <c r="W5237" i="1"/>
  <c r="V5237" i="1"/>
  <c r="W5241" i="1"/>
  <c r="V5241" i="1"/>
  <c r="W5245" i="1"/>
  <c r="V5245" i="1"/>
  <c r="W5248" i="1"/>
  <c r="V5248" i="1"/>
  <c r="W5252" i="1"/>
  <c r="V5252" i="1"/>
  <c r="W5255" i="1"/>
  <c r="V5255" i="1"/>
  <c r="W5259" i="1"/>
  <c r="V5259" i="1"/>
  <c r="W5263" i="1"/>
  <c r="V5263" i="1"/>
  <c r="W5267" i="1"/>
  <c r="V5267" i="1"/>
  <c r="W5271" i="1"/>
  <c r="V5271" i="1"/>
  <c r="W5275" i="1"/>
  <c r="V5275" i="1"/>
  <c r="W5278" i="1"/>
  <c r="V5278" i="1"/>
  <c r="W5282" i="1"/>
  <c r="V5282" i="1"/>
  <c r="W5286" i="1"/>
  <c r="V5286" i="1"/>
  <c r="W5289" i="1"/>
  <c r="V5289" i="1"/>
  <c r="W5292" i="1"/>
  <c r="V5292" i="1"/>
  <c r="W5296" i="1"/>
  <c r="V5296" i="1"/>
  <c r="W5299" i="1"/>
  <c r="V5299" i="1"/>
  <c r="W5303" i="1"/>
  <c r="V5303" i="1"/>
  <c r="W5309" i="1"/>
  <c r="V5309" i="1"/>
  <c r="W5313" i="1"/>
  <c r="V5313" i="1"/>
  <c r="W5316" i="1"/>
  <c r="V5316" i="1"/>
  <c r="W5322" i="1"/>
  <c r="V5322" i="1"/>
  <c r="W5326" i="1"/>
  <c r="V5326" i="1"/>
  <c r="W5333" i="1"/>
  <c r="V5333" i="1"/>
  <c r="W5336" i="1"/>
  <c r="V5336" i="1"/>
  <c r="W5339" i="1"/>
  <c r="V5339" i="1"/>
  <c r="W5342" i="1"/>
  <c r="V5342" i="1"/>
  <c r="W5345" i="1"/>
  <c r="V5345" i="1"/>
  <c r="W5348" i="1"/>
  <c r="V5348" i="1"/>
  <c r="W5352" i="1"/>
  <c r="V5352" i="1"/>
  <c r="W5355" i="1"/>
  <c r="V5355" i="1"/>
  <c r="W5359" i="1"/>
  <c r="V5359" i="1"/>
  <c r="W5362" i="1"/>
  <c r="V5362" i="1"/>
  <c r="W5366" i="1"/>
  <c r="V5366" i="1"/>
  <c r="W5373" i="1"/>
  <c r="V5373" i="1"/>
  <c r="W5377" i="1"/>
  <c r="V5377" i="1"/>
  <c r="W5380" i="1"/>
  <c r="V5380" i="1"/>
  <c r="W5384" i="1"/>
  <c r="V5384" i="1"/>
  <c r="W5387" i="1"/>
  <c r="V5387" i="1"/>
  <c r="W5391" i="1"/>
  <c r="V5391" i="1"/>
  <c r="W5394" i="1"/>
  <c r="V5394" i="1"/>
  <c r="W5398" i="1"/>
  <c r="V5398" i="1"/>
  <c r="W5405" i="1"/>
  <c r="V5405" i="1"/>
  <c r="W5409" i="1"/>
  <c r="V5409" i="1"/>
  <c r="W5412" i="1"/>
  <c r="V5412" i="1"/>
  <c r="W5416" i="1"/>
  <c r="V5416" i="1"/>
  <c r="W5419" i="1"/>
  <c r="V5419" i="1"/>
  <c r="W5423" i="1"/>
  <c r="V5423" i="1"/>
  <c r="W5426" i="1"/>
  <c r="V5426" i="1"/>
  <c r="W5430" i="1"/>
  <c r="V5430" i="1"/>
  <c r="W5437" i="1"/>
  <c r="V5437" i="1"/>
  <c r="W5441" i="1"/>
  <c r="V5441" i="1"/>
  <c r="W5444" i="1"/>
  <c r="V5444" i="1"/>
  <c r="W5448" i="1"/>
  <c r="V5448" i="1"/>
  <c r="W5451" i="1"/>
  <c r="V5451" i="1"/>
  <c r="W5455" i="1"/>
  <c r="V5455" i="1"/>
  <c r="W5458" i="1"/>
  <c r="V5458" i="1"/>
  <c r="W5462" i="1"/>
  <c r="V5462" i="1"/>
  <c r="W5469" i="1"/>
  <c r="V5469" i="1"/>
  <c r="W5473" i="1"/>
  <c r="V5473" i="1"/>
  <c r="W5476" i="1"/>
  <c r="V5476" i="1"/>
  <c r="W5480" i="1"/>
  <c r="V5480" i="1"/>
  <c r="W5483" i="1"/>
  <c r="V5483" i="1"/>
  <c r="W5487" i="1"/>
  <c r="V5487" i="1"/>
  <c r="W5490" i="1"/>
  <c r="V5490" i="1"/>
  <c r="W5494" i="1"/>
  <c r="V5494" i="1"/>
  <c r="W5501" i="1"/>
  <c r="V5501" i="1"/>
  <c r="W5505" i="1"/>
  <c r="V5505" i="1"/>
  <c r="W5508" i="1"/>
  <c r="V5508" i="1"/>
  <c r="W5512" i="1"/>
  <c r="V5512" i="1"/>
  <c r="W5515" i="1"/>
  <c r="V5515" i="1"/>
  <c r="W5519" i="1"/>
  <c r="V5519" i="1"/>
  <c r="W5522" i="1"/>
  <c r="V5522" i="1"/>
  <c r="W5526" i="1"/>
  <c r="V5526" i="1"/>
  <c r="W5533" i="1"/>
  <c r="V5533" i="1"/>
  <c r="W5537" i="1"/>
  <c r="V5537" i="1"/>
  <c r="W5540" i="1"/>
  <c r="V5540" i="1"/>
  <c r="W5544" i="1"/>
  <c r="V5544" i="1"/>
  <c r="W5547" i="1"/>
  <c r="V5547" i="1"/>
  <c r="W5551" i="1"/>
  <c r="V5551" i="1"/>
  <c r="W5554" i="1"/>
  <c r="V5554" i="1"/>
  <c r="W5558" i="1"/>
  <c r="V5558" i="1"/>
  <c r="W5565" i="1"/>
  <c r="V5565" i="1"/>
  <c r="W5569" i="1"/>
  <c r="V5569" i="1"/>
  <c r="W5572" i="1"/>
  <c r="V5572" i="1"/>
  <c r="W5576" i="1"/>
  <c r="V5576" i="1"/>
  <c r="W5579" i="1"/>
  <c r="V5579" i="1"/>
  <c r="W5583" i="1"/>
  <c r="V5583" i="1"/>
  <c r="W5586" i="1"/>
  <c r="V5586" i="1"/>
  <c r="W5590" i="1"/>
  <c r="V5590" i="1"/>
  <c r="W5597" i="1"/>
  <c r="V5597" i="1"/>
  <c r="W5601" i="1"/>
  <c r="V5601" i="1"/>
  <c r="W5604" i="1"/>
  <c r="V5604" i="1"/>
  <c r="W5608" i="1"/>
  <c r="V5608" i="1"/>
  <c r="W5611" i="1"/>
  <c r="V5611" i="1"/>
  <c r="W5615" i="1"/>
  <c r="V5615" i="1"/>
  <c r="W5618" i="1"/>
  <c r="V5618" i="1"/>
  <c r="W5622" i="1"/>
  <c r="V5622" i="1"/>
  <c r="W5629" i="1"/>
  <c r="V5629" i="1"/>
  <c r="W5633" i="1"/>
  <c r="V5633" i="1"/>
  <c r="W5636" i="1"/>
  <c r="V5636" i="1"/>
  <c r="W5640" i="1"/>
  <c r="V5640" i="1"/>
  <c r="W5643" i="1"/>
  <c r="V5643" i="1"/>
  <c r="W5647" i="1"/>
  <c r="V5647" i="1"/>
  <c r="W5650" i="1"/>
  <c r="V5650" i="1"/>
  <c r="W5654" i="1"/>
  <c r="V5654" i="1"/>
  <c r="W5661" i="1"/>
  <c r="V5661" i="1"/>
  <c r="W5665" i="1"/>
  <c r="V5665" i="1"/>
  <c r="W5668" i="1"/>
  <c r="V5668" i="1"/>
  <c r="W5672" i="1"/>
  <c r="V5672" i="1"/>
  <c r="W5675" i="1"/>
  <c r="V5675" i="1"/>
  <c r="W5679" i="1"/>
  <c r="V5679" i="1"/>
  <c r="W5682" i="1"/>
  <c r="V5682" i="1"/>
  <c r="W5685" i="1"/>
  <c r="V5685" i="1"/>
  <c r="W5689" i="1"/>
  <c r="V5689" i="1"/>
  <c r="W5692" i="1"/>
  <c r="V5692" i="1"/>
  <c r="W5696" i="1"/>
  <c r="V5696" i="1"/>
  <c r="W5699" i="1"/>
  <c r="V5699" i="1"/>
  <c r="W5703" i="1"/>
  <c r="V5703" i="1"/>
  <c r="W5706" i="1"/>
  <c r="V5706" i="1"/>
  <c r="W5710" i="1"/>
  <c r="V5710" i="1"/>
  <c r="W5717" i="1"/>
  <c r="V5717" i="1"/>
  <c r="W5721" i="1"/>
  <c r="V5721" i="1"/>
  <c r="W5724" i="1"/>
  <c r="V5724" i="1"/>
  <c r="W5728" i="1"/>
  <c r="V5728" i="1"/>
  <c r="W5731" i="1"/>
  <c r="V5731" i="1"/>
  <c r="W5735" i="1"/>
  <c r="V5735" i="1"/>
  <c r="W5738" i="1"/>
  <c r="V5738" i="1"/>
  <c r="W5742" i="1"/>
  <c r="V5742" i="1"/>
  <c r="W5749" i="1"/>
  <c r="V5749" i="1"/>
  <c r="W5753" i="1"/>
  <c r="V5753" i="1"/>
  <c r="W5759" i="1"/>
  <c r="V5759" i="1"/>
  <c r="W5762" i="1"/>
  <c r="V5762" i="1"/>
  <c r="W5765" i="1"/>
  <c r="V5765" i="1"/>
  <c r="W5769" i="1"/>
  <c r="V5769" i="1"/>
  <c r="W5772" i="1"/>
  <c r="V5772" i="1"/>
  <c r="W5776" i="1"/>
  <c r="V5776" i="1"/>
  <c r="W5779" i="1"/>
  <c r="V5779" i="1"/>
  <c r="W5783" i="1"/>
  <c r="V5783" i="1"/>
  <c r="W5786" i="1"/>
  <c r="V5786" i="1"/>
  <c r="W5789" i="1"/>
  <c r="V5789" i="1"/>
  <c r="W5793" i="1"/>
  <c r="V5793" i="1"/>
  <c r="W5799" i="1"/>
  <c r="V5799" i="1"/>
  <c r="W5802" i="1"/>
  <c r="V5802" i="1"/>
  <c r="W5805" i="1"/>
  <c r="V5805" i="1"/>
  <c r="W5809" i="1"/>
  <c r="V5809" i="1"/>
  <c r="W5812" i="1"/>
  <c r="V5812" i="1"/>
  <c r="W5816" i="1"/>
  <c r="V5816" i="1"/>
  <c r="W5819" i="1"/>
  <c r="V5819" i="1"/>
  <c r="W5823" i="1"/>
  <c r="V5823" i="1"/>
  <c r="W5826" i="1"/>
  <c r="V5826" i="1"/>
  <c r="W5830" i="1"/>
  <c r="V5830" i="1"/>
  <c r="W5837" i="1"/>
  <c r="V5837" i="1"/>
  <c r="W5841" i="1"/>
  <c r="V5841" i="1"/>
  <c r="W5844" i="1"/>
  <c r="V5844" i="1"/>
  <c r="W5848" i="1"/>
  <c r="V5848" i="1"/>
  <c r="W5851" i="1"/>
  <c r="V5851" i="1"/>
  <c r="W5855" i="1"/>
  <c r="V5855" i="1"/>
  <c r="W5858" i="1"/>
  <c r="V5858" i="1"/>
  <c r="W5862" i="1"/>
  <c r="V5862" i="1"/>
  <c r="W5869" i="1"/>
  <c r="V5869" i="1"/>
  <c r="W5873" i="1"/>
  <c r="V5873" i="1"/>
  <c r="W5876" i="1"/>
  <c r="V5876" i="1"/>
  <c r="W5880" i="1"/>
  <c r="V5880" i="1"/>
  <c r="W5883" i="1"/>
  <c r="V5883" i="1"/>
  <c r="W5887" i="1"/>
  <c r="V5887" i="1"/>
  <c r="W5890" i="1"/>
  <c r="V5890" i="1"/>
  <c r="W5894" i="1"/>
  <c r="V5894" i="1"/>
  <c r="W5901" i="1"/>
  <c r="V5901" i="1"/>
  <c r="W5905" i="1"/>
  <c r="V5905" i="1"/>
  <c r="W5909" i="1"/>
  <c r="V5909" i="1"/>
  <c r="W5912" i="1"/>
  <c r="V5912" i="1"/>
  <c r="W5916" i="1"/>
  <c r="V5916" i="1"/>
  <c r="W5920" i="1"/>
  <c r="V5920" i="1"/>
  <c r="W5924" i="1"/>
  <c r="V5924" i="1"/>
  <c r="W5927" i="1"/>
  <c r="V5927" i="1"/>
  <c r="W5931" i="1"/>
  <c r="V5931" i="1"/>
  <c r="W5935" i="1"/>
  <c r="V5935" i="1"/>
  <c r="W5939" i="1"/>
  <c r="V5939" i="1"/>
  <c r="W5942" i="1"/>
  <c r="V5942" i="1"/>
  <c r="W5946" i="1"/>
  <c r="V5946" i="1"/>
  <c r="W5950" i="1"/>
  <c r="V5950" i="1"/>
  <c r="W5954" i="1"/>
  <c r="V5954" i="1"/>
  <c r="W5960" i="1"/>
  <c r="V5960" i="1"/>
  <c r="W5964" i="1"/>
  <c r="V5964" i="1"/>
  <c r="W5968" i="1"/>
  <c r="V5968" i="1"/>
  <c r="W5972" i="1"/>
  <c r="V5972" i="1"/>
  <c r="W5975" i="1"/>
  <c r="V5975" i="1"/>
  <c r="W5978" i="1"/>
  <c r="V5978" i="1"/>
  <c r="W5982" i="1"/>
  <c r="V5982" i="1"/>
  <c r="W5986" i="1"/>
  <c r="V5986" i="1"/>
  <c r="W5993" i="1"/>
  <c r="V5993" i="1"/>
  <c r="W5997" i="1"/>
  <c r="V5997" i="1"/>
  <c r="W6001" i="1"/>
  <c r="V6001" i="1"/>
  <c r="W6005" i="1"/>
  <c r="V6005" i="1"/>
  <c r="W6011" i="1"/>
  <c r="V6011" i="1"/>
  <c r="W6015" i="1"/>
  <c r="V6015" i="1"/>
  <c r="W6019" i="1"/>
  <c r="V6019" i="1"/>
  <c r="W6022" i="1"/>
  <c r="V6022" i="1"/>
  <c r="W6026" i="1"/>
  <c r="V6026" i="1"/>
  <c r="W6030" i="1"/>
  <c r="V6030" i="1"/>
  <c r="W6034" i="1"/>
  <c r="V6034" i="1"/>
  <c r="W6041" i="1"/>
  <c r="V6041" i="1"/>
  <c r="W6045" i="1"/>
  <c r="V6045" i="1"/>
  <c r="W6049" i="1"/>
  <c r="V6049" i="1"/>
  <c r="W6053" i="1"/>
  <c r="V6053" i="1"/>
  <c r="W6056" i="1"/>
  <c r="V6056" i="1"/>
  <c r="W6060" i="1"/>
  <c r="V6060" i="1"/>
  <c r="W6064" i="1"/>
  <c r="V6064" i="1"/>
  <c r="W6068" i="1"/>
  <c r="V6068" i="1"/>
  <c r="W6071" i="1"/>
  <c r="V6071" i="1"/>
  <c r="W6075" i="1"/>
  <c r="V6075" i="1"/>
  <c r="W6079" i="1"/>
  <c r="V6079" i="1"/>
  <c r="W6083" i="1"/>
  <c r="V6083" i="1"/>
  <c r="W6086" i="1"/>
  <c r="V6086" i="1"/>
  <c r="W6090" i="1"/>
  <c r="V6090" i="1"/>
  <c r="W6094" i="1"/>
  <c r="V6094" i="1"/>
  <c r="W6098" i="1"/>
  <c r="V6098" i="1"/>
  <c r="W6109" i="1"/>
  <c r="V6109" i="1"/>
  <c r="W6113" i="1"/>
  <c r="V6113" i="1"/>
  <c r="W6117" i="1"/>
  <c r="V6117" i="1"/>
  <c r="W6120" i="1"/>
  <c r="V6120" i="1"/>
  <c r="W6124" i="1"/>
  <c r="V6124" i="1"/>
  <c r="W6128" i="1"/>
  <c r="V6128" i="1"/>
  <c r="W6132" i="1"/>
  <c r="V6132" i="1"/>
  <c r="W6135" i="1"/>
  <c r="V6135" i="1"/>
  <c r="W6139" i="1"/>
  <c r="V6139" i="1"/>
  <c r="W6143" i="1"/>
  <c r="V6143" i="1"/>
  <c r="W6147" i="1"/>
  <c r="V6147" i="1"/>
  <c r="W6150" i="1"/>
  <c r="V6150" i="1"/>
  <c r="W6154" i="1"/>
  <c r="V6154" i="1"/>
  <c r="W6158" i="1"/>
  <c r="V6158" i="1"/>
  <c r="W6162" i="1"/>
  <c r="V6162" i="1"/>
  <c r="W6173" i="1"/>
  <c r="V6173" i="1"/>
  <c r="W6177" i="1"/>
  <c r="V6177" i="1"/>
  <c r="W6181" i="1"/>
  <c r="V6181" i="1"/>
  <c r="W6184" i="1"/>
  <c r="V6184" i="1"/>
  <c r="W6188" i="1"/>
  <c r="V6188" i="1"/>
  <c r="W6192" i="1"/>
  <c r="V6192" i="1"/>
  <c r="W6196" i="1"/>
  <c r="V6196" i="1"/>
  <c r="W6199" i="1"/>
  <c r="V6199" i="1"/>
  <c r="W6203" i="1"/>
  <c r="V6203" i="1"/>
  <c r="W6207" i="1"/>
  <c r="V6207" i="1"/>
  <c r="W6211" i="1"/>
  <c r="V6211" i="1"/>
  <c r="W6214" i="1"/>
  <c r="V6214" i="1"/>
  <c r="W6218" i="1"/>
  <c r="V6218" i="1"/>
  <c r="W6222" i="1"/>
  <c r="V6222" i="1"/>
  <c r="W6226" i="1"/>
  <c r="V6226" i="1"/>
  <c r="W6237" i="1"/>
  <c r="V6237" i="1"/>
  <c r="W6241" i="1"/>
  <c r="V6241" i="1"/>
  <c r="W6245" i="1"/>
  <c r="V6245" i="1"/>
  <c r="W6248" i="1"/>
  <c r="V6248" i="1"/>
  <c r="W6252" i="1"/>
  <c r="V6252" i="1"/>
  <c r="W6256" i="1"/>
  <c r="V6256" i="1"/>
  <c r="W6260" i="1"/>
  <c r="V6260" i="1"/>
  <c r="W6263" i="1"/>
  <c r="V6263" i="1"/>
  <c r="W6267" i="1"/>
  <c r="V6267" i="1"/>
  <c r="W6271" i="1"/>
  <c r="V6271" i="1"/>
  <c r="W6275" i="1"/>
  <c r="V6275" i="1"/>
  <c r="W6278" i="1"/>
  <c r="V6278" i="1"/>
  <c r="W6282" i="1"/>
  <c r="V6282" i="1"/>
  <c r="W6286" i="1"/>
  <c r="V6286" i="1"/>
  <c r="W6290" i="1"/>
  <c r="V6290" i="1"/>
  <c r="W6301" i="1"/>
  <c r="V6301" i="1"/>
  <c r="W6305" i="1"/>
  <c r="V6305" i="1"/>
  <c r="W6309" i="1"/>
  <c r="V6309" i="1"/>
  <c r="W6312" i="1"/>
  <c r="V6312" i="1"/>
  <c r="W6316" i="1"/>
  <c r="V6316" i="1"/>
  <c r="W6320" i="1"/>
  <c r="V6320" i="1"/>
  <c r="W6324" i="1"/>
  <c r="V6324" i="1"/>
  <c r="W6327" i="1"/>
  <c r="V6327" i="1"/>
  <c r="W6330" i="1"/>
  <c r="V6330" i="1"/>
  <c r="W6334" i="1"/>
  <c r="V6334" i="1"/>
  <c r="W6338" i="1"/>
  <c r="V6338" i="1"/>
  <c r="W6349" i="1"/>
  <c r="V6349" i="1"/>
  <c r="W6352" i="1"/>
  <c r="V6352" i="1"/>
  <c r="W6356" i="1"/>
  <c r="V6356" i="1"/>
  <c r="W6359" i="1"/>
  <c r="V6359" i="1"/>
  <c r="W6363" i="1"/>
  <c r="V6363" i="1"/>
  <c r="W6367" i="1"/>
  <c r="V6367" i="1"/>
  <c r="W6371" i="1"/>
  <c r="V6371" i="1"/>
  <c r="W6374" i="1"/>
  <c r="V6374" i="1"/>
  <c r="W6378" i="1"/>
  <c r="V6378" i="1"/>
  <c r="W6382" i="1"/>
  <c r="V6382" i="1"/>
  <c r="W6385" i="1"/>
  <c r="V6385" i="1"/>
  <c r="W6389" i="1"/>
  <c r="V6389" i="1"/>
  <c r="W6392" i="1"/>
  <c r="V6392" i="1"/>
  <c r="W6396" i="1"/>
  <c r="V6396" i="1"/>
  <c r="W6400" i="1"/>
  <c r="V6400" i="1"/>
  <c r="W6404" i="1"/>
  <c r="V6404" i="1"/>
  <c r="W6407" i="1"/>
  <c r="V6407" i="1"/>
  <c r="W6411" i="1"/>
  <c r="V6411" i="1"/>
  <c r="W6415" i="1"/>
  <c r="V6415" i="1"/>
  <c r="W6418" i="1"/>
  <c r="V6418" i="1"/>
  <c r="W6429" i="1"/>
  <c r="V6429" i="1"/>
  <c r="W6433" i="1"/>
  <c r="V6433" i="1"/>
  <c r="W6437" i="1"/>
  <c r="V6437" i="1"/>
  <c r="W6440" i="1"/>
  <c r="V6440" i="1"/>
  <c r="W6444" i="1"/>
  <c r="V6444" i="1"/>
  <c r="W6451" i="1"/>
  <c r="V6451" i="1"/>
  <c r="W6454" i="1"/>
  <c r="V6454" i="1"/>
  <c r="W6458" i="1"/>
  <c r="V6458" i="1"/>
  <c r="W6462" i="1"/>
  <c r="V6462" i="1"/>
  <c r="W6466" i="1"/>
  <c r="V6466" i="1"/>
  <c r="W6477" i="1"/>
  <c r="V6477" i="1"/>
  <c r="W6480" i="1"/>
  <c r="V6480" i="1"/>
  <c r="W6484" i="1"/>
  <c r="V6484" i="1"/>
  <c r="W6487" i="1"/>
  <c r="V6487" i="1"/>
  <c r="W6491" i="1"/>
  <c r="V6491" i="1"/>
  <c r="W6495" i="1"/>
  <c r="V6495" i="1"/>
  <c r="W6499" i="1"/>
  <c r="V6499" i="1"/>
  <c r="W6502" i="1"/>
  <c r="V6502" i="1"/>
  <c r="W6506" i="1"/>
  <c r="V6506" i="1"/>
  <c r="W6510" i="1"/>
  <c r="V6510" i="1"/>
  <c r="W6513" i="1"/>
  <c r="V6513" i="1"/>
  <c r="W6517" i="1"/>
  <c r="V6517" i="1"/>
  <c r="W6520" i="1"/>
  <c r="V6520" i="1"/>
  <c r="W6524" i="1"/>
  <c r="V6524" i="1"/>
  <c r="W6528" i="1"/>
  <c r="V6528" i="1"/>
  <c r="W6532" i="1"/>
  <c r="V6532" i="1"/>
  <c r="W6535" i="1"/>
  <c r="V6535" i="1"/>
  <c r="W6539" i="1"/>
  <c r="V6539" i="1"/>
  <c r="W6543" i="1"/>
  <c r="V6543" i="1"/>
  <c r="W6546" i="1"/>
  <c r="V6546" i="1"/>
  <c r="W6557" i="1"/>
  <c r="V6557" i="1"/>
  <c r="W6561" i="1"/>
  <c r="V6561" i="1"/>
  <c r="W6565" i="1"/>
  <c r="V6565" i="1"/>
  <c r="W6568" i="1"/>
  <c r="V6568" i="1"/>
  <c r="W6572" i="1"/>
  <c r="V6572" i="1"/>
  <c r="W6579" i="1"/>
  <c r="V6579" i="1"/>
  <c r="W6582" i="1"/>
  <c r="V6582" i="1"/>
  <c r="W6586" i="1"/>
  <c r="V6586" i="1"/>
  <c r="W6590" i="1"/>
  <c r="V6590" i="1"/>
  <c r="W6594" i="1"/>
  <c r="V6594" i="1"/>
  <c r="W6601" i="1"/>
  <c r="V6601" i="1"/>
  <c r="W6605" i="1"/>
  <c r="V6605" i="1"/>
  <c r="W6608" i="1"/>
  <c r="V6608" i="1"/>
  <c r="W6611" i="1"/>
  <c r="V6611" i="1"/>
  <c r="W6618" i="1"/>
  <c r="V6618" i="1"/>
  <c r="W6622" i="1"/>
  <c r="V6622" i="1"/>
  <c r="W6625" i="1"/>
  <c r="V6625" i="1"/>
  <c r="W6628" i="1"/>
  <c r="V6628" i="1"/>
  <c r="W6632" i="1"/>
  <c r="V6632" i="1"/>
  <c r="W6635" i="1"/>
  <c r="V6635" i="1"/>
  <c r="W6645" i="1"/>
  <c r="V6645" i="1"/>
  <c r="W6649" i="1"/>
  <c r="V6649" i="1"/>
  <c r="W6652" i="1"/>
  <c r="V6652" i="1"/>
  <c r="W6658" i="1"/>
  <c r="V6658" i="1"/>
  <c r="W6662" i="1"/>
  <c r="V6662" i="1"/>
  <c r="W6669" i="1"/>
  <c r="V6669" i="1"/>
  <c r="W6672" i="1"/>
  <c r="V6672" i="1"/>
  <c r="W6675" i="1"/>
  <c r="V6675" i="1"/>
  <c r="W6682" i="1"/>
  <c r="V6682" i="1"/>
  <c r="W6686" i="1"/>
  <c r="V6686" i="1"/>
  <c r="W6693" i="1"/>
  <c r="V6693" i="1"/>
  <c r="W6697" i="1"/>
  <c r="V6697" i="1"/>
  <c r="W6700" i="1"/>
  <c r="V6700" i="1"/>
  <c r="W6704" i="1"/>
  <c r="V6704" i="1"/>
  <c r="W6707" i="1"/>
  <c r="V6707" i="1"/>
  <c r="W6714" i="1"/>
  <c r="V6714" i="1"/>
  <c r="W6718" i="1"/>
  <c r="V6718" i="1"/>
  <c r="W6725" i="1"/>
  <c r="V6725" i="1"/>
  <c r="W6729" i="1"/>
  <c r="V6729" i="1"/>
  <c r="W6732" i="1"/>
  <c r="V6732" i="1"/>
  <c r="W6736" i="1"/>
  <c r="V6736" i="1"/>
  <c r="W6739" i="1"/>
  <c r="V6739" i="1"/>
  <c r="W6742" i="1"/>
  <c r="V6742" i="1"/>
  <c r="W6748" i="1"/>
  <c r="V6748" i="1"/>
  <c r="W6752" i="1"/>
  <c r="V6752" i="1"/>
  <c r="W6755" i="1"/>
  <c r="V6755" i="1"/>
  <c r="W6758" i="1"/>
  <c r="V6758" i="1"/>
  <c r="W6765" i="1"/>
  <c r="V6765" i="1"/>
  <c r="W6769" i="1"/>
  <c r="V6769" i="1"/>
  <c r="W6778" i="1"/>
  <c r="V6778" i="1"/>
  <c r="W6781" i="1"/>
  <c r="V6781" i="1"/>
  <c r="W6785" i="1"/>
  <c r="V6785" i="1"/>
  <c r="W6788" i="1"/>
  <c r="V6788" i="1"/>
  <c r="W6792" i="1"/>
  <c r="V6792" i="1"/>
  <c r="W6795" i="1"/>
  <c r="V6795" i="1"/>
  <c r="W6802" i="1"/>
  <c r="V6802" i="1"/>
  <c r="W6806" i="1"/>
  <c r="V6806" i="1"/>
  <c r="W6813" i="1"/>
  <c r="V6813" i="1"/>
  <c r="W6817" i="1"/>
  <c r="V6817" i="1"/>
  <c r="W6820" i="1"/>
  <c r="V6820" i="1"/>
  <c r="W6824" i="1"/>
  <c r="V6824" i="1"/>
  <c r="W6827" i="1"/>
  <c r="V6827" i="1"/>
  <c r="W6834" i="1"/>
  <c r="V6834" i="1"/>
  <c r="W6838" i="1"/>
  <c r="V6838" i="1"/>
  <c r="W6845" i="1"/>
  <c r="V6845" i="1"/>
  <c r="W6849" i="1"/>
  <c r="V6849" i="1"/>
  <c r="W6852" i="1"/>
  <c r="V6852" i="1"/>
  <c r="W6856" i="1"/>
  <c r="V6856" i="1"/>
  <c r="W6859" i="1"/>
  <c r="V6859" i="1"/>
  <c r="W6866" i="1"/>
  <c r="V6866" i="1"/>
  <c r="W6870" i="1"/>
  <c r="V6870" i="1"/>
  <c r="W6877" i="1"/>
  <c r="V6877" i="1"/>
  <c r="W6881" i="1"/>
  <c r="V6881" i="1"/>
  <c r="W6884" i="1"/>
  <c r="V6884" i="1"/>
  <c r="W6888" i="1"/>
  <c r="V6888" i="1"/>
  <c r="W6891" i="1"/>
  <c r="V6891" i="1"/>
  <c r="W6898" i="1"/>
  <c r="V6898" i="1"/>
  <c r="W6901" i="1"/>
  <c r="V6901" i="1"/>
  <c r="W6905" i="1"/>
  <c r="V6905" i="1"/>
  <c r="W6914" i="1"/>
  <c r="V6914" i="1"/>
  <c r="W6917" i="1"/>
  <c r="V6917" i="1"/>
  <c r="W6921" i="1"/>
  <c r="V6921" i="1"/>
  <c r="W6924" i="1"/>
  <c r="V6924" i="1"/>
  <c r="W6928" i="1"/>
  <c r="V6928" i="1"/>
  <c r="W6931" i="1"/>
  <c r="V6931" i="1"/>
  <c r="W6938" i="1"/>
  <c r="V6938" i="1"/>
  <c r="W6942" i="1"/>
  <c r="V6942" i="1"/>
  <c r="W6949" i="1"/>
  <c r="V6949" i="1"/>
  <c r="W6953" i="1"/>
  <c r="V6953" i="1"/>
  <c r="W6956" i="1"/>
  <c r="V6956" i="1"/>
  <c r="W6960" i="1"/>
  <c r="V6960" i="1"/>
  <c r="W6963" i="1"/>
  <c r="V6963" i="1"/>
  <c r="W6970" i="1"/>
  <c r="V6970" i="1"/>
  <c r="W6974" i="1"/>
  <c r="V6974" i="1"/>
  <c r="W6981" i="1"/>
  <c r="V6981" i="1"/>
  <c r="W6985" i="1"/>
  <c r="V6985" i="1"/>
  <c r="W6988" i="1"/>
  <c r="V6988" i="1"/>
  <c r="W6992" i="1"/>
  <c r="V6992" i="1"/>
  <c r="W6995" i="1"/>
  <c r="V6995" i="1"/>
  <c r="W7002" i="1"/>
  <c r="V7002" i="1"/>
  <c r="W7005" i="1"/>
  <c r="V7005" i="1"/>
  <c r="W7009" i="1"/>
  <c r="V7009" i="1"/>
  <c r="W7018" i="1"/>
  <c r="V7018" i="1"/>
  <c r="W7022" i="1"/>
  <c r="V7022" i="1"/>
  <c r="W7029" i="1"/>
  <c r="V7029" i="1"/>
  <c r="W7033" i="1"/>
  <c r="V7033" i="1"/>
  <c r="W7036" i="1"/>
  <c r="V7036" i="1"/>
  <c r="W7040" i="1"/>
  <c r="V7040" i="1"/>
  <c r="W7043" i="1"/>
  <c r="V7043" i="1"/>
  <c r="W7046" i="1"/>
  <c r="V7046" i="1"/>
  <c r="W7053" i="1"/>
  <c r="V7053" i="1"/>
  <c r="W7057" i="1"/>
  <c r="V7057" i="1"/>
  <c r="W7060" i="1"/>
  <c r="V7060" i="1"/>
  <c r="W7067" i="1"/>
  <c r="V7067" i="1"/>
  <c r="W7077" i="1"/>
  <c r="V7077" i="1"/>
  <c r="W7080" i="1"/>
  <c r="V7080" i="1"/>
  <c r="W7083" i="1"/>
  <c r="V7083" i="1"/>
  <c r="W7093" i="1"/>
  <c r="V7093" i="1"/>
  <c r="W7096" i="1"/>
  <c r="V7096" i="1"/>
  <c r="W7099" i="1"/>
  <c r="V7099" i="1"/>
  <c r="W7107" i="1"/>
  <c r="V7107" i="1"/>
  <c r="W7110" i="1"/>
  <c r="V7110" i="1"/>
  <c r="W7114" i="1"/>
  <c r="V7114" i="1"/>
  <c r="W7117" i="1"/>
  <c r="V7117" i="1"/>
  <c r="W7121" i="1"/>
  <c r="V7121" i="1"/>
  <c r="W7128" i="1"/>
  <c r="V7128" i="1"/>
  <c r="W7131" i="1"/>
  <c r="V7131" i="1"/>
  <c r="W7139" i="1"/>
  <c r="V7139" i="1"/>
  <c r="W7142" i="1"/>
  <c r="V7142" i="1"/>
  <c r="W7146" i="1"/>
  <c r="V7146" i="1"/>
  <c r="W7149" i="1"/>
  <c r="V7149" i="1"/>
  <c r="W7153" i="1"/>
  <c r="V7153" i="1"/>
  <c r="W7156" i="1"/>
  <c r="V7156" i="1"/>
  <c r="W7166" i="1"/>
  <c r="V7166" i="1"/>
  <c r="W7170" i="1"/>
  <c r="V7170" i="1"/>
  <c r="W7173" i="1"/>
  <c r="V7173" i="1"/>
  <c r="W7177" i="1"/>
  <c r="V7177" i="1"/>
  <c r="W7180" i="1"/>
  <c r="V7180" i="1"/>
  <c r="W7184" i="1"/>
  <c r="V7184" i="1"/>
  <c r="W7188" i="1"/>
  <c r="V7188" i="1"/>
  <c r="W7198" i="1"/>
  <c r="V7198" i="1"/>
  <c r="W7202" i="1"/>
  <c r="V7202" i="1"/>
  <c r="W7205" i="1"/>
  <c r="V7205" i="1"/>
  <c r="W7209" i="1"/>
  <c r="V7209" i="1"/>
  <c r="W7212" i="1"/>
  <c r="V7212" i="1"/>
  <c r="W7216" i="1"/>
  <c r="V7216" i="1"/>
  <c r="W7219" i="1"/>
  <c r="V7219" i="1"/>
  <c r="W7222" i="1"/>
  <c r="V7222" i="1"/>
  <c r="W7226" i="1"/>
  <c r="V7226" i="1"/>
  <c r="W7229" i="1"/>
  <c r="V7229" i="1"/>
  <c r="W7233" i="1"/>
  <c r="V7233" i="1"/>
  <c r="W7240" i="1"/>
  <c r="V7240" i="1"/>
  <c r="W7243" i="1"/>
  <c r="V7243" i="1"/>
  <c r="W7251" i="1"/>
  <c r="V7251" i="1"/>
  <c r="W7254" i="1"/>
  <c r="V7254" i="1"/>
  <c r="W7258" i="1"/>
  <c r="V7258" i="1"/>
  <c r="W7262" i="1"/>
  <c r="V7262" i="1"/>
  <c r="W7266" i="1"/>
  <c r="V7266" i="1"/>
  <c r="W7269" i="1"/>
  <c r="V7269" i="1"/>
  <c r="W7273" i="1"/>
  <c r="V7273" i="1"/>
  <c r="W7277" i="1"/>
  <c r="V7277" i="1"/>
  <c r="W7281" i="1"/>
  <c r="V7281" i="1"/>
  <c r="W7288" i="1"/>
  <c r="V7288" i="1"/>
  <c r="W7292" i="1"/>
  <c r="V7292" i="1"/>
  <c r="W7296" i="1"/>
  <c r="V7296" i="1"/>
  <c r="W7300" i="1"/>
  <c r="V7300" i="1"/>
  <c r="W7307" i="1"/>
  <c r="V7307" i="1"/>
  <c r="W7315" i="1"/>
  <c r="V7315" i="1"/>
  <c r="W7318" i="1"/>
  <c r="V7318" i="1"/>
  <c r="W7322" i="1"/>
  <c r="V7322" i="1"/>
  <c r="W7326" i="1"/>
  <c r="V7326" i="1"/>
  <c r="W7330" i="1"/>
  <c r="V7330" i="1"/>
  <c r="W7333" i="1"/>
  <c r="V7333" i="1"/>
  <c r="W7337" i="1"/>
  <c r="V7337" i="1"/>
  <c r="W7341" i="1"/>
  <c r="V7341" i="1"/>
  <c r="W7345" i="1"/>
  <c r="V7345" i="1"/>
  <c r="W7352" i="1"/>
  <c r="V7352" i="1"/>
  <c r="W7356" i="1"/>
  <c r="V7356" i="1"/>
  <c r="W7360" i="1"/>
  <c r="V7360" i="1"/>
  <c r="W7364" i="1"/>
  <c r="V7364" i="1"/>
  <c r="W7371" i="1"/>
  <c r="V7371" i="1"/>
  <c r="W7379" i="1"/>
  <c r="V7379" i="1"/>
  <c r="W7382" i="1"/>
  <c r="V7382" i="1"/>
  <c r="W7386" i="1"/>
  <c r="V7386" i="1"/>
  <c r="W7390" i="1"/>
  <c r="V7390" i="1"/>
  <c r="W7394" i="1"/>
  <c r="V7394" i="1"/>
  <c r="W7397" i="1"/>
  <c r="V7397" i="1"/>
  <c r="W7401" i="1"/>
  <c r="V7401" i="1"/>
  <c r="W7405" i="1"/>
  <c r="V7405" i="1"/>
  <c r="W7409" i="1"/>
  <c r="V7409" i="1"/>
  <c r="W7416" i="1"/>
  <c r="V7416" i="1"/>
  <c r="W7420" i="1"/>
  <c r="V7420" i="1"/>
  <c r="W7424" i="1"/>
  <c r="V7424" i="1"/>
  <c r="W7428" i="1"/>
  <c r="V7428" i="1"/>
  <c r="W7435" i="1"/>
  <c r="V7435" i="1"/>
  <c r="W7443" i="1"/>
  <c r="V7443" i="1"/>
  <c r="W7446" i="1"/>
  <c r="V7446" i="1"/>
  <c r="W7450" i="1"/>
  <c r="V7450" i="1"/>
  <c r="W7454" i="1"/>
  <c r="V7454" i="1"/>
  <c r="W7458" i="1"/>
  <c r="V7458" i="1"/>
  <c r="W7461" i="1"/>
  <c r="V7461" i="1"/>
  <c r="W7465" i="1"/>
  <c r="V7465" i="1"/>
  <c r="W7469" i="1"/>
  <c r="V7469" i="1"/>
  <c r="W7473" i="1"/>
  <c r="V7473" i="1"/>
  <c r="W7480" i="1"/>
  <c r="V7480" i="1"/>
  <c r="W7484" i="1"/>
  <c r="V7484" i="1"/>
  <c r="W7488" i="1"/>
  <c r="V7488" i="1"/>
  <c r="W7492" i="1"/>
  <c r="V7492" i="1"/>
  <c r="W7499" i="1"/>
  <c r="V7499" i="1"/>
  <c r="W7507" i="1"/>
  <c r="V7507" i="1"/>
  <c r="W7510" i="1"/>
  <c r="V7510" i="1"/>
  <c r="W7514" i="1"/>
  <c r="V7514" i="1"/>
  <c r="W7518" i="1"/>
  <c r="V7518" i="1"/>
  <c r="W7522" i="1"/>
  <c r="V7522" i="1"/>
  <c r="W7525" i="1"/>
  <c r="V7525" i="1"/>
  <c r="W7529" i="1"/>
  <c r="V7529" i="1"/>
  <c r="W7533" i="1"/>
  <c r="V7533" i="1"/>
  <c r="W7537" i="1"/>
  <c r="V7537" i="1"/>
  <c r="W7544" i="1"/>
  <c r="V7544" i="1"/>
  <c r="W7548" i="1"/>
  <c r="V7548" i="1"/>
  <c r="W7552" i="1"/>
  <c r="V7552" i="1"/>
  <c r="W7556" i="1"/>
  <c r="V7556" i="1"/>
  <c r="W7563" i="1"/>
  <c r="V7563" i="1"/>
  <c r="W7571" i="1"/>
  <c r="V7571" i="1"/>
  <c r="W7574" i="1"/>
  <c r="V7574" i="1"/>
  <c r="W7578" i="1"/>
  <c r="V7578" i="1"/>
  <c r="W7582" i="1"/>
  <c r="V7582" i="1"/>
  <c r="W7586" i="1"/>
  <c r="V7586" i="1"/>
  <c r="W7589" i="1"/>
  <c r="V7589" i="1"/>
  <c r="W7593" i="1"/>
  <c r="V7593" i="1"/>
  <c r="W7597" i="1"/>
  <c r="V7597" i="1"/>
  <c r="W7601" i="1"/>
  <c r="V7601" i="1"/>
  <c r="W7608" i="1"/>
  <c r="V7608" i="1"/>
  <c r="W7612" i="1"/>
  <c r="V7612" i="1"/>
  <c r="W7616" i="1"/>
  <c r="V7616" i="1"/>
  <c r="W7620" i="1"/>
  <c r="V7620" i="1"/>
  <c r="W7627" i="1"/>
  <c r="V7627" i="1"/>
  <c r="W7635" i="1"/>
  <c r="V7635" i="1"/>
  <c r="W7638" i="1"/>
  <c r="V7638" i="1"/>
  <c r="W7642" i="1"/>
  <c r="V7642" i="1"/>
  <c r="W7646" i="1"/>
  <c r="V7646" i="1"/>
  <c r="W7650" i="1"/>
  <c r="V7650" i="1"/>
  <c r="W7653" i="1"/>
  <c r="V7653" i="1"/>
  <c r="W7657" i="1"/>
  <c r="V7657" i="1"/>
  <c r="W7661" i="1"/>
  <c r="V7661" i="1"/>
  <c r="W7665" i="1"/>
  <c r="V7665" i="1"/>
  <c r="W7672" i="1"/>
  <c r="V7672" i="1"/>
  <c r="W7676" i="1"/>
  <c r="V7676" i="1"/>
  <c r="W7680" i="1"/>
  <c r="V7680" i="1"/>
  <c r="W7684" i="1"/>
  <c r="V7684" i="1"/>
  <c r="W7691" i="1"/>
  <c r="V7691" i="1"/>
  <c r="W7699" i="1"/>
  <c r="V7699" i="1"/>
  <c r="W7702" i="1"/>
  <c r="V7702" i="1"/>
  <c r="W7706" i="1"/>
  <c r="V7706" i="1"/>
  <c r="W7710" i="1"/>
  <c r="V7710" i="1"/>
  <c r="W7714" i="1"/>
  <c r="V7714" i="1"/>
  <c r="W7717" i="1"/>
  <c r="V7717" i="1"/>
  <c r="W7721" i="1"/>
  <c r="V7721" i="1"/>
  <c r="W7725" i="1"/>
  <c r="V7725" i="1"/>
  <c r="W7729" i="1"/>
  <c r="V7729" i="1"/>
  <c r="W7736" i="1"/>
  <c r="V7736" i="1"/>
  <c r="W7740" i="1"/>
  <c r="V7740" i="1"/>
  <c r="W7744" i="1"/>
  <c r="V7744" i="1"/>
  <c r="W7748" i="1"/>
  <c r="V7748" i="1"/>
  <c r="W7755" i="1"/>
  <c r="V7755" i="1"/>
  <c r="W7763" i="1"/>
  <c r="V7763" i="1"/>
  <c r="W7766" i="1"/>
  <c r="V7766" i="1"/>
  <c r="W7770" i="1"/>
  <c r="V7770" i="1"/>
  <c r="W7774" i="1"/>
  <c r="V7774" i="1"/>
  <c r="W7781" i="1"/>
  <c r="V7781" i="1"/>
  <c r="W7785" i="1"/>
  <c r="V7785" i="1"/>
  <c r="W7788" i="1"/>
  <c r="V7788" i="1"/>
  <c r="W7792" i="1"/>
  <c r="V7792" i="1"/>
  <c r="W7795" i="1"/>
  <c r="V7795" i="1"/>
  <c r="W7802" i="1"/>
  <c r="V7802" i="1"/>
  <c r="W7806" i="1"/>
  <c r="V7806" i="1"/>
  <c r="W7813" i="1"/>
  <c r="V7813" i="1"/>
  <c r="W7817" i="1"/>
  <c r="V7817" i="1"/>
  <c r="W7820" i="1"/>
  <c r="V7820" i="1"/>
  <c r="W7824" i="1"/>
  <c r="V7824" i="1"/>
  <c r="W7827" i="1"/>
  <c r="V7827" i="1"/>
  <c r="W7834" i="1"/>
  <c r="V7834" i="1"/>
  <c r="W7838" i="1"/>
  <c r="V7838" i="1"/>
  <c r="W7845" i="1"/>
  <c r="V7845" i="1"/>
  <c r="W7849" i="1"/>
  <c r="V7849" i="1"/>
  <c r="W7858" i="1"/>
  <c r="V7858" i="1"/>
  <c r="W7862" i="1"/>
  <c r="V7862" i="1"/>
  <c r="W7865" i="1"/>
  <c r="V7865" i="1"/>
  <c r="W7869" i="1"/>
  <c r="V7869" i="1"/>
  <c r="W7876" i="1"/>
  <c r="V7876" i="1"/>
  <c r="W7880" i="1"/>
  <c r="V7880" i="1"/>
  <c r="W7883" i="1"/>
  <c r="V7883" i="1"/>
  <c r="W7890" i="1"/>
  <c r="V7890" i="1"/>
  <c r="W7894" i="1"/>
  <c r="V7894" i="1"/>
  <c r="W7897" i="1"/>
  <c r="V7897" i="1"/>
  <c r="W7901" i="1"/>
  <c r="V7901" i="1"/>
  <c r="W7908" i="1"/>
  <c r="V7908" i="1"/>
  <c r="W7912" i="1"/>
  <c r="V7912" i="1"/>
  <c r="W7915" i="1"/>
  <c r="V7915" i="1"/>
  <c r="W7922" i="1"/>
  <c r="V7922" i="1"/>
  <c r="W7926" i="1"/>
  <c r="V7926" i="1"/>
  <c r="W7929" i="1"/>
  <c r="V7929" i="1"/>
  <c r="W7933" i="1"/>
  <c r="V7933" i="1"/>
  <c r="W7940" i="1"/>
  <c r="V7940" i="1"/>
  <c r="W7944" i="1"/>
  <c r="V7944" i="1"/>
  <c r="W7947" i="1"/>
  <c r="V7947" i="1"/>
  <c r="W7954" i="1"/>
  <c r="V7954" i="1"/>
  <c r="W7958" i="1"/>
  <c r="V7958" i="1"/>
  <c r="W7961" i="1"/>
  <c r="V7961" i="1"/>
  <c r="W7965" i="1"/>
  <c r="V7965" i="1"/>
  <c r="W7972" i="1"/>
  <c r="V7972" i="1"/>
  <c r="W7976" i="1"/>
  <c r="V7976" i="1"/>
  <c r="W7979" i="1"/>
  <c r="V7979" i="1"/>
  <c r="W7986" i="1"/>
  <c r="V7986" i="1"/>
  <c r="W7990" i="1"/>
  <c r="V7990" i="1"/>
  <c r="W7993" i="1"/>
  <c r="V7993" i="1"/>
  <c r="W7996" i="1"/>
  <c r="V7996" i="1"/>
  <c r="W8000" i="1"/>
  <c r="V8000" i="1"/>
  <c r="W8004" i="1"/>
  <c r="V8004" i="1"/>
  <c r="W8008" i="1"/>
  <c r="V8008" i="1"/>
  <c r="W8011" i="1"/>
  <c r="V8011" i="1"/>
  <c r="W8018" i="1"/>
  <c r="V8018" i="1"/>
  <c r="W8022" i="1"/>
  <c r="V8022" i="1"/>
  <c r="W8025" i="1"/>
  <c r="V8025" i="1"/>
  <c r="W8029" i="1"/>
  <c r="V8029" i="1"/>
  <c r="W8036" i="1"/>
  <c r="V8036" i="1"/>
  <c r="W8046" i="1"/>
  <c r="V8046" i="1"/>
  <c r="W8049" i="1"/>
  <c r="V8049" i="1"/>
  <c r="W8053" i="1"/>
  <c r="V8053" i="1"/>
  <c r="W8056" i="1"/>
  <c r="V8056" i="1"/>
  <c r="W8060" i="1"/>
  <c r="V8060" i="1"/>
  <c r="W8064" i="1"/>
  <c r="V8064" i="1"/>
  <c r="W8067" i="1"/>
  <c r="V8067" i="1"/>
  <c r="W8074" i="1"/>
  <c r="V8074" i="1"/>
  <c r="W8077" i="1"/>
  <c r="V8077" i="1"/>
  <c r="W8080" i="1"/>
  <c r="V8080" i="1"/>
  <c r="W8083" i="1"/>
  <c r="V8083" i="1"/>
  <c r="W8090" i="1"/>
  <c r="V8090" i="1"/>
  <c r="W8094" i="1"/>
  <c r="V8094" i="1"/>
  <c r="W8098" i="1"/>
  <c r="V8098" i="1"/>
  <c r="W8102" i="1"/>
  <c r="V8102" i="1"/>
  <c r="W8106" i="1"/>
  <c r="V8106" i="1"/>
  <c r="W8109" i="1"/>
  <c r="V8109" i="1"/>
  <c r="W8116" i="1"/>
  <c r="V8116" i="1"/>
  <c r="W8126" i="1"/>
  <c r="V8126" i="1"/>
  <c r="W8130" i="1"/>
  <c r="V8130" i="1"/>
  <c r="W8134" i="1"/>
  <c r="V8134" i="1"/>
  <c r="W8138" i="1"/>
  <c r="V8138" i="1"/>
  <c r="W8141" i="1"/>
  <c r="V8141" i="1"/>
  <c r="W8148" i="1"/>
  <c r="V8148" i="1"/>
  <c r="W8155" i="1"/>
  <c r="V8155" i="1"/>
  <c r="W8162" i="1"/>
  <c r="V8162" i="1"/>
  <c r="W8166" i="1"/>
  <c r="V8166" i="1"/>
  <c r="W8169" i="1"/>
  <c r="V8169" i="1"/>
  <c r="W8172" i="1"/>
  <c r="V8172" i="1"/>
  <c r="W8176" i="1"/>
  <c r="V8176" i="1"/>
  <c r="W8179" i="1"/>
  <c r="V8179" i="1"/>
  <c r="W8186" i="1"/>
  <c r="V8186" i="1"/>
  <c r="W8190" i="1"/>
  <c r="V8190" i="1"/>
  <c r="W8194" i="1"/>
  <c r="V8194" i="1"/>
  <c r="W8198" i="1"/>
  <c r="V8198" i="1"/>
  <c r="W8202" i="1"/>
  <c r="V8202" i="1"/>
  <c r="W8206" i="1"/>
  <c r="V8206" i="1"/>
  <c r="W8210" i="1"/>
  <c r="V8210" i="1"/>
  <c r="W8214" i="1"/>
  <c r="V8214" i="1"/>
  <c r="W8218" i="1"/>
  <c r="V8218" i="1"/>
  <c r="W8222" i="1"/>
  <c r="V8222" i="1"/>
  <c r="W8226" i="1"/>
  <c r="V8226" i="1"/>
  <c r="W8230" i="1"/>
  <c r="V8230" i="1"/>
  <c r="W8234" i="1"/>
  <c r="V8234" i="1"/>
  <c r="W8238" i="1"/>
  <c r="V8238" i="1"/>
  <c r="W8242" i="1"/>
  <c r="V8242" i="1"/>
  <c r="W8246" i="1"/>
  <c r="V8246" i="1"/>
  <c r="W8250" i="1"/>
  <c r="V8250" i="1"/>
  <c r="W8254" i="1"/>
  <c r="V8254" i="1"/>
  <c r="W8258" i="1"/>
  <c r="V8258" i="1"/>
  <c r="W8262" i="1"/>
  <c r="V8262" i="1"/>
  <c r="W8266" i="1"/>
  <c r="V8266" i="1"/>
  <c r="W8270" i="1"/>
  <c r="V8270" i="1"/>
  <c r="W8274" i="1"/>
  <c r="V8274" i="1"/>
  <c r="W8278" i="1"/>
  <c r="V8278" i="1"/>
  <c r="W8282" i="1"/>
  <c r="V8282" i="1"/>
  <c r="W8286" i="1"/>
  <c r="V8286" i="1"/>
  <c r="W8290" i="1"/>
  <c r="V8290" i="1"/>
  <c r="W8294" i="1"/>
  <c r="V8294" i="1"/>
  <c r="W8298" i="1"/>
  <c r="V8298" i="1"/>
  <c r="W8302" i="1"/>
  <c r="V8302" i="1"/>
  <c r="W8306" i="1"/>
  <c r="V8306" i="1"/>
  <c r="W8310" i="1"/>
  <c r="V8310" i="1"/>
  <c r="W8314" i="1"/>
  <c r="V8314" i="1"/>
  <c r="W8318" i="1"/>
  <c r="V8318" i="1"/>
  <c r="W8322" i="1"/>
  <c r="V8322" i="1"/>
  <c r="W8326" i="1"/>
  <c r="V8326" i="1"/>
  <c r="W8330" i="1"/>
  <c r="V8330" i="1"/>
  <c r="W8334" i="1"/>
  <c r="V8334" i="1"/>
  <c r="W8338" i="1"/>
  <c r="V8338" i="1"/>
  <c r="W8342" i="1"/>
  <c r="V8342" i="1"/>
  <c r="W8346" i="1"/>
  <c r="V8346" i="1"/>
  <c r="W8350" i="1"/>
  <c r="V8350" i="1"/>
  <c r="W8354" i="1"/>
  <c r="V8354" i="1"/>
  <c r="W8358" i="1"/>
  <c r="V8358" i="1"/>
  <c r="W8362" i="1"/>
  <c r="V8362" i="1"/>
  <c r="W8366" i="1"/>
  <c r="V8366" i="1"/>
  <c r="W8370" i="1"/>
  <c r="V8370" i="1"/>
  <c r="W8374" i="1"/>
  <c r="V8374" i="1"/>
  <c r="W8378" i="1"/>
  <c r="V8378" i="1"/>
  <c r="W8382" i="1"/>
  <c r="V8382" i="1"/>
  <c r="W8386" i="1"/>
  <c r="V8386" i="1"/>
  <c r="W8390" i="1"/>
  <c r="V8390" i="1"/>
  <c r="W8394" i="1"/>
  <c r="V8394" i="1"/>
  <c r="W8398" i="1"/>
  <c r="V8398" i="1"/>
  <c r="V1649" i="1"/>
  <c r="V1633" i="1"/>
  <c r="V1617" i="1"/>
  <c r="V1601" i="1"/>
  <c r="V1585" i="1"/>
  <c r="V1569" i="1"/>
  <c r="V1553" i="1"/>
  <c r="V1537" i="1"/>
  <c r="V1521" i="1"/>
  <c r="V1505" i="1"/>
  <c r="V1489" i="1"/>
  <c r="V1473" i="1"/>
  <c r="V1457" i="1"/>
  <c r="V1441" i="1"/>
  <c r="V1425" i="1"/>
  <c r="V1409" i="1"/>
  <c r="V1393" i="1"/>
  <c r="V1377" i="1"/>
  <c r="V1361" i="1"/>
  <c r="V1345" i="1"/>
  <c r="V1329" i="1"/>
  <c r="V1313" i="1"/>
  <c r="V1297" i="1"/>
  <c r="V1281" i="1"/>
  <c r="V1265" i="1"/>
  <c r="V1249" i="1"/>
  <c r="V1233" i="1"/>
  <c r="V1217" i="1"/>
  <c r="V1201" i="1"/>
  <c r="V1185" i="1"/>
  <c r="V1169" i="1"/>
  <c r="V1153" i="1"/>
  <c r="V1137" i="1"/>
  <c r="V1121" i="1"/>
  <c r="V1105" i="1"/>
  <c r="V1089" i="1"/>
  <c r="V1073" i="1"/>
  <c r="V1057" i="1"/>
  <c r="V1041" i="1"/>
  <c r="V1025" i="1"/>
  <c r="V1009" i="1"/>
  <c r="V993" i="1"/>
  <c r="V977" i="1"/>
  <c r="V961" i="1"/>
  <c r="V945" i="1"/>
  <c r="V929" i="1"/>
  <c r="V913" i="1"/>
  <c r="V897" i="1"/>
  <c r="V881" i="1"/>
  <c r="V865" i="1"/>
  <c r="V849" i="1"/>
  <c r="V833" i="1"/>
  <c r="V817" i="1"/>
  <c r="V801" i="1"/>
  <c r="V785" i="1"/>
  <c r="V769" i="1"/>
  <c r="V753" i="1"/>
  <c r="V737" i="1"/>
  <c r="V721" i="1"/>
  <c r="V705" i="1"/>
  <c r="V689" i="1"/>
  <c r="V673" i="1"/>
  <c r="V657" i="1"/>
  <c r="V641" i="1"/>
  <c r="V625" i="1"/>
  <c r="V609" i="1"/>
  <c r="V593" i="1"/>
  <c r="V577" i="1"/>
  <c r="V561" i="1"/>
  <c r="V545" i="1"/>
  <c r="V529" i="1"/>
  <c r="V513" i="1"/>
  <c r="V497" i="1"/>
  <c r="V481" i="1"/>
  <c r="V465" i="1"/>
  <c r="V449" i="1"/>
  <c r="V433" i="1"/>
  <c r="V402" i="1"/>
  <c r="V370" i="1"/>
  <c r="V338" i="1"/>
  <c r="V306" i="1"/>
  <c r="V274" i="1"/>
  <c r="V242" i="1"/>
  <c r="V210" i="1"/>
  <c r="V178" i="1"/>
  <c r="V146" i="1"/>
  <c r="V114" i="1"/>
  <c r="V82" i="1"/>
  <c r="V50" i="1"/>
  <c r="V18" i="1"/>
  <c r="V8383" i="1"/>
  <c r="V8351" i="1"/>
  <c r="V8319" i="1"/>
  <c r="V8287" i="1"/>
  <c r="V8255" i="1"/>
  <c r="V8223" i="1"/>
  <c r="V8191" i="1"/>
  <c r="V8159" i="1"/>
  <c r="V8127" i="1"/>
  <c r="V8095" i="1"/>
  <c r="V7839" i="1"/>
  <c r="V7807" i="1"/>
  <c r="V7775" i="1"/>
  <c r="V7743" i="1"/>
  <c r="V7711" i="1"/>
  <c r="V7679" i="1"/>
  <c r="V7647" i="1"/>
  <c r="V7615" i="1"/>
  <c r="V7583" i="1"/>
  <c r="V7551" i="1"/>
  <c r="V7519" i="1"/>
  <c r="V7487" i="1"/>
  <c r="V7455" i="1"/>
  <c r="V7423" i="1"/>
  <c r="V7391" i="1"/>
  <c r="V7359" i="1"/>
  <c r="V7327" i="1"/>
  <c r="V7295" i="1"/>
  <c r="V7263" i="1"/>
  <c r="V7231" i="1"/>
  <c r="V7199" i="1"/>
  <c r="V7167" i="1"/>
  <c r="V7135" i="1"/>
  <c r="V7103" i="1"/>
  <c r="V7071" i="1"/>
  <c r="V7039" i="1"/>
  <c r="V7007" i="1"/>
  <c r="V6975" i="1"/>
  <c r="V6943" i="1"/>
  <c r="V6911" i="1"/>
  <c r="V6879" i="1"/>
  <c r="V6847" i="1"/>
  <c r="V6815" i="1"/>
  <c r="V6783" i="1"/>
  <c r="V6751" i="1"/>
  <c r="V6719" i="1"/>
  <c r="V6687" i="1"/>
  <c r="V6655" i="1"/>
  <c r="V6623" i="1"/>
  <c r="V6591" i="1"/>
  <c r="V6553" i="1"/>
  <c r="V6489" i="1"/>
  <c r="V6425" i="1"/>
  <c r="V6361" i="1"/>
  <c r="V6297" i="1"/>
  <c r="V6233" i="1"/>
  <c r="V6169" i="1"/>
  <c r="V6105" i="1"/>
  <c r="W7670" i="1"/>
  <c r="V7670" i="1"/>
  <c r="W7674" i="1"/>
  <c r="V7674" i="1"/>
  <c r="W7678" i="1"/>
  <c r="V7678" i="1"/>
  <c r="W7682" i="1"/>
  <c r="V7682" i="1"/>
  <c r="W7704" i="1"/>
  <c r="V7704" i="1"/>
  <c r="W7708" i="1"/>
  <c r="V7708" i="1"/>
  <c r="W7712" i="1"/>
  <c r="V7712" i="1"/>
  <c r="W7716" i="1"/>
  <c r="V7716" i="1"/>
  <c r="W7734" i="1"/>
  <c r="V7734" i="1"/>
  <c r="W7738" i="1"/>
  <c r="V7738" i="1"/>
  <c r="W7742" i="1"/>
  <c r="V7742" i="1"/>
  <c r="W7746" i="1"/>
  <c r="V7746" i="1"/>
  <c r="W7768" i="1"/>
  <c r="V7768" i="1"/>
  <c r="W7772" i="1"/>
  <c r="V7772" i="1"/>
  <c r="W7776" i="1"/>
  <c r="V7776" i="1"/>
  <c r="W7786" i="1"/>
  <c r="V7786" i="1"/>
  <c r="W7790" i="1"/>
  <c r="V7790" i="1"/>
  <c r="W7804" i="1"/>
  <c r="V7804" i="1"/>
  <c r="W7808" i="1"/>
  <c r="V7808" i="1"/>
  <c r="W7818" i="1"/>
  <c r="V7818" i="1"/>
  <c r="W7822" i="1"/>
  <c r="V7822" i="1"/>
  <c r="W7836" i="1"/>
  <c r="V7836" i="1"/>
  <c r="W7840" i="1"/>
  <c r="V7840" i="1"/>
  <c r="W7850" i="1"/>
  <c r="V7850" i="1"/>
  <c r="W7860" i="1"/>
  <c r="V7860" i="1"/>
  <c r="W7864" i="1"/>
  <c r="V7864" i="1"/>
  <c r="W7874" i="1"/>
  <c r="V7874" i="1"/>
  <c r="W7878" i="1"/>
  <c r="V7878" i="1"/>
  <c r="W7892" i="1"/>
  <c r="V7892" i="1"/>
  <c r="W7896" i="1"/>
  <c r="V7896" i="1"/>
  <c r="W7906" i="1"/>
  <c r="V7906" i="1"/>
  <c r="W7910" i="1"/>
  <c r="V7910" i="1"/>
  <c r="W7924" i="1"/>
  <c r="V7924" i="1"/>
  <c r="W7928" i="1"/>
  <c r="V7928" i="1"/>
  <c r="W7938" i="1"/>
  <c r="V7938" i="1"/>
  <c r="W7942" i="1"/>
  <c r="V7942" i="1"/>
  <c r="W7956" i="1"/>
  <c r="V7956" i="1"/>
  <c r="W7960" i="1"/>
  <c r="V7960" i="1"/>
  <c r="W7970" i="1"/>
  <c r="V7970" i="1"/>
  <c r="W7974" i="1"/>
  <c r="V7974" i="1"/>
  <c r="W7988" i="1"/>
  <c r="V7988" i="1"/>
  <c r="W7998" i="1"/>
  <c r="V7998" i="1"/>
  <c r="W8002" i="1"/>
  <c r="V8002" i="1"/>
  <c r="W8006" i="1"/>
  <c r="V8006" i="1"/>
  <c r="W8010" i="1"/>
  <c r="V8010" i="1"/>
  <c r="W8020" i="1"/>
  <c r="V8020" i="1"/>
  <c r="W8034" i="1"/>
  <c r="V8034" i="1"/>
  <c r="W8038" i="1"/>
  <c r="V8038" i="1"/>
  <c r="W8044" i="1"/>
  <c r="V8044" i="1"/>
  <c r="W8048" i="1"/>
  <c r="V8048" i="1"/>
  <c r="W8058" i="1"/>
  <c r="V8058" i="1"/>
  <c r="W8062" i="1"/>
  <c r="V8062" i="1"/>
  <c r="W8066" i="1"/>
  <c r="V8066" i="1"/>
  <c r="W8088" i="1"/>
  <c r="V8088" i="1"/>
  <c r="W8092" i="1"/>
  <c r="V8092" i="1"/>
  <c r="W8096" i="1"/>
  <c r="V8096" i="1"/>
  <c r="W8100" i="1"/>
  <c r="V8100" i="1"/>
  <c r="W8104" i="1"/>
  <c r="V8104" i="1"/>
  <c r="W8114" i="1"/>
  <c r="V8114" i="1"/>
  <c r="W8118" i="1"/>
  <c r="V8118" i="1"/>
  <c r="W8124" i="1"/>
  <c r="V8124" i="1"/>
  <c r="W8128" i="1"/>
  <c r="V8128" i="1"/>
  <c r="W8132" i="1"/>
  <c r="V8132" i="1"/>
  <c r="W8136" i="1"/>
  <c r="V8136" i="1"/>
  <c r="W8146" i="1"/>
  <c r="V8146" i="1"/>
  <c r="W8150" i="1"/>
  <c r="V8150" i="1"/>
  <c r="W8164" i="1"/>
  <c r="V8164" i="1"/>
  <c r="W8174" i="1"/>
  <c r="V8174" i="1"/>
  <c r="W8184" i="1"/>
  <c r="V8184" i="1"/>
  <c r="W8188" i="1"/>
  <c r="V8188" i="1"/>
  <c r="W8192" i="1"/>
  <c r="V8192" i="1"/>
  <c r="W8196" i="1"/>
  <c r="V8196" i="1"/>
  <c r="W8200" i="1"/>
  <c r="V8200" i="1"/>
  <c r="W8204" i="1"/>
  <c r="V8204" i="1"/>
  <c r="W8208" i="1"/>
  <c r="V8208" i="1"/>
  <c r="W8212" i="1"/>
  <c r="V8212" i="1"/>
  <c r="W8216" i="1"/>
  <c r="V8216" i="1"/>
  <c r="W8220" i="1"/>
  <c r="V8220" i="1"/>
  <c r="W8224" i="1"/>
  <c r="V8224" i="1"/>
  <c r="W8228" i="1"/>
  <c r="V8228" i="1"/>
  <c r="W8232" i="1"/>
  <c r="V8232" i="1"/>
  <c r="W8236" i="1"/>
  <c r="V8236" i="1"/>
  <c r="W8240" i="1"/>
  <c r="V8240" i="1"/>
  <c r="W8244" i="1"/>
  <c r="V8244" i="1"/>
  <c r="W8248" i="1"/>
  <c r="V8248" i="1"/>
  <c r="W8252" i="1"/>
  <c r="V8252" i="1"/>
  <c r="W8256" i="1"/>
  <c r="V8256" i="1"/>
  <c r="W8260" i="1"/>
  <c r="V8260" i="1"/>
  <c r="W8264" i="1"/>
  <c r="V8264" i="1"/>
  <c r="W8268" i="1"/>
  <c r="V8268" i="1"/>
  <c r="W8272" i="1"/>
  <c r="V8272" i="1"/>
  <c r="W8276" i="1"/>
  <c r="V8276" i="1"/>
  <c r="W8280" i="1"/>
  <c r="V8280" i="1"/>
  <c r="W8284" i="1"/>
  <c r="V8284" i="1"/>
  <c r="W8288" i="1"/>
  <c r="V8288" i="1"/>
  <c r="W8292" i="1"/>
  <c r="V8292" i="1"/>
  <c r="W8296" i="1"/>
  <c r="V8296" i="1"/>
  <c r="W8300" i="1"/>
  <c r="V8300" i="1"/>
  <c r="W8304" i="1"/>
  <c r="V8304" i="1"/>
  <c r="W8308" i="1"/>
  <c r="V8308" i="1"/>
  <c r="W8312" i="1"/>
  <c r="V8312" i="1"/>
  <c r="W8316" i="1"/>
  <c r="V8316" i="1"/>
  <c r="W8320" i="1"/>
  <c r="V8320" i="1"/>
  <c r="W8324" i="1"/>
  <c r="V8324" i="1"/>
  <c r="W8328" i="1"/>
  <c r="V8328" i="1"/>
  <c r="W8332" i="1"/>
  <c r="V8332" i="1"/>
  <c r="W8336" i="1"/>
  <c r="V8336" i="1"/>
  <c r="W8340" i="1"/>
  <c r="V8340" i="1"/>
  <c r="W8344" i="1"/>
  <c r="V8344" i="1"/>
  <c r="W8348" i="1"/>
  <c r="V8348" i="1"/>
  <c r="W8352" i="1"/>
  <c r="V8352" i="1"/>
  <c r="W8356" i="1"/>
  <c r="V8356" i="1"/>
  <c r="W8360" i="1"/>
  <c r="V8360" i="1"/>
  <c r="W8364" i="1"/>
  <c r="V8364" i="1"/>
  <c r="W8368" i="1"/>
  <c r="V8368" i="1"/>
  <c r="W8372" i="1"/>
  <c r="V8372" i="1"/>
  <c r="W8376" i="1"/>
  <c r="V8376" i="1"/>
  <c r="W8380" i="1"/>
  <c r="V8380" i="1"/>
  <c r="W8384" i="1"/>
  <c r="V8384" i="1"/>
  <c r="W8388" i="1"/>
  <c r="V8388" i="1"/>
  <c r="W8392" i="1"/>
  <c r="V8392" i="1"/>
  <c r="W8396" i="1"/>
  <c r="V8396" i="1"/>
  <c r="W8400" i="1"/>
  <c r="V8400" i="1"/>
  <c r="V8397" i="1"/>
  <c r="V8389" i="1"/>
  <c r="V8381" i="1"/>
  <c r="V8373" i="1"/>
  <c r="V8365" i="1"/>
  <c r="V8357" i="1"/>
  <c r="V8349" i="1"/>
  <c r="V8341" i="1"/>
  <c r="V8333" i="1"/>
  <c r="V8325" i="1"/>
  <c r="V8317" i="1"/>
  <c r="V8309" i="1"/>
  <c r="V8301" i="1"/>
  <c r="V8293" i="1"/>
  <c r="V8285" i="1"/>
  <c r="V8277" i="1"/>
  <c r="V8269" i="1"/>
  <c r="V8261" i="1"/>
  <c r="V8253" i="1"/>
  <c r="V8245" i="1"/>
  <c r="V8237" i="1"/>
  <c r="V8229" i="1"/>
  <c r="V8221" i="1"/>
  <c r="V8213" i="1"/>
  <c r="V8205" i="1"/>
  <c r="V8197" i="1"/>
  <c r="V8189" i="1"/>
  <c r="V8181" i="1"/>
  <c r="V8165" i="1"/>
  <c r="V8157" i="1"/>
  <c r="V8133" i="1"/>
  <c r="V8125" i="1"/>
  <c r="V8101" i="1"/>
  <c r="V8093" i="1"/>
  <c r="V8085" i="1"/>
  <c r="V8069" i="1"/>
  <c r="V8045" i="1"/>
  <c r="V8021" i="1"/>
  <c r="V8013" i="1"/>
  <c r="V7989" i="1"/>
  <c r="V7981" i="1"/>
  <c r="V7957" i="1"/>
  <c r="V7949" i="1"/>
  <c r="V7925" i="1"/>
  <c r="V7917" i="1"/>
  <c r="V7893" i="1"/>
  <c r="V7885" i="1"/>
  <c r="V7861" i="1"/>
  <c r="V7853" i="1"/>
  <c r="V7837" i="1"/>
  <c r="V7829" i="1"/>
  <c r="V7805" i="1"/>
  <c r="V7797" i="1"/>
  <c r="V7773" i="1"/>
  <c r="V7765" i="1"/>
  <c r="V7757" i="1"/>
  <c r="V7749" i="1"/>
  <c r="V7693" i="1"/>
  <c r="V7685" i="1"/>
  <c r="W7780" i="1"/>
  <c r="V7780" i="1"/>
  <c r="W7784" i="1"/>
  <c r="V7784" i="1"/>
  <c r="W7794" i="1"/>
  <c r="V7794" i="1"/>
  <c r="W7798" i="1"/>
  <c r="V7798" i="1"/>
  <c r="W7812" i="1"/>
  <c r="V7812" i="1"/>
  <c r="W7816" i="1"/>
  <c r="V7816" i="1"/>
  <c r="W7826" i="1"/>
  <c r="V7826" i="1"/>
  <c r="W7830" i="1"/>
  <c r="V7830" i="1"/>
  <c r="W7844" i="1"/>
  <c r="V7844" i="1"/>
  <c r="W7848" i="1"/>
  <c r="V7848" i="1"/>
  <c r="W7854" i="1"/>
  <c r="V7854" i="1"/>
  <c r="W7868" i="1"/>
  <c r="V7868" i="1"/>
  <c r="W7872" i="1"/>
  <c r="V7872" i="1"/>
  <c r="W7882" i="1"/>
  <c r="V7882" i="1"/>
  <c r="W7886" i="1"/>
  <c r="V7886" i="1"/>
  <c r="W7900" i="1"/>
  <c r="V7900" i="1"/>
  <c r="W7904" i="1"/>
  <c r="V7904" i="1"/>
  <c r="W7914" i="1"/>
  <c r="V7914" i="1"/>
  <c r="W7918" i="1"/>
  <c r="V7918" i="1"/>
  <c r="W7932" i="1"/>
  <c r="V7932" i="1"/>
  <c r="W7936" i="1"/>
  <c r="V7936" i="1"/>
  <c r="W7946" i="1"/>
  <c r="V7946" i="1"/>
  <c r="W7950" i="1"/>
  <c r="V7950" i="1"/>
  <c r="W7964" i="1"/>
  <c r="V7964" i="1"/>
  <c r="W7968" i="1"/>
  <c r="V7968" i="1"/>
  <c r="W7978" i="1"/>
  <c r="V7978" i="1"/>
  <c r="W7982" i="1"/>
  <c r="V7982" i="1"/>
  <c r="W7992" i="1"/>
  <c r="V7992" i="1"/>
  <c r="W8014" i="1"/>
  <c r="V8014" i="1"/>
  <c r="W8024" i="1"/>
  <c r="V8024" i="1"/>
  <c r="W8028" i="1"/>
  <c r="V8028" i="1"/>
  <c r="W8032" i="1"/>
  <c r="V8032" i="1"/>
  <c r="W8042" i="1"/>
  <c r="V8042" i="1"/>
  <c r="W8052" i="1"/>
  <c r="V8052" i="1"/>
  <c r="W8070" i="1"/>
  <c r="V8070" i="1"/>
  <c r="W8076" i="1"/>
  <c r="V8076" i="1"/>
  <c r="W8082" i="1"/>
  <c r="V8082" i="1"/>
  <c r="W8086" i="1"/>
  <c r="V8086" i="1"/>
  <c r="W8108" i="1"/>
  <c r="V8108" i="1"/>
  <c r="W8112" i="1"/>
  <c r="V8112" i="1"/>
  <c r="W8122" i="1"/>
  <c r="V8122" i="1"/>
  <c r="W8140" i="1"/>
  <c r="V8140" i="1"/>
  <c r="W8144" i="1"/>
  <c r="V8144" i="1"/>
  <c r="W8154" i="1"/>
  <c r="V8154" i="1"/>
  <c r="W8158" i="1"/>
  <c r="V8158" i="1"/>
  <c r="W8168" i="1"/>
  <c r="V8168" i="1"/>
  <c r="W8178" i="1"/>
  <c r="V8178" i="1"/>
  <c r="W8182" i="1"/>
  <c r="V8182" i="1"/>
  <c r="V8171" i="1"/>
  <c r="V8147" i="1"/>
  <c r="V8139" i="1"/>
  <c r="V8115" i="1"/>
  <c r="V8107" i="1"/>
  <c r="V8075" i="1"/>
  <c r="V8059" i="1"/>
  <c r="V8051" i="1"/>
  <c r="V8035" i="1"/>
  <c r="V8027" i="1"/>
  <c r="V8003" i="1"/>
  <c r="V7995" i="1"/>
  <c r="V7971" i="1"/>
  <c r="V7963" i="1"/>
  <c r="V7939" i="1"/>
  <c r="V7931" i="1"/>
  <c r="V7907" i="1"/>
  <c r="V7899" i="1"/>
  <c r="V7875" i="1"/>
  <c r="V7867" i="1"/>
  <c r="V7851" i="1"/>
  <c r="V7843" i="1"/>
  <c r="V7819" i="1"/>
  <c r="V7811" i="1"/>
  <c r="V7787" i="1"/>
  <c r="V7779" i="1"/>
  <c r="V7731" i="1"/>
  <c r="V7723" i="1"/>
  <c r="V7667" i="1"/>
  <c r="V8393" i="1"/>
  <c r="V8385" i="1"/>
  <c r="V8377" i="1"/>
  <c r="V8369" i="1"/>
  <c r="V8361" i="1"/>
  <c r="V8353" i="1"/>
  <c r="V8345" i="1"/>
  <c r="V8337" i="1"/>
  <c r="V8329" i="1"/>
  <c r="V8321" i="1"/>
  <c r="V8313" i="1"/>
  <c r="V8305" i="1"/>
  <c r="V8297" i="1"/>
  <c r="V8289" i="1"/>
  <c r="V8281" i="1"/>
  <c r="V8273" i="1"/>
  <c r="V8265" i="1"/>
  <c r="V8257" i="1"/>
  <c r="V8249" i="1"/>
  <c r="V8241" i="1"/>
  <c r="V8233" i="1"/>
  <c r="V8225" i="1"/>
  <c r="V8217" i="1"/>
  <c r="V8209" i="1"/>
  <c r="V8201" i="1"/>
  <c r="V8193" i="1"/>
  <c r="V8185" i="1"/>
  <c r="V8177" i="1"/>
  <c r="V8161" i="1"/>
  <c r="V8153" i="1"/>
  <c r="V8137" i="1"/>
  <c r="V8129" i="1"/>
  <c r="V8121" i="1"/>
  <c r="V8105" i="1"/>
  <c r="V8097" i="1"/>
  <c r="V8089" i="1"/>
  <c r="V8081" i="1"/>
  <c r="V8073" i="1"/>
  <c r="V8041" i="1"/>
  <c r="V8017" i="1"/>
  <c r="V7985" i="1"/>
  <c r="V7977" i="1"/>
  <c r="V7953" i="1"/>
  <c r="V7945" i="1"/>
  <c r="V7921" i="1"/>
  <c r="V7913" i="1"/>
  <c r="V7889" i="1"/>
  <c r="V7881" i="1"/>
  <c r="V7857" i="1"/>
  <c r="V7841" i="1"/>
  <c r="V7833" i="1"/>
  <c r="V7809" i="1"/>
  <c r="V7801" i="1"/>
  <c r="V7777" i="1"/>
  <c r="V7769" i="1"/>
  <c r="V7761" i="1"/>
  <c r="V7753" i="1"/>
  <c r="V7697" i="1"/>
  <c r="V7689" i="1"/>
  <c r="X2" i="1"/>
  <c r="W2" i="1"/>
  <c r="V2" i="1"/>
</calcChain>
</file>

<file path=xl/sharedStrings.xml><?xml version="1.0" encoding="utf-8"?>
<sst xmlns="http://schemas.openxmlformats.org/spreadsheetml/2006/main" count="168638" uniqueCount="2148">
  <si>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</si>
  <si>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</si>
  <si>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</si>
  <si>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</si>
  <si>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</si>
  <si>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</si>
  <si>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</si>
  <si>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</si>
  <si>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</si>
  <si>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</si>
  <si>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</si>
  <si>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</si>
  <si>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</si>
  <si>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</si>
  <si>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</si>
  <si>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</si>
  <si>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</si>
  <si>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</si>
  <si>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</si>
  <si>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</si>
  <si>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</si>
  <si>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</si>
  <si>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</si>
  <si>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</si>
  <si>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</si>
  <si>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</si>
  <si>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</si>
  <si>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</si>
  <si>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</si>
  <si>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</si>
  <si>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</si>
  <si>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</si>
  <si>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</si>
  <si>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</si>
  <si>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</si>
  <si>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</si>
  <si>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</si>
  <si>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</si>
  <si>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</si>
  <si>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</si>
  <si>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</si>
  <si>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</si>
  <si>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</si>
  <si>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</si>
  <si>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</si>
  <si>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</si>
  <si>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</si>
  <si>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</si>
  <si>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</si>
  <si>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</si>
  <si>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</si>
  <si>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</si>
  <si>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</si>
  <si>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</si>
  <si>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</si>
  <si>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</si>
  <si>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</si>
  <si>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</si>
  <si>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</si>
  <si>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</si>
  <si>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</si>
  <si>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</si>
  <si>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</si>
  <si>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</si>
  <si>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</si>
  <si>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</si>
  <si>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</si>
  <si>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</si>
  <si>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</si>
  <si>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</si>
  <si>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</si>
  <si>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</si>
  <si>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</si>
  <si>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</si>
  <si>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</si>
  <si>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</si>
  <si>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</si>
  <si>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</si>
  <si>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</si>
  <si>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</si>
  <si>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</si>
  <si>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</si>
  <si>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</si>
  <si>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</si>
  <si>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</si>
  <si>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</si>
  <si>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</si>
  <si>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</si>
  <si>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</si>
  <si>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</si>
  <si>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</si>
  <si>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</si>
  <si>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</si>
  <si>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</si>
  <si>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</si>
  <si>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</si>
  <si>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</si>
  <si>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</si>
  <si>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</si>
  <si>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</si>
  <si>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</si>
  <si>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</si>
  <si>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</si>
  <si>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</si>
  <si>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</si>
  <si>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</si>
  <si>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</si>
  <si>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</si>
  <si>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</si>
  <si>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</si>
  <si>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</si>
  <si>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</si>
  <si>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</si>
  <si>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</si>
  <si>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</si>
  <si>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</si>
  <si>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</si>
  <si>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</si>
  <si>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</si>
  <si>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</si>
  <si>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</si>
  <si>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</si>
  <si>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</si>
  <si>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</si>
  <si>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</si>
  <si>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</si>
  <si>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</si>
  <si>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</si>
  <si>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</si>
  <si>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</si>
  <si>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</si>
  <si>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</si>
  <si>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</si>
  <si>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</si>
  <si>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</si>
  <si>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</si>
  <si>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</si>
  <si>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</si>
  <si>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</si>
  <si>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</si>
  <si>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</si>
  <si>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</si>
  <si>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</si>
  <si>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</si>
  <si>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</si>
  <si>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</si>
  <si>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</si>
  <si>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</si>
  <si>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</si>
  <si>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</si>
  <si>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</si>
  <si>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</si>
  <si>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</si>
  <si>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</si>
  <si>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</si>
  <si>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</si>
  <si>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</si>
  <si>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</si>
  <si>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</si>
  <si>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</si>
  <si>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</si>
  <si>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</si>
  <si>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</si>
  <si>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</si>
  <si>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</si>
  <si>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</si>
  <si>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</si>
  <si>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</si>
  <si>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</si>
  <si>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</si>
  <si>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</si>
  <si>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</si>
  <si>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</si>
  <si>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</si>
  <si>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</si>
  <si>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</si>
  <si>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</si>
  <si>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</si>
  <si>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</si>
  <si>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</si>
  <si>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</si>
  <si>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</si>
  <si>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</si>
  <si>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</si>
  <si>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</si>
  <si>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</si>
  <si>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</si>
  <si>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</si>
  <si>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</si>
  <si>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</si>
  <si>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</si>
  <si>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</si>
  <si>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</si>
  <si>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</si>
  <si>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</si>
  <si>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</si>
  <si>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</si>
  <si>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</si>
  <si>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</si>
  <si>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</si>
  <si>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</si>
  <si>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</si>
  <si>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</si>
  <si>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</si>
  <si>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</si>
  <si>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</si>
  <si>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</si>
  <si>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</si>
  <si>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</si>
  <si>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</si>
  <si>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</si>
  <si>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</si>
  <si>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</si>
  <si>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</si>
  <si>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</si>
  <si>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</si>
  <si>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</si>
  <si>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</si>
  <si>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</si>
  <si>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</si>
  <si>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</si>
  <si>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</si>
  <si>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</si>
  <si>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</si>
  <si>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</si>
  <si>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</si>
  <si>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</si>
  <si>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</si>
  <si>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</si>
  <si>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</si>
  <si>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</si>
  <si>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</si>
  <si>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</si>
  <si>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</si>
  <si>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</si>
  <si>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</si>
  <si>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</si>
  <si>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</si>
  <si>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</si>
  <si>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</si>
  <si>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</si>
  <si>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</si>
  <si>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</si>
  <si>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</si>
  <si>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</si>
  <si>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</si>
  <si>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</si>
  <si>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</si>
  <si>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</si>
  <si>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</si>
  <si>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</si>
  <si>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</si>
  <si>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</si>
  <si>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</si>
  <si>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</si>
  <si>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</si>
  <si>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</si>
  <si>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</si>
  <si>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</si>
  <si>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</si>
  <si>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</si>
  <si>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</si>
  <si>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</si>
  <si>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</si>
  <si>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</si>
  <si>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</si>
  <si>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</si>
  <si>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</si>
  <si>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</si>
  <si>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</si>
  <si>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</si>
  <si>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</si>
  <si>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</si>
  <si>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</si>
  <si>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</si>
  <si>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</si>
  <si>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</si>
  <si>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</si>
  <si>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</si>
  <si>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</si>
  <si>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</si>
  <si>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</si>
  <si>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</si>
  <si>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</si>
  <si>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</si>
  <si>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</si>
  <si>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</si>
  <si>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</si>
  <si>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</si>
  <si>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</si>
  <si>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</si>
  <si>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</si>
  <si>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</si>
  <si>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</si>
  <si>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</si>
  <si>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</si>
  <si>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</si>
  <si>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</si>
  <si>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</si>
  <si>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</si>
  <si>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</si>
  <si>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</si>
  <si>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</si>
  <si>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</si>
  <si>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</si>
  <si>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</si>
  <si>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</si>
  <si>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</si>
  <si>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</si>
  <si>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</si>
  <si>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</si>
  <si>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</si>
  <si>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</si>
  <si>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</si>
  <si>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</si>
  <si>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</si>
  <si>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</si>
  <si>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</si>
  <si>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</si>
  <si>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</si>
  <si>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</si>
  <si>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</si>
  <si>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</si>
  <si>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</si>
  <si>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</si>
  <si>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</si>
  <si>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</si>
  <si>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</si>
  <si>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</si>
  <si>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</si>
  <si>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</si>
  <si>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</si>
  <si>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</si>
  <si>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</si>
  <si>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</si>
  <si>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</si>
  <si>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</si>
  <si>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</si>
  <si>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</si>
  <si>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</si>
  <si>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</si>
  <si>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</si>
  <si>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</si>
  <si>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</si>
  <si>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</si>
  <si>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</si>
  <si>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</si>
  <si>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</si>
  <si>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</si>
  <si>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</si>
  <si>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</si>
  <si>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</si>
  <si>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</si>
  <si>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</si>
  <si>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</si>
  <si>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</si>
  <si>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</si>
  <si>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</si>
  <si>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</si>
  <si>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</si>
  <si>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</si>
  <si>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</si>
  <si>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</si>
  <si>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</si>
  <si>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</si>
  <si>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</si>
  <si>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</si>
  <si>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</si>
  <si>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</si>
  <si>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</si>
  <si>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</si>
  <si>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</si>
  <si>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</si>
  <si>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</si>
  <si>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</si>
  <si>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</si>
  <si>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</si>
  <si>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</si>
  <si>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</si>
  <si>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</si>
  <si>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</si>
  <si>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</si>
  <si>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</si>
  <si>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</si>
  <si>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</si>
  <si>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</si>
  <si>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</si>
  <si>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</si>
  <si>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</si>
  <si>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</si>
  <si>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</si>
  <si>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</si>
  <si>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</si>
  <si>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</si>
  <si>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</si>
  <si>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</si>
  <si>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</si>
  <si>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</si>
  <si>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</si>
  <si>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</si>
  <si>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</si>
  <si>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</si>
  <si>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</si>
  <si>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</si>
  <si>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</si>
  <si>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</si>
  <si>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</si>
  <si>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</si>
  <si>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</si>
  <si>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</si>
  <si>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</si>
  <si>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</si>
  <si>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</si>
  <si>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</si>
  <si>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</si>
  <si>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</si>
  <si>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</si>
  <si>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</si>
  <si>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</si>
  <si>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</si>
  <si>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</si>
  <si>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</si>
  <si>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</si>
  <si>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</si>
  <si>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</si>
  <si>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</si>
  <si>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</si>
  <si>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</si>
  <si>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</si>
  <si>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</si>
  <si>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</si>
  <si>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</si>
  <si>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</si>
  <si>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</si>
  <si>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</si>
  <si>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</si>
  <si>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</si>
  <si>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</si>
  <si>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</si>
  <si>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</si>
  <si>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</si>
  <si>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</si>
  <si>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</si>
  <si>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</si>
  <si>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</si>
  <si>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</si>
  <si>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</si>
  <si>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</si>
  <si>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</si>
  <si>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</si>
  <si>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</si>
  <si>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</si>
  <si>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</si>
  <si>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</si>
  <si>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</si>
  <si>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</si>
  <si>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</si>
  <si>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</si>
  <si>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</si>
  <si>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</si>
  <si>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</si>
  <si>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</si>
  <si>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</si>
  <si>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</si>
  <si>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</si>
  <si>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</si>
  <si>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</si>
  <si>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</si>
  <si>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</si>
  <si>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</si>
  <si>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</si>
  <si>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</si>
  <si>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</si>
  <si>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</si>
  <si>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</si>
  <si>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</si>
  <si>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</si>
  <si>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</si>
  <si>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</si>
  <si>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</si>
  <si>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</si>
  <si>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</si>
  <si>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</si>
  <si>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</si>
  <si>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</si>
  <si>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</si>
  <si>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</si>
  <si>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</si>
  <si>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</si>
  <si>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</si>
  <si>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</si>
  <si>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</si>
  <si>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</si>
  <si>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</si>
  <si>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</si>
  <si>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</si>
  <si>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</si>
  <si>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</si>
  <si>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</si>
  <si>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</si>
  <si>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</si>
  <si>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</si>
  <si>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</si>
  <si>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</si>
  <si>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</si>
  <si>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</si>
  <si>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</si>
  <si>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</si>
  <si>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</si>
  <si>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</si>
  <si>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</si>
  <si>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</si>
  <si>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</si>
  <si>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</si>
  <si>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</si>
  <si>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</si>
  <si>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</si>
  <si>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</si>
  <si>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</si>
  <si>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</si>
  <si>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</si>
  <si>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</si>
  <si>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</si>
  <si>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</si>
  <si>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</si>
  <si>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</si>
  <si>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</si>
  <si>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</si>
  <si>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</si>
  <si>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</si>
  <si>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</si>
  <si>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</si>
  <si>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</si>
  <si>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</si>
  <si>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</si>
  <si>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</si>
  <si>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</si>
  <si>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</si>
  <si>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</si>
  <si>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</si>
  <si>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</si>
  <si>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</si>
  <si>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</si>
  <si>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</si>
  <si>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</si>
  <si>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</si>
  <si>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</si>
  <si>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</si>
  <si>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</si>
  <si>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</si>
  <si>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</si>
  <si>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</si>
  <si>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</si>
  <si>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</si>
  <si>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</si>
  <si>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</si>
  <si>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</si>
  <si>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</si>
  <si>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</si>
  <si>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</si>
  <si>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</si>
  <si>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</si>
  <si>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</si>
  <si>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</si>
  <si>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</si>
  <si>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</si>
  <si>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</si>
  <si>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</si>
  <si>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</si>
  <si>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</si>
  <si>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</si>
  <si>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</si>
  <si>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</si>
  <si>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</si>
  <si>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</si>
  <si>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</si>
  <si>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</si>
  <si>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</si>
  <si>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</si>
  <si>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</si>
  <si>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</si>
  <si>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</si>
  <si>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</si>
  <si>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</si>
  <si>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</si>
  <si>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</si>
  <si>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</si>
  <si>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</si>
  <si>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</si>
  <si>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</si>
  <si>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</si>
  <si>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</si>
  <si>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</si>
  <si>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</si>
  <si>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</si>
  <si>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</si>
  <si>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</si>
  <si>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</si>
  <si>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</si>
  <si>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</si>
  <si>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</si>
  <si>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</si>
  <si>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</si>
  <si>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</si>
  <si>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</si>
  <si>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</si>
  <si>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</si>
  <si>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</si>
  <si>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</si>
  <si>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</si>
  <si>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</si>
  <si>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</si>
  <si>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</si>
  <si>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</si>
  <si>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</si>
  <si>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</si>
  <si>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</si>
  <si>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</si>
  <si>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</si>
  <si>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</si>
  <si>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</si>
  <si>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</si>
  <si>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</si>
  <si>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</si>
  <si>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</si>
  <si>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</si>
  <si>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</si>
  <si>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</si>
  <si>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</si>
  <si>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</si>
  <si>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</si>
  <si>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</si>
  <si>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</si>
  <si>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</si>
  <si>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</si>
  <si>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</si>
  <si>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</si>
  <si>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</si>
  <si>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</si>
  <si>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</si>
  <si>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</si>
  <si>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</si>
  <si>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</si>
  <si>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</si>
  <si>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</si>
  <si>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</si>
  <si>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</si>
  <si>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</si>
  <si>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</si>
  <si>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</si>
  <si>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</si>
  <si>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</si>
  <si>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</si>
  <si>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</si>
  <si>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</si>
  <si>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</si>
  <si>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</si>
  <si>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</si>
  <si>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</si>
  <si>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</si>
  <si>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</si>
  <si>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</si>
  <si>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</si>
  <si>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</si>
  <si>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</si>
  <si>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</si>
  <si>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</si>
  <si>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</si>
  <si>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</si>
  <si>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</si>
  <si>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</si>
  <si>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</si>
  <si>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</si>
  <si>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</si>
  <si>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</si>
  <si>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</si>
  <si>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</si>
  <si>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</si>
  <si>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</si>
  <si>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</si>
  <si>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</si>
  <si>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</si>
  <si>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</si>
  <si>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</si>
  <si>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</si>
  <si>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</si>
  <si>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</si>
  <si>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</si>
  <si>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</si>
  <si>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</si>
  <si>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</si>
  <si>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</si>
  <si>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</si>
  <si>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</si>
  <si>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</si>
  <si>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</si>
  <si>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</si>
  <si>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</si>
  <si>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</si>
  <si>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</si>
  <si>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</si>
  <si>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</si>
  <si>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</si>
  <si>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</si>
  <si>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</si>
  <si>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</si>
  <si>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</si>
  <si>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</si>
  <si>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</si>
  <si>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</si>
  <si>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</si>
  <si>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</si>
  <si>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</si>
  <si>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</si>
  <si>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</si>
  <si>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</si>
  <si>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</si>
  <si>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</si>
  <si>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</si>
  <si>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</si>
  <si>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</si>
  <si>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</si>
  <si>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</si>
  <si>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</si>
  <si>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</si>
  <si>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</si>
  <si>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</si>
  <si>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</si>
  <si>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</si>
  <si>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</si>
  <si>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</si>
  <si>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</si>
  <si>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</si>
  <si>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</si>
  <si>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</si>
  <si>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</si>
  <si>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</si>
  <si>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</si>
  <si>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</si>
  <si>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</si>
  <si>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</si>
  <si>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</si>
  <si>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</si>
  <si>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</si>
  <si>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</si>
  <si>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</si>
  <si>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</si>
  <si>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</si>
  <si>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</si>
  <si>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</si>
  <si>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</si>
  <si>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</si>
  <si>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</si>
  <si>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</si>
  <si>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</si>
  <si>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</si>
  <si>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</si>
  <si>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</si>
  <si>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</si>
  <si>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</si>
  <si>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</si>
  <si>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</si>
  <si>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</si>
  <si>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</si>
  <si>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</si>
  <si>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</si>
  <si>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</si>
  <si>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</si>
  <si>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</si>
  <si>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</si>
  <si>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</si>
  <si>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</si>
  <si>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</si>
  <si>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</si>
  <si>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</si>
  <si>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</si>
  <si>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</si>
  <si>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</si>
  <si>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</si>
  <si>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</si>
  <si>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</si>
  <si>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</si>
  <si>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</si>
  <si>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</si>
  <si>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</si>
  <si>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</si>
  <si>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</si>
  <si>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</si>
  <si>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</si>
  <si>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</si>
  <si>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</si>
  <si>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</si>
  <si>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</si>
  <si>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</si>
  <si>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</si>
  <si>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</si>
  <si>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</si>
  <si>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</si>
  <si>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</si>
  <si>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</si>
  <si>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</si>
  <si>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</si>
  <si>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</si>
  <si>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</si>
  <si>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</si>
  <si>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</si>
  <si>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</si>
  <si>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</si>
  <si>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</si>
  <si>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</si>
  <si>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</si>
  <si>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</si>
  <si>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</si>
  <si>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</si>
  <si>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</si>
  <si>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</si>
  <si>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</si>
  <si>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</si>
  <si>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</si>
  <si>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</si>
  <si>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</si>
  <si>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</si>
  <si>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</si>
  <si>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</si>
  <si>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</si>
  <si>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</si>
  <si>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</si>
  <si>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</si>
  <si>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</si>
  <si>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</si>
  <si>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</si>
  <si>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</si>
  <si>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</si>
  <si>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</si>
  <si>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</si>
  <si>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</si>
  <si>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</si>
  <si>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</si>
  <si>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</si>
  <si>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</si>
  <si>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</si>
  <si>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</si>
  <si>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</si>
  <si>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</si>
  <si>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</si>
  <si>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</si>
  <si>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</si>
  <si>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</si>
  <si>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</si>
  <si>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</si>
  <si>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</si>
  <si>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</si>
  <si>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</si>
  <si>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</si>
  <si>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</si>
  <si>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</si>
  <si>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</si>
  <si>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</si>
  <si>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</si>
  <si>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</si>
  <si>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</si>
  <si>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</si>
  <si>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</si>
  <si>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</si>
  <si>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</si>
  <si>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</si>
  <si>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</si>
  <si>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</si>
  <si>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</si>
  <si>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</si>
  <si>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</si>
  <si>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</si>
  <si>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</si>
  <si>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</si>
  <si>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</si>
  <si>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</si>
  <si>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</si>
  <si>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</si>
  <si>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</si>
  <si>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</si>
  <si>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</si>
  <si>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</si>
  <si>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</si>
  <si>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</si>
  <si>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</si>
  <si>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</si>
  <si>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</si>
  <si>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</si>
  <si>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</si>
  <si>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</si>
  <si>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</si>
  <si>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</si>
  <si>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</si>
  <si>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</si>
  <si>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</si>
  <si>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</si>
  <si>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</si>
  <si>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</si>
  <si>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</si>
  <si>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</si>
  <si>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</si>
  <si>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</si>
  <si>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</si>
  <si>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</si>
  <si>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</si>
  <si>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</si>
  <si>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</si>
  <si>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</si>
  <si>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</si>
  <si>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</si>
  <si>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</si>
  <si>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</si>
  <si>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</si>
  <si>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</si>
  <si>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</si>
  <si>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</si>
  <si>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</si>
  <si>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</si>
  <si>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</si>
  <si>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</si>
  <si>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</si>
  <si>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</si>
  <si>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</si>
  <si>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</si>
  <si>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</si>
  <si>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</si>
  <si>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</si>
  <si>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</si>
  <si>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</si>
  <si>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</si>
  <si>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</si>
  <si>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</si>
  <si>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</si>
  <si>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</si>
  <si>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</si>
  <si>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</si>
  <si>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</si>
  <si>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</si>
  <si>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</si>
  <si>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</si>
  <si>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</si>
  <si>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</si>
  <si>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</si>
  <si>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</si>
  <si>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</si>
  <si>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</si>
  <si>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</si>
  <si>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</si>
  <si>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</si>
  <si>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</si>
  <si>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</si>
  <si>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</si>
  <si>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</si>
  <si>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</si>
  <si>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</si>
  <si>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</si>
  <si>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</si>
  <si>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</si>
  <si>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</si>
  <si>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</si>
  <si>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</si>
  <si>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</si>
  <si>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</si>
  <si>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</si>
  <si>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</si>
  <si>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</si>
  <si>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</si>
  <si>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</si>
  <si>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</si>
  <si>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</si>
  <si>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</si>
  <si>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</si>
  <si>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</si>
  <si>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</si>
  <si>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</si>
  <si>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</si>
  <si>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</si>
  <si>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</si>
  <si>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</si>
  <si>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</si>
  <si>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</si>
  <si>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</si>
  <si>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</si>
  <si>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</si>
  <si>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</si>
  <si>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</si>
  <si>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</si>
  <si>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</si>
  <si>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</si>
  <si>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</si>
  <si>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</si>
  <si>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</si>
  <si>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</si>
  <si>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</si>
  <si>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</si>
  <si>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</si>
  <si>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</si>
  <si>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</si>
  <si>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</si>
  <si>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</si>
  <si>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</si>
  <si>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</si>
  <si>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</si>
  <si>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</si>
  <si>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</si>
  <si>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</si>
  <si>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</si>
  <si>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</si>
  <si>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</si>
  <si>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</si>
  <si>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</si>
  <si>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</si>
  <si>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</si>
  <si>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</si>
  <si>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</si>
  <si>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</si>
  <si>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</si>
  <si>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</si>
  <si>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</si>
  <si>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</si>
  <si>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</si>
  <si>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</si>
  <si>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</si>
  <si>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</si>
  <si>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</si>
  <si>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</si>
  <si>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</si>
  <si>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</si>
  <si>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</si>
  <si>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</si>
  <si>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</si>
  <si>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</si>
  <si>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</si>
  <si>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</si>
  <si>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</si>
  <si>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</si>
  <si>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</si>
  <si>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</si>
  <si>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</si>
  <si>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</si>
  <si>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</si>
  <si>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</si>
  <si>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</si>
  <si>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</si>
  <si>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</si>
  <si>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</si>
  <si>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</si>
  <si>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</si>
  <si>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</si>
  <si>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</si>
  <si>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</si>
  <si>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</si>
  <si>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</si>
  <si>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</si>
  <si>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</si>
  <si>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</si>
  <si>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</si>
  <si>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</si>
  <si>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</si>
  <si>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</si>
  <si>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</si>
  <si>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</si>
  <si>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</si>
  <si>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</si>
  <si>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</si>
  <si>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</si>
  <si>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</si>
  <si>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</si>
  <si>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</si>
  <si>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</si>
  <si>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</si>
  <si>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</si>
  <si>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</si>
  <si>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</si>
  <si>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</si>
  <si>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</si>
  <si>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</si>
  <si>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</si>
  <si>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</si>
  <si>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</si>
  <si>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</si>
  <si>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</si>
  <si>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</si>
  <si>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</si>
  <si>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</si>
  <si>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</si>
  <si>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</si>
  <si>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</si>
  <si>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</si>
  <si>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</si>
  <si>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</si>
  <si>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</si>
  <si>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</si>
  <si>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</si>
  <si>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</si>
  <si>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</si>
  <si>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</si>
  <si>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</si>
  <si>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</si>
  <si>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</si>
  <si>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</si>
  <si>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</si>
  <si>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</si>
  <si>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</si>
  <si>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</si>
  <si>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</si>
  <si>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</si>
  <si>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</si>
  <si>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</si>
  <si>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</si>
  <si>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</si>
  <si>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</si>
  <si>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</si>
  <si>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</si>
  <si>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</si>
  <si>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</si>
  <si>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</si>
  <si>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</si>
  <si>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</si>
  <si>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</si>
  <si>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</si>
  <si>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</si>
  <si>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</si>
  <si>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</si>
  <si>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</si>
  <si>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</si>
  <si>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</si>
  <si>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</si>
  <si>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</si>
  <si>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</si>
  <si>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</si>
  <si>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</si>
  <si>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</si>
  <si>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</si>
  <si>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</si>
  <si>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</si>
  <si>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</si>
  <si>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</si>
  <si>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</si>
  <si>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</si>
  <si>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</si>
  <si>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</si>
  <si>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</si>
  <si>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</si>
  <si>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</si>
  <si>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</si>
  <si>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</si>
  <si>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</si>
  <si>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</si>
  <si>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</si>
  <si>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</si>
  <si>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</si>
  <si>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</si>
  <si>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</si>
  <si>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</si>
  <si>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</si>
  <si>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</si>
  <si>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</si>
  <si>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</si>
  <si>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</si>
  <si>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</si>
  <si>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</si>
  <si>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</si>
  <si>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</si>
  <si>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</si>
  <si>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</si>
  <si>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</si>
  <si>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</si>
  <si>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</si>
  <si>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</si>
  <si>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</si>
  <si>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</si>
  <si>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</si>
  <si>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</si>
  <si>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</si>
  <si>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</si>
  <si>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</si>
  <si>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</si>
  <si>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</si>
  <si>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</si>
  <si>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</si>
  <si>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</si>
  <si>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</si>
  <si>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</si>
  <si>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</si>
  <si>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</si>
  <si>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</si>
  <si>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</si>
  <si>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</si>
  <si>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</si>
  <si>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</si>
  <si>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</si>
  <si>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</si>
  <si>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</si>
  <si>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</si>
  <si>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</si>
  <si>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</si>
  <si>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</si>
  <si>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</si>
  <si>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</si>
  <si>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</si>
  <si>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</si>
  <si>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</si>
  <si>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</si>
  <si>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</si>
  <si>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</si>
  <si>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</si>
  <si>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</si>
  <si>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</si>
  <si>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</si>
  <si>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</si>
  <si>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</si>
  <si>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</si>
  <si>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</si>
  <si>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</si>
  <si>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</si>
  <si>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</si>
  <si>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</si>
  <si>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</si>
  <si>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</si>
  <si>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</si>
  <si>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</si>
  <si>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</si>
  <si>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</si>
  <si>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</si>
  <si>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</si>
  <si>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</si>
  <si>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</si>
  <si>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</si>
  <si>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</si>
  <si>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</si>
  <si>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</si>
  <si>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</si>
  <si>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</si>
  <si>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</si>
  <si>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</si>
  <si>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</si>
  <si>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</si>
  <si>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</si>
  <si>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</si>
  <si>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</si>
  <si>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</si>
  <si>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</si>
  <si>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</si>
  <si>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</si>
  <si>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</si>
  <si>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</si>
  <si>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</si>
  <si>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</si>
  <si>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</si>
  <si>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</si>
  <si>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</si>
  <si>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</si>
  <si>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</si>
  <si>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</si>
  <si>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</si>
  <si>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</si>
  <si>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</si>
  <si>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</si>
  <si>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</si>
  <si>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</si>
  <si>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</si>
  <si>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</si>
  <si>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</si>
  <si>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</si>
  <si>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</si>
  <si>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</si>
  <si>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</si>
  <si>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</si>
  <si>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</si>
  <si>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</si>
  <si>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</si>
  <si>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</si>
  <si>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</si>
  <si>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</si>
  <si>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</si>
  <si>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</si>
  <si>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</si>
  <si>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</si>
  <si>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</si>
  <si>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</si>
  <si>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</si>
  <si>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</si>
  <si>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</si>
  <si>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</si>
  <si>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</si>
  <si>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</si>
  <si>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</si>
  <si>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</si>
  <si>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</si>
  <si>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</si>
  <si>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</si>
  <si>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</si>
  <si>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</si>
  <si>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</si>
  <si>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</si>
  <si>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</si>
  <si>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</si>
  <si>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</si>
  <si>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</si>
  <si>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</si>
  <si>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</si>
  <si>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</si>
  <si>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</si>
  <si>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</si>
  <si>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</si>
  <si>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</si>
  <si>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</si>
  <si>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</si>
  <si>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</si>
  <si>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</si>
  <si>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</si>
  <si>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</si>
  <si>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</si>
  <si>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</si>
  <si>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</si>
  <si>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</si>
  <si>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</si>
  <si>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</si>
  <si>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</si>
  <si>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</si>
  <si>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</si>
  <si>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</si>
  <si>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</si>
  <si>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</si>
  <si>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</si>
  <si>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</si>
  <si>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</si>
  <si>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</si>
  <si>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</si>
  <si>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</si>
  <si>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</si>
  <si>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</si>
  <si>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</si>
  <si>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</si>
  <si>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</si>
  <si>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</si>
  <si>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</si>
  <si>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</si>
  <si>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</si>
  <si>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</si>
  <si>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</si>
  <si>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</si>
  <si>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</si>
  <si>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</si>
  <si>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</si>
  <si>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</si>
  <si>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</si>
  <si>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</si>
  <si>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</si>
  <si>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</si>
  <si>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</si>
  <si>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</si>
  <si>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</si>
  <si>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</si>
  <si>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</si>
  <si>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</si>
  <si>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</si>
  <si>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</si>
  <si>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</si>
  <si>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</si>
  <si>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</si>
  <si>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</si>
  <si>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</si>
  <si>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</si>
  <si>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</si>
  <si>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</si>
  <si>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</si>
  <si>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</si>
  <si>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</si>
  <si>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</si>
  <si>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</si>
  <si>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</si>
  <si>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</si>
  <si>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</si>
  <si>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</si>
  <si>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</si>
  <si>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</si>
  <si>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</si>
  <si>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</si>
  <si>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</si>
  <si>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</si>
  <si>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</si>
  <si>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</si>
  <si>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</si>
  <si>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</si>
  <si>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</si>
  <si>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</si>
  <si>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</si>
  <si>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</si>
  <si>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</si>
  <si>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</si>
  <si>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</si>
  <si>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</si>
  <si>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</si>
  <si>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</si>
  <si>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</si>
  <si>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</si>
  <si>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</si>
  <si>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</si>
  <si>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</si>
  <si>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</si>
  <si>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</si>
  <si>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</si>
  <si>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</si>
  <si>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</si>
  <si>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</si>
  <si>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</si>
  <si>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</si>
  <si>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</si>
  <si>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</si>
  <si>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</si>
  <si>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</si>
  <si>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</si>
  <si>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</si>
  <si>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</si>
  <si>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</si>
  <si>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</si>
  <si>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</si>
  <si>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</si>
  <si>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</si>
  <si>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</si>
  <si>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</si>
  <si>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</si>
  <si>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</si>
  <si>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</si>
  <si>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</si>
  <si>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</si>
  <si>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</si>
  <si>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</si>
  <si>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</si>
  <si>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</si>
  <si>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</si>
  <si>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</si>
  <si>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</si>
  <si>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</si>
  <si>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</si>
  <si>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</si>
  <si>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</si>
  <si>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</si>
  <si>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</si>
  <si>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</si>
  <si>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</si>
  <si>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</si>
  <si>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</si>
  <si>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</si>
  <si>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</si>
  <si>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</si>
  <si>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</si>
  <si>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</si>
  <si>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</si>
  <si>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</si>
  <si>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</si>
  <si>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</si>
  <si>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</si>
  <si>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</si>
  <si>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</si>
  <si>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</si>
  <si>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</si>
  <si>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</si>
  <si>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</si>
  <si>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</si>
  <si>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</si>
  <si>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</si>
  <si>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</si>
  <si>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</si>
  <si>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</si>
  <si>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</si>
  <si>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</si>
  <si>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</si>
  <si>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</si>
  <si>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</si>
  <si>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</si>
  <si>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</si>
  <si>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</si>
  <si>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</si>
  <si>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</si>
  <si>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</si>
  <si>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</si>
  <si>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</si>
  <si>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</si>
  <si>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</si>
  <si>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</si>
  <si>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</si>
  <si>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</si>
  <si>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</si>
  <si>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</si>
  <si>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</si>
  <si>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</si>
  <si>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</si>
  <si>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</si>
  <si>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</si>
  <si>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</si>
  <si>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</si>
  <si>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</si>
  <si>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</si>
  <si>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</si>
  <si>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</si>
  <si>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</si>
  <si>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</si>
  <si>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</si>
  <si>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</si>
  <si>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</si>
  <si>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</si>
  <si>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</si>
  <si>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</si>
  <si>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</si>
  <si>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</si>
  <si>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</si>
  <si>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</si>
  <si>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</si>
  <si>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</si>
  <si>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</si>
  <si>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</si>
  <si>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</si>
  <si>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</si>
  <si>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</si>
  <si>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</si>
  <si>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</si>
  <si>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</si>
  <si>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</si>
  <si>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</si>
  <si>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</si>
  <si>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</si>
  <si>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</si>
  <si>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</si>
  <si>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</si>
  <si>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</si>
  <si>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</si>
  <si>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</si>
  <si>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</si>
  <si>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</si>
  <si>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</si>
  <si>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</si>
  <si>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</si>
  <si>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</si>
  <si>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</si>
  <si>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</si>
  <si>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</si>
  <si>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</si>
  <si>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</si>
  <si>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</si>
  <si>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</si>
  <si>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</si>
  <si>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</si>
  <si>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</si>
  <si>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</si>
  <si>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</si>
  <si>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</si>
  <si>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</si>
  <si>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</si>
  <si>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</si>
  <si>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</si>
  <si>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</si>
  <si>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</si>
  <si>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</si>
  <si>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</si>
  <si>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</si>
  <si>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</si>
  <si>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</si>
  <si>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</si>
  <si>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</si>
  <si>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</si>
  <si>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</si>
  <si>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</si>
  <si>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</si>
  <si>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</si>
  <si>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</si>
  <si>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</si>
  <si>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</si>
  <si>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</si>
  <si>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</si>
  <si>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</si>
  <si>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</si>
  <si>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</si>
  <si>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</si>
  <si>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</si>
  <si>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</si>
  <si>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</si>
  <si>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</si>
  <si>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</si>
  <si>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</si>
  <si>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</si>
  <si>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</si>
  <si>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</si>
  <si>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</si>
  <si>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</si>
  <si>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</si>
  <si>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</si>
  <si>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</si>
  <si>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</si>
  <si>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</si>
  <si>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</si>
  <si>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</si>
  <si>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</si>
  <si>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</si>
  <si>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</si>
  <si>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</si>
  <si>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</si>
  <si>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</si>
  <si>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</si>
  <si>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</si>
  <si>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</si>
  <si>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</si>
  <si>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</si>
  <si>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</si>
  <si>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</si>
  <si>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</si>
  <si>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</si>
  <si>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</si>
  <si>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</si>
  <si>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</si>
  <si>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</si>
  <si>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</si>
  <si>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</si>
  <si>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</si>
  <si>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</si>
  <si>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</si>
  <si>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</si>
  <si>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</si>
  <si>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</si>
  <si>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</si>
  <si>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</si>
  <si>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</si>
  <si>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</si>
  <si>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</si>
  <si>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</si>
  <si>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</si>
  <si>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</si>
  <si>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</si>
  <si>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</si>
  <si>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</si>
  <si>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</si>
  <si>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</si>
  <si>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</si>
  <si>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</si>
  <si>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</si>
  <si>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</si>
  <si>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</si>
  <si>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</si>
  <si>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</si>
  <si>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</si>
  <si>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</si>
  <si>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</si>
  <si>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</si>
  <si>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</si>
  <si>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</si>
  <si>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</si>
  <si>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</si>
  <si>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</si>
  <si>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</si>
  <si>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</si>
  <si>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</si>
  <si>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</si>
  <si>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</si>
  <si>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</si>
  <si>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</si>
  <si>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</si>
  <si>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</si>
  <si>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</si>
  <si>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</si>
  <si>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</si>
  <si>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</si>
  <si>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</si>
  <si>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</si>
  <si>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</si>
  <si>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</si>
  <si>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</si>
  <si>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</si>
  <si>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</si>
  <si>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</si>
  <si>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</si>
  <si>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</si>
  <si>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</si>
  <si>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</si>
  <si>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</si>
  <si>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</si>
  <si>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</si>
  <si>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</si>
  <si>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</si>
  <si>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</si>
  <si>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</si>
  <si>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</si>
  <si>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</si>
  <si>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</si>
  <si>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</si>
  <si>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</si>
  <si>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</si>
  <si>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</si>
  <si>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</si>
  <si>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</si>
  <si>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</si>
  <si>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</si>
  <si>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</si>
  <si>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</si>
  <si>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</si>
  <si>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</si>
  <si>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</si>
  <si>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</si>
  <si>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</si>
  <si>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</si>
  <si>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</si>
  <si>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</si>
  <si>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</si>
  <si>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</si>
  <si>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</si>
  <si>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</si>
  <si>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</si>
  <si>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</si>
  <si>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</si>
  <si>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</si>
  <si>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</si>
  <si>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</si>
  <si>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</si>
  <si>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</si>
  <si>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</si>
  <si>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</si>
  <si>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</si>
  <si>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</si>
  <si>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</si>
  <si>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</si>
  <si>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</si>
  <si>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</si>
  <si>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</si>
  <si>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</si>
  <si>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</si>
  <si>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</si>
  <si>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</si>
  <si>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</si>
  <si>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</si>
  <si>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</si>
  <si>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</si>
  <si>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</si>
  <si>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</si>
  <si>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</si>
  <si>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</si>
  <si>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</si>
  <si>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</si>
  <si>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</si>
  <si>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</si>
  <si>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</si>
  <si>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</si>
  <si>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</si>
  <si>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</si>
  <si>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</si>
  <si>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</si>
  <si>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</si>
  <si>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</si>
  <si>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</si>
  <si>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</si>
  <si>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</si>
  <si>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</si>
  <si>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</si>
  <si>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</si>
  <si>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</si>
  <si>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</si>
  <si>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</si>
  <si>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</si>
  <si>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</si>
  <si>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</si>
  <si>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</si>
  <si>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</si>
  <si>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</si>
  <si>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</si>
  <si>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</si>
  <si>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</si>
  <si>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</si>
  <si>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</si>
  <si>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</si>
  <si>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</si>
  <si>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</si>
  <si>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</si>
  <si>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</si>
  <si>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</si>
  <si>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</si>
  <si>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</si>
  <si>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</si>
  <si>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</si>
  <si>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</si>
  <si>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</si>
  <si>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</si>
  <si>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</si>
  <si>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</si>
  <si>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</si>
  <si>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</si>
  <si>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</si>
  <si>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</si>
  <si>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</si>
  <si>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</si>
  <si>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</si>
  <si>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</si>
  <si>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</si>
  <si>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</si>
  <si>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</si>
  <si>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</si>
  <si>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</si>
  <si>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</si>
  <si>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</si>
  <si>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</si>
  <si>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</si>
  <si>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</si>
  <si>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</si>
  <si>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</si>
  <si>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</si>
  <si>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</si>
  <si>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</si>
  <si>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</si>
  <si>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</si>
  <si>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</si>
  <si>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</si>
  <si>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</si>
  <si>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</si>
  <si>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</si>
  <si>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</si>
  <si>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</si>
  <si>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</si>
  <si>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</si>
  <si>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</si>
  <si>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</si>
  <si>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</si>
  <si>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</si>
  <si>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</si>
  <si>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</si>
  <si>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</si>
  <si>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</si>
  <si>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</si>
  <si>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</si>
  <si>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</si>
  <si>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</si>
  <si>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</si>
  <si>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</si>
  <si>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</si>
  <si>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</si>
  <si>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</si>
  <si>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</si>
  <si>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</si>
  <si>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</si>
  <si>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</si>
  <si>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</si>
  <si>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</si>
  <si>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</si>
  <si>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</si>
  <si>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</si>
  <si>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</si>
  <si>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</si>
  <si>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</si>
  <si>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</si>
  <si>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</si>
  <si>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</si>
  <si>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</si>
  <si>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</si>
  <si>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</si>
  <si>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</si>
  <si>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</si>
  <si>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</si>
  <si>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</si>
  <si>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</si>
  <si>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</si>
  <si>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</si>
  <si>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</si>
  <si>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</si>
  <si>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</si>
  <si>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</si>
  <si>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</si>
  <si>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</si>
  <si>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</si>
  <si>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</si>
  <si>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</si>
  <si>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</si>
  <si>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</si>
  <si>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</si>
  <si>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</si>
  <si>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</si>
  <si>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</si>
  <si>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</si>
  <si>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</si>
  <si>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</si>
  <si>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</si>
  <si>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</si>
  <si>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</si>
  <si>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</si>
  <si>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</si>
  <si>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</si>
  <si>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</si>
  <si>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</si>
  <si>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</si>
  <si>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</si>
  <si>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</si>
  <si>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</si>
  <si>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</si>
  <si>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</si>
  <si>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</si>
  <si>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</si>
  <si>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</si>
  <si>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</si>
  <si>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</si>
  <si>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</si>
  <si>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</si>
  <si>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</si>
  <si>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</si>
  <si>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</si>
  <si>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</si>
  <si>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</si>
  <si>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</si>
  <si>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</si>
  <si>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</si>
  <si>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</si>
  <si>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</si>
  <si>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</si>
  <si>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</si>
  <si>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</si>
  <si>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</si>
  <si>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</si>
  <si>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</si>
  <si>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</si>
  <si>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</si>
  <si>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</si>
  <si>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</si>
  <si>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</si>
  <si>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</si>
  <si>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</si>
  <si>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</si>
  <si>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</si>
  <si>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</si>
  <si>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</si>
  <si>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</si>
  <si>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</si>
  <si>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</si>
  <si>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</si>
  <si>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</si>
  <si>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</si>
  <si>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</si>
  <si>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</si>
  <si>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</si>
  <si>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</si>
  <si>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</si>
  <si>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</si>
  <si>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</si>
  <si>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</si>
  <si>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</si>
  <si>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</si>
  <si>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</si>
  <si>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</si>
  <si>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</si>
  <si>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</si>
  <si>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</si>
  <si>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</si>
  <si>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</si>
  <si>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</si>
  <si>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</si>
  <si>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</si>
  <si>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</si>
  <si>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</si>
  <si>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</si>
  <si>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</si>
  <si>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</si>
  <si>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</si>
  <si>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</si>
  <si>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</si>
  <si>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</si>
  <si>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</si>
  <si>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</si>
  <si>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</si>
  <si>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</si>
  <si>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</si>
  <si>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</si>
  <si>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</si>
  <si>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</si>
  <si>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</si>
  <si>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</si>
  <si>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</si>
  <si>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</si>
  <si>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</si>
  <si>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</si>
  <si>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</si>
  <si>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</si>
  <si>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</si>
  <si>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</si>
  <si>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</si>
  <si>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</si>
  <si>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</si>
  <si>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</si>
  <si>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</si>
  <si>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</si>
  <si>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</si>
  <si>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</si>
  <si>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</si>
  <si>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</si>
  <si>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</si>
  <si>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</si>
  <si>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</si>
  <si>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</si>
  <si>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</si>
  <si>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</si>
  <si>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</si>
  <si>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</si>
  <si>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</si>
  <si>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</si>
  <si>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</si>
  <si>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</si>
  <si>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</si>
  <si>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</si>
  <si>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</si>
  <si>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</si>
  <si>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</si>
  <si>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</si>
  <si>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</si>
  <si>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</si>
  <si>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</si>
  <si>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</si>
  <si>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</si>
  <si>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</si>
  <si>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</si>
  <si>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</si>
  <si>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</si>
  <si>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</si>
  <si>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</si>
  <si>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</si>
  <si>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</si>
  <si>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</si>
  <si>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</si>
  <si>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</si>
  <si>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</si>
  <si>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</si>
  <si>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</si>
  <si>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</si>
  <si>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</si>
  <si>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</si>
  <si>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</si>
  <si>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</si>
  <si>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</si>
  <si>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</si>
  <si>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</si>
  <si>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</si>
  <si>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</si>
  <si>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</si>
  <si>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</si>
  <si>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</si>
  <si>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</si>
  <si>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</si>
  <si>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</si>
  <si>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</si>
  <si>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</si>
  <si>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</si>
  <si>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</si>
  <si>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</si>
  <si>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</si>
  <si>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</si>
  <si>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</si>
  <si>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</si>
  <si>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</si>
  <si>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</si>
  <si>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</si>
  <si>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</si>
  <si>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</si>
  <si>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</si>
  <si>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</si>
  <si>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</si>
  <si>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</si>
  <si>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</si>
  <si>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</si>
  <si>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</si>
  <si>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</si>
  <si>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</si>
  <si>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</si>
  <si>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</si>
  <si>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</si>
  <si>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</si>
  <si>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</si>
  <si>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</si>
  <si>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</si>
  <si>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</si>
  <si>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</si>
  <si>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</si>
  <si>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</si>
  <si>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</si>
  <si>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</si>
  <si>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</si>
  <si>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</si>
  <si>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</si>
  <si>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</si>
  <si>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</si>
  <si>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</si>
  <si>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</si>
  <si>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</si>
  <si>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</si>
  <si>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</si>
  <si>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</si>
  <si>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</si>
  <si>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</si>
  <si>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</si>
  <si>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</si>
  <si>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</si>
  <si>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</si>
  <si>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</si>
  <si>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</si>
  <si>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</si>
  <si>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</si>
  <si>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</si>
  <si>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</si>
  <si>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</si>
  <si>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</si>
  <si>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</si>
  <si>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</si>
  <si>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</si>
  <si>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</si>
  <si>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</si>
  <si>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</si>
  <si>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</si>
  <si>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</si>
  <si>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</si>
  <si>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</si>
  <si>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</si>
  <si>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</si>
  <si>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</si>
  <si>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</si>
  <si>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</si>
  <si>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</si>
  <si>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</si>
  <si>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</si>
  <si>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</si>
  <si>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</si>
  <si>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</si>
  <si>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</si>
  <si>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</si>
  <si>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</si>
  <si>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</si>
  <si>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</si>
  <si>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</si>
  <si>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</si>
  <si>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</si>
  <si>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</si>
  <si>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</si>
  <si>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</si>
  <si>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</si>
  <si>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</si>
  <si>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</si>
  <si>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</si>
  <si>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</si>
  <si>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</si>
  <si>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</si>
  <si>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</si>
  <si>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</si>
  <si>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</si>
  <si>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</si>
  <si>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Ship Day</t>
  </si>
  <si>
    <t>Ship Month</t>
  </si>
  <si>
    <t>Ship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</si>
</sst>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Open Sans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 applyAlignment="1"/>
    <xf numFmtId="14" fontId="2" fillId="0" borderId="0" xfId="0" applyNumberFormat="1" applyFont="1" applyAlignment="1"/>
    <xf numFmtId="2" fontId="2" fillId="0" borderId="0" xfId="0" applyNumberFormat="1" applyFont="1" applyAlignment="1"/>
    <xf numFmtId="0" fontId="3" fillId="0" borderId="0" xfId="0" applyFont="1"/>
    <xf numFmtId="0" fontId="1" fillId="0" borderId="0" xfId="0" applyFont="1" applyAlignment="1"/>
    <xf numFmtId="0" fontId="1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400"/>
  <sheetViews>
    <sheetView tabSelected="1" topLeftCell="R1" workbookViewId="0">
      <pane ySplit="1" topLeftCell="A2" activePane="bottomLeft" state="frozen"/>
      <selection pane="bottomLeft" activeCell="Y4" sqref="Y4"/>
    </sheetView>
  </sheetViews>
  <sheetFormatPr defaultColWidth="14.42578125" defaultRowHeight="15" customHeight="1"/>
  <cols>
    <col min="1" max="1" width="9.140625" customWidth="1"/>
    <col min="2" max="2" width="11" customWidth="1"/>
    <col min="3" max="3" width="18.140625" customWidth="1"/>
    <col min="4" max="4" width="15.85546875" customWidth="1"/>
    <col min="5" max="6" width="16.85546875" customWidth="1"/>
    <col min="7" max="7" width="11.28515625" customWidth="1"/>
    <col min="8" max="9" width="13.5703125" customWidth="1"/>
    <col min="10" max="10" width="12.28515625" customWidth="1"/>
    <col min="11" max="11" width="16.42578125" customWidth="1"/>
    <col min="12" max="12" width="18.42578125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62.85546875" customWidth="1"/>
    <col min="19" max="19" width="20.28515625" customWidth="1"/>
    <col min="20" max="20" width="23.28515625" customWidth="1"/>
    <col min="21" max="21" width="18.42578125" customWidth="1"/>
  </cols>
  <sheetData>
    <row r="1" spans="1:24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9" t="s">
        <v>2145</v>
      </c>
      <c r="W1" s="9" t="s">
        <v>2146</v>
      </c>
      <c r="X1" s="9" t="s">
        <v>2147</v>
      </c>
    </row>
    <row r="2" spans="1:24" ht="12" customHeight="1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  <c r="V2">
        <f>DAY(U2)</f>
        <v>20</v>
      </c>
      <c r="W2">
        <f>MONTH(U2)</f>
        <v>10</v>
      </c>
      <c r="X2">
        <f>YEAR(U2)</f>
        <v>2010</v>
      </c>
    </row>
    <row r="3" spans="1:24" ht="12" customHeight="1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  <c r="V3">
        <f>DAY(U3)</f>
        <v>2</v>
      </c>
      <c r="W3">
        <f t="shared" ref="W3:W66" si="1">MONTH(U3)</f>
        <v>10</v>
      </c>
      <c r="X3">
        <f t="shared" ref="X3:X66" si="2">YEAR(U3)</f>
        <v>2012</v>
      </c>
    </row>
    <row r="4" spans="1:24" ht="12" customHeight="1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3">C4+2</f>
        <v>41185</v>
      </c>
      <c r="V4">
        <f t="shared" ref="V4:V67" si="4">DAY(U4)</f>
        <v>3</v>
      </c>
      <c r="W4">
        <f t="shared" si="1"/>
        <v>10</v>
      </c>
      <c r="X4">
        <f t="shared" si="2"/>
        <v>2012</v>
      </c>
    </row>
    <row r="5" spans="1:24" ht="12" customHeight="1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3"/>
        <v>40736</v>
      </c>
      <c r="V5">
        <f t="shared" si="4"/>
        <v>12</v>
      </c>
      <c r="W5">
        <f t="shared" si="1"/>
        <v>7</v>
      </c>
      <c r="X5">
        <f t="shared" si="2"/>
        <v>2011</v>
      </c>
    </row>
    <row r="6" spans="1:24" ht="12" customHeight="1">
      <c r="A6" s="4">
        <v>85</v>
      </c>
      <c r="B6" s="4">
        <v>515</v>
      </c>
      <c r="C6" s="5">
        <f t="shared" ref="C6:C7" si="5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3"/>
        <v>40420</v>
      </c>
      <c r="V6">
        <f t="shared" si="4"/>
        <v>30</v>
      </c>
      <c r="W6">
        <f t="shared" si="1"/>
        <v>8</v>
      </c>
      <c r="X6">
        <f t="shared" si="2"/>
        <v>2010</v>
      </c>
    </row>
    <row r="7" spans="1:24" ht="12" customHeight="1">
      <c r="A7" s="4">
        <v>86</v>
      </c>
      <c r="B7" s="4">
        <v>515</v>
      </c>
      <c r="C7" s="5">
        <f t="shared" si="5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3"/>
        <v>40420</v>
      </c>
      <c r="V7">
        <f t="shared" si="4"/>
        <v>30</v>
      </c>
      <c r="W7">
        <f t="shared" si="1"/>
        <v>8</v>
      </c>
      <c r="X7">
        <f t="shared" si="2"/>
        <v>2010</v>
      </c>
    </row>
    <row r="8" spans="1:24" ht="12" customHeight="1">
      <c r="A8" s="4">
        <v>97</v>
      </c>
      <c r="B8" s="4">
        <v>613</v>
      </c>
      <c r="C8" s="5">
        <f t="shared" ref="C8:C9" si="6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  <c r="V8">
        <f t="shared" si="4"/>
        <v>17</v>
      </c>
      <c r="W8">
        <f t="shared" si="1"/>
        <v>6</v>
      </c>
      <c r="X8">
        <f t="shared" si="2"/>
        <v>2011</v>
      </c>
    </row>
    <row r="9" spans="1:24" ht="12" customHeight="1">
      <c r="A9" s="4">
        <v>98</v>
      </c>
      <c r="B9" s="4">
        <v>613</v>
      </c>
      <c r="C9" s="5">
        <f t="shared" si="6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7">C9+1</f>
        <v>40712</v>
      </c>
      <c r="V9">
        <f t="shared" si="4"/>
        <v>18</v>
      </c>
      <c r="W9">
        <f t="shared" si="1"/>
        <v>6</v>
      </c>
      <c r="X9">
        <f t="shared" si="2"/>
        <v>2011</v>
      </c>
    </row>
    <row r="10" spans="1:24" ht="12" customHeight="1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7"/>
        <v>40627</v>
      </c>
      <c r="V10">
        <f t="shared" si="4"/>
        <v>25</v>
      </c>
      <c r="W10">
        <f t="shared" si="1"/>
        <v>3</v>
      </c>
      <c r="X10">
        <f t="shared" si="2"/>
        <v>2011</v>
      </c>
    </row>
    <row r="11" spans="1:24" ht="12" customHeight="1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  <c r="V11">
        <f t="shared" si="4"/>
        <v>26</v>
      </c>
      <c r="W11">
        <f t="shared" si="1"/>
        <v>2</v>
      </c>
      <c r="X11">
        <f t="shared" si="2"/>
        <v>2010</v>
      </c>
    </row>
    <row r="12" spans="1:24" ht="12" customHeight="1">
      <c r="A12" s="4">
        <v>127</v>
      </c>
      <c r="B12" s="4">
        <v>807</v>
      </c>
      <c r="C12" s="5">
        <f t="shared" ref="C12:C13" si="8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9">C12+1</f>
        <v>40506</v>
      </c>
      <c r="V12">
        <f t="shared" si="4"/>
        <v>24</v>
      </c>
      <c r="W12">
        <f t="shared" si="1"/>
        <v>11</v>
      </c>
      <c r="X12">
        <f t="shared" si="2"/>
        <v>2010</v>
      </c>
    </row>
    <row r="13" spans="1:24" ht="12" customHeight="1">
      <c r="A13" s="4">
        <v>128</v>
      </c>
      <c r="B13" s="4">
        <v>807</v>
      </c>
      <c r="C13" s="5">
        <f t="shared" si="8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9"/>
        <v>40506</v>
      </c>
      <c r="V13">
        <f t="shared" si="4"/>
        <v>24</v>
      </c>
      <c r="W13">
        <f t="shared" si="1"/>
        <v>11</v>
      </c>
      <c r="X13">
        <f t="shared" si="2"/>
        <v>2010</v>
      </c>
    </row>
    <row r="14" spans="1:24" ht="12" customHeight="1">
      <c r="A14" s="4">
        <v>134</v>
      </c>
      <c r="B14" s="4">
        <v>868</v>
      </c>
      <c r="C14" s="5">
        <f t="shared" ref="C14:C15" si="10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9"/>
        <v>41069</v>
      </c>
      <c r="V14">
        <f t="shared" si="4"/>
        <v>9</v>
      </c>
      <c r="W14">
        <f t="shared" si="1"/>
        <v>6</v>
      </c>
      <c r="X14">
        <f t="shared" si="2"/>
        <v>2012</v>
      </c>
    </row>
    <row r="15" spans="1:24" ht="12" customHeight="1">
      <c r="A15" s="4">
        <v>135</v>
      </c>
      <c r="B15" s="4">
        <v>868</v>
      </c>
      <c r="C15" s="5">
        <f t="shared" si="10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  <c r="V15">
        <f t="shared" si="4"/>
        <v>10</v>
      </c>
      <c r="W15">
        <f t="shared" si="1"/>
        <v>6</v>
      </c>
      <c r="X15">
        <f t="shared" si="2"/>
        <v>2012</v>
      </c>
    </row>
    <row r="16" spans="1:24" ht="12" customHeight="1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  <c r="V16">
        <f t="shared" si="4"/>
        <v>4</v>
      </c>
      <c r="W16">
        <f t="shared" si="1"/>
        <v>8</v>
      </c>
      <c r="X16">
        <f t="shared" si="2"/>
        <v>2012</v>
      </c>
    </row>
    <row r="17" spans="1:24" ht="12" customHeight="1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11">C17+1</f>
        <v>40694</v>
      </c>
      <c r="V17">
        <f t="shared" si="4"/>
        <v>31</v>
      </c>
      <c r="W17">
        <f t="shared" si="1"/>
        <v>5</v>
      </c>
      <c r="X17">
        <f t="shared" si="2"/>
        <v>2011</v>
      </c>
    </row>
    <row r="18" spans="1:24" ht="12" customHeight="1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11"/>
        <v>40143</v>
      </c>
      <c r="V18">
        <f t="shared" si="4"/>
        <v>26</v>
      </c>
      <c r="W18">
        <f t="shared" si="1"/>
        <v>11</v>
      </c>
      <c r="X18">
        <f t="shared" si="2"/>
        <v>2009</v>
      </c>
    </row>
    <row r="19" spans="1:24" ht="12" customHeight="1">
      <c r="A19" s="4">
        <v>175</v>
      </c>
      <c r="B19" s="4">
        <v>1154</v>
      </c>
      <c r="C19" s="5">
        <f t="shared" ref="C19:C20" si="12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3">C19+2</f>
        <v>40955</v>
      </c>
      <c r="V19">
        <f t="shared" si="4"/>
        <v>16</v>
      </c>
      <c r="W19">
        <f t="shared" si="1"/>
        <v>2</v>
      </c>
      <c r="X19">
        <f t="shared" si="2"/>
        <v>2012</v>
      </c>
    </row>
    <row r="20" spans="1:24" ht="12" customHeight="1">
      <c r="A20" s="4">
        <v>176</v>
      </c>
      <c r="B20" s="4">
        <v>1154</v>
      </c>
      <c r="C20" s="5">
        <f t="shared" si="12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3"/>
        <v>40955</v>
      </c>
      <c r="V20">
        <f t="shared" si="4"/>
        <v>16</v>
      </c>
      <c r="W20">
        <f t="shared" si="1"/>
        <v>2</v>
      </c>
      <c r="X20">
        <f t="shared" si="2"/>
        <v>2012</v>
      </c>
    </row>
    <row r="21" spans="1:24" ht="12" customHeight="1">
      <c r="A21" s="4">
        <v>203</v>
      </c>
      <c r="B21" s="4">
        <v>1344</v>
      </c>
      <c r="C21" s="5">
        <f t="shared" ref="C21:C22" si="14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  <c r="V21">
        <f t="shared" si="4"/>
        <v>22</v>
      </c>
      <c r="W21">
        <f t="shared" si="1"/>
        <v>4</v>
      </c>
      <c r="X21">
        <f t="shared" si="2"/>
        <v>2012</v>
      </c>
    </row>
    <row r="22" spans="1:24" ht="12" customHeight="1">
      <c r="A22" s="4">
        <v>204</v>
      </c>
      <c r="B22" s="4">
        <v>1344</v>
      </c>
      <c r="C22" s="5">
        <f t="shared" si="14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  <c r="V22">
        <f t="shared" si="4"/>
        <v>19</v>
      </c>
      <c r="W22">
        <f t="shared" si="1"/>
        <v>4</v>
      </c>
      <c r="X22">
        <f t="shared" si="2"/>
        <v>2012</v>
      </c>
    </row>
    <row r="23" spans="1:24" ht="12" customHeight="1">
      <c r="A23" s="4">
        <v>213</v>
      </c>
      <c r="B23" s="4">
        <v>1412</v>
      </c>
      <c r="C23" s="5">
        <f t="shared" ref="C23:C24" si="15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6">C23+2</f>
        <v>40251</v>
      </c>
      <c r="V23">
        <f t="shared" si="4"/>
        <v>14</v>
      </c>
      <c r="W23">
        <f t="shared" si="1"/>
        <v>3</v>
      </c>
      <c r="X23">
        <f t="shared" si="2"/>
        <v>2010</v>
      </c>
    </row>
    <row r="24" spans="1:24" ht="12" customHeight="1">
      <c r="A24" s="4">
        <v>214</v>
      </c>
      <c r="B24" s="4">
        <v>1412</v>
      </c>
      <c r="C24" s="5">
        <f t="shared" si="15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6"/>
        <v>40251</v>
      </c>
      <c r="V24">
        <f t="shared" si="4"/>
        <v>14</v>
      </c>
      <c r="W24">
        <f t="shared" si="1"/>
        <v>3</v>
      </c>
      <c r="X24">
        <f t="shared" si="2"/>
        <v>2010</v>
      </c>
    </row>
    <row r="25" spans="1:24" ht="12" customHeight="1">
      <c r="A25" s="4">
        <v>229</v>
      </c>
      <c r="B25" s="4">
        <v>1539</v>
      </c>
      <c r="C25" s="5">
        <f t="shared" ref="C25:C26" si="17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6"/>
        <v>40613</v>
      </c>
      <c r="V25">
        <f t="shared" si="4"/>
        <v>11</v>
      </c>
      <c r="W25">
        <f t="shared" si="1"/>
        <v>3</v>
      </c>
      <c r="X25">
        <f t="shared" si="2"/>
        <v>2011</v>
      </c>
    </row>
    <row r="26" spans="1:24" ht="12" customHeight="1">
      <c r="A26" s="4">
        <v>230</v>
      </c>
      <c r="B26" s="4">
        <v>1539</v>
      </c>
      <c r="C26" s="5">
        <f t="shared" si="17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  <c r="V26">
        <f t="shared" si="4"/>
        <v>14</v>
      </c>
      <c r="W26">
        <f t="shared" si="1"/>
        <v>3</v>
      </c>
      <c r="X26">
        <f t="shared" si="2"/>
        <v>2011</v>
      </c>
    </row>
    <row r="27" spans="1:24" ht="12" customHeight="1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  <c r="V27">
        <f t="shared" si="4"/>
        <v>6</v>
      </c>
      <c r="W27">
        <f t="shared" si="1"/>
        <v>8</v>
      </c>
      <c r="X27">
        <f t="shared" si="2"/>
        <v>2012</v>
      </c>
    </row>
    <row r="28" spans="1:24" ht="12" customHeight="1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  <c r="V28">
        <f t="shared" si="4"/>
        <v>7</v>
      </c>
      <c r="W28">
        <f t="shared" si="1"/>
        <v>5</v>
      </c>
      <c r="X28">
        <f t="shared" si="2"/>
        <v>2011</v>
      </c>
    </row>
    <row r="29" spans="1:24" ht="12" customHeight="1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  <c r="V29">
        <f t="shared" si="4"/>
        <v>25</v>
      </c>
      <c r="W29">
        <f t="shared" si="1"/>
        <v>12</v>
      </c>
      <c r="X29">
        <f t="shared" si="2"/>
        <v>2010</v>
      </c>
    </row>
    <row r="30" spans="1:24" ht="12" customHeight="1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  <c r="V30">
        <f t="shared" si="4"/>
        <v>13</v>
      </c>
      <c r="W30">
        <f t="shared" si="1"/>
        <v>11</v>
      </c>
      <c r="X30">
        <f t="shared" si="2"/>
        <v>2010</v>
      </c>
    </row>
    <row r="31" spans="1:24" ht="12" customHeight="1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8">C31+1</f>
        <v>41204</v>
      </c>
      <c r="V31">
        <f t="shared" si="4"/>
        <v>22</v>
      </c>
      <c r="W31">
        <f t="shared" si="1"/>
        <v>10</v>
      </c>
      <c r="X31">
        <f t="shared" si="2"/>
        <v>2012</v>
      </c>
    </row>
    <row r="32" spans="1:24" ht="12" customHeight="1">
      <c r="A32" s="4">
        <v>331</v>
      </c>
      <c r="B32" s="4">
        <v>2277</v>
      </c>
      <c r="C32" s="5">
        <f t="shared" ref="C32:C33" si="19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8"/>
        <v>40545</v>
      </c>
      <c r="V32">
        <f t="shared" si="4"/>
        <v>2</v>
      </c>
      <c r="W32">
        <f t="shared" si="1"/>
        <v>1</v>
      </c>
      <c r="X32">
        <f t="shared" si="2"/>
        <v>2011</v>
      </c>
    </row>
    <row r="33" spans="1:24" ht="12" customHeight="1">
      <c r="A33" s="4">
        <v>332</v>
      </c>
      <c r="B33" s="4">
        <v>2277</v>
      </c>
      <c r="C33" s="5">
        <f t="shared" si="19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  <c r="V33">
        <f t="shared" si="4"/>
        <v>3</v>
      </c>
      <c r="W33">
        <f t="shared" si="1"/>
        <v>1</v>
      </c>
      <c r="X33">
        <f t="shared" si="2"/>
        <v>2011</v>
      </c>
    </row>
    <row r="34" spans="1:24" ht="12" customHeight="1">
      <c r="A34" s="4">
        <v>362</v>
      </c>
      <c r="B34" s="4">
        <v>2532</v>
      </c>
      <c r="C34" s="5">
        <f t="shared" ref="C34:C35" si="20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21">C34+1</f>
        <v>40827</v>
      </c>
      <c r="V34">
        <f t="shared" si="4"/>
        <v>11</v>
      </c>
      <c r="W34">
        <f t="shared" si="1"/>
        <v>10</v>
      </c>
      <c r="X34">
        <f t="shared" si="2"/>
        <v>2011</v>
      </c>
    </row>
    <row r="35" spans="1:24" ht="12" customHeight="1">
      <c r="A35" s="4">
        <v>363</v>
      </c>
      <c r="B35" s="4">
        <v>2532</v>
      </c>
      <c r="C35" s="5">
        <f t="shared" si="20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21"/>
        <v>40827</v>
      </c>
      <c r="V35">
        <f t="shared" si="4"/>
        <v>11</v>
      </c>
      <c r="W35">
        <f t="shared" si="1"/>
        <v>10</v>
      </c>
      <c r="X35">
        <f t="shared" si="2"/>
        <v>2011</v>
      </c>
    </row>
    <row r="36" spans="1:24" ht="12" customHeight="1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  <c r="V36">
        <f t="shared" si="4"/>
        <v>25</v>
      </c>
      <c r="W36">
        <f t="shared" si="1"/>
        <v>9</v>
      </c>
      <c r="X36">
        <f t="shared" si="2"/>
        <v>2010</v>
      </c>
    </row>
    <row r="37" spans="1:24" ht="12" customHeight="1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22">C37+0</f>
        <v>40743</v>
      </c>
      <c r="V37">
        <f t="shared" si="4"/>
        <v>19</v>
      </c>
      <c r="W37">
        <f t="shared" si="1"/>
        <v>7</v>
      </c>
      <c r="X37">
        <f t="shared" si="2"/>
        <v>2011</v>
      </c>
    </row>
    <row r="38" spans="1:24" ht="12" customHeight="1">
      <c r="A38" s="4">
        <v>413</v>
      </c>
      <c r="B38" s="4">
        <v>2791</v>
      </c>
      <c r="C38" s="5">
        <f t="shared" ref="C38:C40" si="23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22"/>
        <v>40095</v>
      </c>
      <c r="V38">
        <f t="shared" si="4"/>
        <v>9</v>
      </c>
      <c r="W38">
        <f t="shared" si="1"/>
        <v>10</v>
      </c>
      <c r="X38">
        <f t="shared" si="2"/>
        <v>2009</v>
      </c>
    </row>
    <row r="39" spans="1:24" ht="12" customHeight="1">
      <c r="A39" s="4">
        <v>414</v>
      </c>
      <c r="B39" s="4">
        <v>2791</v>
      </c>
      <c r="C39" s="5">
        <f t="shared" si="23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  <c r="V39">
        <f t="shared" si="4"/>
        <v>11</v>
      </c>
      <c r="W39">
        <f t="shared" si="1"/>
        <v>10</v>
      </c>
      <c r="X39">
        <f t="shared" si="2"/>
        <v>2009</v>
      </c>
    </row>
    <row r="40" spans="1:24" ht="12" customHeight="1">
      <c r="A40" s="4">
        <v>415</v>
      </c>
      <c r="B40" s="4">
        <v>2791</v>
      </c>
      <c r="C40" s="5">
        <f t="shared" si="23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  <c r="V40">
        <f t="shared" si="4"/>
        <v>10</v>
      </c>
      <c r="W40">
        <f t="shared" si="1"/>
        <v>10</v>
      </c>
      <c r="X40">
        <f t="shared" si="2"/>
        <v>2009</v>
      </c>
    </row>
    <row r="41" spans="1:24" ht="12" customHeight="1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4">C41+2</f>
        <v>40523</v>
      </c>
      <c r="V41">
        <f t="shared" si="4"/>
        <v>11</v>
      </c>
      <c r="W41">
        <f t="shared" si="1"/>
        <v>12</v>
      </c>
      <c r="X41">
        <f t="shared" si="2"/>
        <v>2010</v>
      </c>
    </row>
    <row r="42" spans="1:24" ht="12" customHeight="1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4"/>
        <v>41192</v>
      </c>
      <c r="V42">
        <f t="shared" si="4"/>
        <v>10</v>
      </c>
      <c r="W42">
        <f t="shared" si="1"/>
        <v>10</v>
      </c>
      <c r="X42">
        <f t="shared" si="2"/>
        <v>2012</v>
      </c>
    </row>
    <row r="43" spans="1:24" ht="12" customHeight="1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  <c r="V43">
        <f t="shared" si="4"/>
        <v>3</v>
      </c>
      <c r="W43">
        <f t="shared" si="1"/>
        <v>5</v>
      </c>
      <c r="X43">
        <f t="shared" si="2"/>
        <v>2012</v>
      </c>
    </row>
    <row r="44" spans="1:24" ht="12" customHeight="1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  <c r="V44">
        <f t="shared" si="4"/>
        <v>8</v>
      </c>
      <c r="W44">
        <f t="shared" si="1"/>
        <v>3</v>
      </c>
      <c r="X44">
        <f t="shared" si="2"/>
        <v>2010</v>
      </c>
    </row>
    <row r="45" spans="1:24" ht="12" customHeight="1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5">C45+2</f>
        <v>40693</v>
      </c>
      <c r="V45">
        <f t="shared" si="4"/>
        <v>30</v>
      </c>
      <c r="W45">
        <f t="shared" si="1"/>
        <v>5</v>
      </c>
      <c r="X45">
        <f t="shared" si="2"/>
        <v>2011</v>
      </c>
    </row>
    <row r="46" spans="1:24" ht="12" customHeight="1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5"/>
        <v>40442</v>
      </c>
      <c r="V46">
        <f t="shared" si="4"/>
        <v>21</v>
      </c>
      <c r="W46">
        <f t="shared" si="1"/>
        <v>9</v>
      </c>
      <c r="X46">
        <f t="shared" si="2"/>
        <v>2010</v>
      </c>
    </row>
    <row r="47" spans="1:24" ht="12" customHeight="1">
      <c r="A47" s="4">
        <v>669</v>
      </c>
      <c r="B47" s="4">
        <v>4676</v>
      </c>
      <c r="C47" s="5">
        <f t="shared" ref="C47:C50" si="26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  <c r="V47">
        <f t="shared" si="4"/>
        <v>1</v>
      </c>
      <c r="W47">
        <f t="shared" si="1"/>
        <v>9</v>
      </c>
      <c r="X47">
        <f t="shared" si="2"/>
        <v>2011</v>
      </c>
    </row>
    <row r="48" spans="1:24" ht="12" customHeight="1">
      <c r="A48" s="4">
        <v>670</v>
      </c>
      <c r="B48" s="4">
        <v>4676</v>
      </c>
      <c r="C48" s="5">
        <f t="shared" si="26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7">C48+2</f>
        <v>40788</v>
      </c>
      <c r="V48">
        <f t="shared" si="4"/>
        <v>2</v>
      </c>
      <c r="W48">
        <f t="shared" si="1"/>
        <v>9</v>
      </c>
      <c r="X48">
        <f t="shared" si="2"/>
        <v>2011</v>
      </c>
    </row>
    <row r="49" spans="1:24" ht="12" customHeight="1">
      <c r="A49" s="4">
        <v>671</v>
      </c>
      <c r="B49" s="4">
        <v>4676</v>
      </c>
      <c r="C49" s="5">
        <f t="shared" si="26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7"/>
        <v>40788</v>
      </c>
      <c r="V49">
        <f t="shared" si="4"/>
        <v>2</v>
      </c>
      <c r="W49">
        <f t="shared" si="1"/>
        <v>9</v>
      </c>
      <c r="X49">
        <f t="shared" si="2"/>
        <v>2011</v>
      </c>
    </row>
    <row r="50" spans="1:24" ht="12" customHeight="1">
      <c r="A50" s="4">
        <v>672</v>
      </c>
      <c r="B50" s="4">
        <v>4676</v>
      </c>
      <c r="C50" s="5">
        <f t="shared" si="26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  <c r="V50">
        <f t="shared" si="4"/>
        <v>1</v>
      </c>
      <c r="W50">
        <f t="shared" si="1"/>
        <v>9</v>
      </c>
      <c r="X50">
        <f t="shared" si="2"/>
        <v>2011</v>
      </c>
    </row>
    <row r="51" spans="1:24" ht="12" customHeight="1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8">C51+2</f>
        <v>40734</v>
      </c>
      <c r="V51">
        <f t="shared" si="4"/>
        <v>10</v>
      </c>
      <c r="W51">
        <f t="shared" si="1"/>
        <v>7</v>
      </c>
      <c r="X51">
        <f t="shared" si="2"/>
        <v>2011</v>
      </c>
    </row>
    <row r="52" spans="1:24" ht="12" customHeight="1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8"/>
        <v>39845</v>
      </c>
      <c r="V52">
        <f t="shared" si="4"/>
        <v>1</v>
      </c>
      <c r="W52">
        <f t="shared" si="1"/>
        <v>2</v>
      </c>
      <c r="X52">
        <f t="shared" si="2"/>
        <v>2009</v>
      </c>
    </row>
    <row r="53" spans="1:24" ht="12" customHeight="1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  <c r="V53">
        <f t="shared" si="4"/>
        <v>13</v>
      </c>
      <c r="W53">
        <f t="shared" si="1"/>
        <v>1</v>
      </c>
      <c r="X53">
        <f t="shared" si="2"/>
        <v>2012</v>
      </c>
    </row>
    <row r="54" spans="1:24" ht="12" customHeight="1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  <c r="V54">
        <f t="shared" si="4"/>
        <v>8</v>
      </c>
      <c r="W54">
        <f t="shared" si="1"/>
        <v>11</v>
      </c>
      <c r="X54">
        <f t="shared" si="2"/>
        <v>2010</v>
      </c>
    </row>
    <row r="55" spans="1:24" ht="12" customHeight="1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  <c r="V55">
        <f t="shared" si="4"/>
        <v>1</v>
      </c>
      <c r="W55">
        <f t="shared" si="1"/>
        <v>5</v>
      </c>
      <c r="X55">
        <f t="shared" si="2"/>
        <v>2010</v>
      </c>
    </row>
    <row r="56" spans="1:24" ht="12" customHeight="1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  <c r="V56">
        <f t="shared" si="4"/>
        <v>3</v>
      </c>
      <c r="W56">
        <f t="shared" si="1"/>
        <v>1</v>
      </c>
      <c r="X56">
        <f t="shared" si="2"/>
        <v>2012</v>
      </c>
    </row>
    <row r="57" spans="1:24" ht="12" customHeight="1">
      <c r="A57" s="4">
        <v>817</v>
      </c>
      <c r="B57" s="4">
        <v>5894</v>
      </c>
      <c r="C57" s="5">
        <f t="shared" ref="C57:C58" si="29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  <c r="V57">
        <f t="shared" si="4"/>
        <v>13</v>
      </c>
      <c r="W57">
        <f t="shared" si="1"/>
        <v>8</v>
      </c>
      <c r="X57">
        <f t="shared" si="2"/>
        <v>2009</v>
      </c>
    </row>
    <row r="58" spans="1:24" ht="12" customHeight="1">
      <c r="A58" s="4">
        <v>818</v>
      </c>
      <c r="B58" s="4">
        <v>5894</v>
      </c>
      <c r="C58" s="5">
        <f t="shared" si="29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  <c r="V58">
        <f t="shared" si="4"/>
        <v>15</v>
      </c>
      <c r="W58">
        <f t="shared" si="1"/>
        <v>8</v>
      </c>
      <c r="X58">
        <f t="shared" si="2"/>
        <v>2009</v>
      </c>
    </row>
    <row r="59" spans="1:24" ht="12" customHeight="1">
      <c r="A59" s="4">
        <v>821</v>
      </c>
      <c r="B59" s="4">
        <v>5925</v>
      </c>
      <c r="C59" s="5">
        <f t="shared" ref="C59:C60" si="30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31">C59+7</f>
        <v>40866</v>
      </c>
      <c r="V59">
        <f t="shared" si="4"/>
        <v>19</v>
      </c>
      <c r="W59">
        <f t="shared" si="1"/>
        <v>11</v>
      </c>
      <c r="X59">
        <f t="shared" si="2"/>
        <v>2011</v>
      </c>
    </row>
    <row r="60" spans="1:24" ht="12" customHeight="1">
      <c r="A60" s="4">
        <v>822</v>
      </c>
      <c r="B60" s="4">
        <v>5925</v>
      </c>
      <c r="C60" s="5">
        <f t="shared" si="30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31"/>
        <v>40866</v>
      </c>
      <c r="V60">
        <f t="shared" si="4"/>
        <v>19</v>
      </c>
      <c r="W60">
        <f t="shared" si="1"/>
        <v>11</v>
      </c>
      <c r="X60">
        <f t="shared" si="2"/>
        <v>2011</v>
      </c>
    </row>
    <row r="61" spans="1:24" ht="12" customHeight="1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  <c r="V61">
        <f t="shared" si="4"/>
        <v>20</v>
      </c>
      <c r="W61">
        <f t="shared" si="1"/>
        <v>1</v>
      </c>
      <c r="X61">
        <f t="shared" si="2"/>
        <v>2012</v>
      </c>
    </row>
    <row r="62" spans="1:24" ht="12" customHeight="1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  <c r="V62">
        <f t="shared" si="4"/>
        <v>22</v>
      </c>
      <c r="W62">
        <f t="shared" si="1"/>
        <v>3</v>
      </c>
      <c r="X62">
        <f t="shared" si="2"/>
        <v>2009</v>
      </c>
    </row>
    <row r="63" spans="1:24" ht="12" customHeight="1">
      <c r="A63" s="4">
        <v>863</v>
      </c>
      <c r="B63" s="4">
        <v>6182</v>
      </c>
      <c r="C63" s="5">
        <f t="shared" ref="C63:C64" si="32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  <c r="V63">
        <f t="shared" si="4"/>
        <v>28</v>
      </c>
      <c r="W63">
        <f t="shared" si="1"/>
        <v>7</v>
      </c>
      <c r="X63">
        <f t="shared" si="2"/>
        <v>2012</v>
      </c>
    </row>
    <row r="64" spans="1:24" ht="12" customHeight="1">
      <c r="A64" s="4">
        <v>864</v>
      </c>
      <c r="B64" s="4">
        <v>6182</v>
      </c>
      <c r="C64" s="5">
        <f t="shared" si="32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  <c r="V64">
        <f t="shared" si="4"/>
        <v>25</v>
      </c>
      <c r="W64">
        <f t="shared" si="1"/>
        <v>7</v>
      </c>
      <c r="X64">
        <f t="shared" si="2"/>
        <v>2012</v>
      </c>
    </row>
    <row r="65" spans="1:24" ht="12" customHeight="1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  <c r="V65">
        <f t="shared" si="4"/>
        <v>15</v>
      </c>
      <c r="W65">
        <f t="shared" si="1"/>
        <v>6</v>
      </c>
      <c r="X65">
        <f t="shared" si="2"/>
        <v>2012</v>
      </c>
    </row>
    <row r="66" spans="1:24" ht="12" customHeight="1">
      <c r="A66" s="4">
        <v>950</v>
      </c>
      <c r="B66" s="4">
        <v>6884</v>
      </c>
      <c r="C66" s="5">
        <f t="shared" ref="C66:C67" si="33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4">C66+5</f>
        <v>39833</v>
      </c>
      <c r="V66">
        <f t="shared" si="4"/>
        <v>20</v>
      </c>
      <c r="W66">
        <f t="shared" si="1"/>
        <v>1</v>
      </c>
      <c r="X66">
        <f t="shared" si="2"/>
        <v>2009</v>
      </c>
    </row>
    <row r="67" spans="1:24" ht="12" customHeight="1">
      <c r="A67" s="4">
        <v>951</v>
      </c>
      <c r="B67" s="4">
        <v>6884</v>
      </c>
      <c r="C67" s="5">
        <f t="shared" si="33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4"/>
        <v>39833</v>
      </c>
      <c r="V67">
        <f t="shared" si="4"/>
        <v>20</v>
      </c>
      <c r="W67">
        <f t="shared" ref="W67:W130" si="35">MONTH(U67)</f>
        <v>1</v>
      </c>
      <c r="X67">
        <f t="shared" ref="X67:X130" si="36">YEAR(U67)</f>
        <v>2009</v>
      </c>
    </row>
    <row r="68" spans="1:24" ht="12" customHeight="1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  <c r="V68">
        <f t="shared" ref="V68:V131" si="37">DAY(U68)</f>
        <v>8</v>
      </c>
      <c r="W68">
        <f t="shared" si="35"/>
        <v>6</v>
      </c>
      <c r="X68">
        <f t="shared" si="36"/>
        <v>2010</v>
      </c>
    </row>
    <row r="69" spans="1:24" ht="12" customHeight="1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  <c r="V69">
        <f t="shared" si="37"/>
        <v>19</v>
      </c>
      <c r="W69">
        <f t="shared" si="35"/>
        <v>2</v>
      </c>
      <c r="X69">
        <f t="shared" si="36"/>
        <v>2010</v>
      </c>
    </row>
    <row r="70" spans="1:24" ht="12" customHeight="1">
      <c r="A70" s="4">
        <v>964</v>
      </c>
      <c r="B70" s="4">
        <v>6982</v>
      </c>
      <c r="C70" s="5">
        <f t="shared" ref="C70:C72" si="38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9">C70+2</f>
        <v>40865</v>
      </c>
      <c r="V70">
        <f t="shared" si="37"/>
        <v>18</v>
      </c>
      <c r="W70">
        <f t="shared" si="35"/>
        <v>11</v>
      </c>
      <c r="X70">
        <f t="shared" si="36"/>
        <v>2011</v>
      </c>
    </row>
    <row r="71" spans="1:24" ht="12" customHeight="1">
      <c r="A71" s="4">
        <v>965</v>
      </c>
      <c r="B71" s="4">
        <v>6982</v>
      </c>
      <c r="C71" s="5">
        <f t="shared" si="38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9"/>
        <v>40865</v>
      </c>
      <c r="V71">
        <f t="shared" si="37"/>
        <v>18</v>
      </c>
      <c r="W71">
        <f t="shared" si="35"/>
        <v>11</v>
      </c>
      <c r="X71">
        <f t="shared" si="36"/>
        <v>2011</v>
      </c>
    </row>
    <row r="72" spans="1:24" ht="12" customHeight="1">
      <c r="A72" s="4">
        <v>966</v>
      </c>
      <c r="B72" s="4">
        <v>6982</v>
      </c>
      <c r="C72" s="5">
        <f t="shared" si="38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9"/>
        <v>40865</v>
      </c>
      <c r="V72">
        <f t="shared" si="37"/>
        <v>18</v>
      </c>
      <c r="W72">
        <f t="shared" si="35"/>
        <v>11</v>
      </c>
      <c r="X72">
        <f t="shared" si="36"/>
        <v>2011</v>
      </c>
    </row>
    <row r="73" spans="1:24" ht="12" customHeight="1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  <c r="V73">
        <f t="shared" si="37"/>
        <v>11</v>
      </c>
      <c r="W73">
        <f t="shared" si="35"/>
        <v>8</v>
      </c>
      <c r="X73">
        <f t="shared" si="36"/>
        <v>2011</v>
      </c>
    </row>
    <row r="74" spans="1:24" ht="12" customHeight="1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  <c r="V74">
        <f t="shared" si="37"/>
        <v>9</v>
      </c>
      <c r="W74">
        <f t="shared" si="35"/>
        <v>6</v>
      </c>
      <c r="X74">
        <f t="shared" si="36"/>
        <v>2010</v>
      </c>
    </row>
    <row r="75" spans="1:24" ht="12" customHeight="1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  <c r="V75">
        <f t="shared" si="37"/>
        <v>17</v>
      </c>
      <c r="W75">
        <f t="shared" si="35"/>
        <v>10</v>
      </c>
      <c r="X75">
        <f t="shared" si="36"/>
        <v>2009</v>
      </c>
    </row>
    <row r="76" spans="1:24" ht="12" customHeight="1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  <c r="V76">
        <f t="shared" si="37"/>
        <v>29</v>
      </c>
      <c r="W76">
        <f t="shared" si="35"/>
        <v>8</v>
      </c>
      <c r="X76">
        <f t="shared" si="36"/>
        <v>2011</v>
      </c>
    </row>
    <row r="77" spans="1:24" ht="12" customHeight="1">
      <c r="A77" s="4">
        <v>1156</v>
      </c>
      <c r="B77" s="4">
        <v>8419</v>
      </c>
      <c r="C77" s="5">
        <f t="shared" ref="C77:C78" si="40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  <c r="V77">
        <f t="shared" si="37"/>
        <v>1</v>
      </c>
      <c r="W77">
        <f t="shared" si="35"/>
        <v>10</v>
      </c>
      <c r="X77">
        <f t="shared" si="36"/>
        <v>2011</v>
      </c>
    </row>
    <row r="78" spans="1:24" ht="12" customHeight="1">
      <c r="A78" s="4">
        <v>1157</v>
      </c>
      <c r="B78" s="4">
        <v>8419</v>
      </c>
      <c r="C78" s="5">
        <f t="shared" si="40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  <c r="V78">
        <f t="shared" si="37"/>
        <v>30</v>
      </c>
      <c r="W78">
        <f t="shared" si="35"/>
        <v>9</v>
      </c>
      <c r="X78">
        <f t="shared" si="36"/>
        <v>2011</v>
      </c>
    </row>
    <row r="79" spans="1:24" ht="12" customHeight="1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  <c r="V79">
        <f t="shared" si="37"/>
        <v>8</v>
      </c>
      <c r="W79">
        <f t="shared" si="35"/>
        <v>5</v>
      </c>
      <c r="X79">
        <f t="shared" si="36"/>
        <v>2012</v>
      </c>
    </row>
    <row r="80" spans="1:24" ht="12" customHeight="1">
      <c r="A80" s="4">
        <v>1226</v>
      </c>
      <c r="B80" s="4">
        <v>8995</v>
      </c>
      <c r="C80" s="5">
        <f t="shared" ref="C80:C84" si="41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42">C80+1</f>
        <v>40681</v>
      </c>
      <c r="V80">
        <f t="shared" si="37"/>
        <v>18</v>
      </c>
      <c r="W80">
        <f t="shared" si="35"/>
        <v>5</v>
      </c>
      <c r="X80">
        <f t="shared" si="36"/>
        <v>2011</v>
      </c>
    </row>
    <row r="81" spans="1:24" ht="12" customHeight="1">
      <c r="A81" s="4">
        <v>1227</v>
      </c>
      <c r="B81" s="4">
        <v>8995</v>
      </c>
      <c r="C81" s="5">
        <f t="shared" si="41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42"/>
        <v>40681</v>
      </c>
      <c r="V81">
        <f t="shared" si="37"/>
        <v>18</v>
      </c>
      <c r="W81">
        <f t="shared" si="35"/>
        <v>5</v>
      </c>
      <c r="X81">
        <f t="shared" si="36"/>
        <v>2011</v>
      </c>
    </row>
    <row r="82" spans="1:24" ht="12" customHeight="1">
      <c r="A82" s="4">
        <v>1228</v>
      </c>
      <c r="B82" s="4">
        <v>8995</v>
      </c>
      <c r="C82" s="5">
        <f t="shared" si="41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42"/>
        <v>40681</v>
      </c>
      <c r="V82">
        <f t="shared" si="37"/>
        <v>18</v>
      </c>
      <c r="W82">
        <f t="shared" si="35"/>
        <v>5</v>
      </c>
      <c r="X82">
        <f t="shared" si="36"/>
        <v>2011</v>
      </c>
    </row>
    <row r="83" spans="1:24" ht="12" customHeight="1">
      <c r="A83" s="4">
        <v>1229</v>
      </c>
      <c r="B83" s="4">
        <v>8995</v>
      </c>
      <c r="C83" s="5">
        <f t="shared" si="41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42"/>
        <v>40681</v>
      </c>
      <c r="V83">
        <f t="shared" si="37"/>
        <v>18</v>
      </c>
      <c r="W83">
        <f t="shared" si="35"/>
        <v>5</v>
      </c>
      <c r="X83">
        <f t="shared" si="36"/>
        <v>2011</v>
      </c>
    </row>
    <row r="84" spans="1:24" ht="12" customHeight="1">
      <c r="A84" s="4">
        <v>1230</v>
      </c>
      <c r="B84" s="4">
        <v>8995</v>
      </c>
      <c r="C84" s="5">
        <f t="shared" si="41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  <c r="V84">
        <f t="shared" si="37"/>
        <v>19</v>
      </c>
      <c r="W84">
        <f t="shared" si="35"/>
        <v>5</v>
      </c>
      <c r="X84">
        <f t="shared" si="36"/>
        <v>2011</v>
      </c>
    </row>
    <row r="85" spans="1:24" ht="12" customHeight="1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  <c r="V85">
        <f t="shared" si="37"/>
        <v>18</v>
      </c>
      <c r="W85">
        <f t="shared" si="35"/>
        <v>11</v>
      </c>
      <c r="X85">
        <f t="shared" si="36"/>
        <v>2009</v>
      </c>
    </row>
    <row r="86" spans="1:24" ht="12" customHeight="1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  <c r="V86">
        <f t="shared" si="37"/>
        <v>12</v>
      </c>
      <c r="W86">
        <f t="shared" si="35"/>
        <v>10</v>
      </c>
      <c r="X86">
        <f t="shared" si="36"/>
        <v>2011</v>
      </c>
    </row>
    <row r="87" spans="1:24" ht="12" customHeight="1">
      <c r="A87" s="4">
        <v>1299</v>
      </c>
      <c r="B87" s="4">
        <v>9509</v>
      </c>
      <c r="C87" s="5">
        <f t="shared" ref="C87:C89" si="43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44">C87+1</f>
        <v>41190</v>
      </c>
      <c r="V87">
        <f t="shared" si="37"/>
        <v>8</v>
      </c>
      <c r="W87">
        <f t="shared" si="35"/>
        <v>10</v>
      </c>
      <c r="X87">
        <f t="shared" si="36"/>
        <v>2012</v>
      </c>
    </row>
    <row r="88" spans="1:24" ht="12" customHeight="1">
      <c r="A88" s="4">
        <v>1300</v>
      </c>
      <c r="B88" s="4">
        <v>9509</v>
      </c>
      <c r="C88" s="5">
        <f t="shared" si="43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44"/>
        <v>41190</v>
      </c>
      <c r="V88">
        <f t="shared" si="37"/>
        <v>8</v>
      </c>
      <c r="W88">
        <f t="shared" si="35"/>
        <v>10</v>
      </c>
      <c r="X88">
        <f t="shared" si="36"/>
        <v>2012</v>
      </c>
    </row>
    <row r="89" spans="1:24" ht="12" customHeight="1">
      <c r="A89" s="4">
        <v>1301</v>
      </c>
      <c r="B89" s="4">
        <v>9509</v>
      </c>
      <c r="C89" s="5">
        <f t="shared" si="43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  <c r="V89">
        <f t="shared" si="37"/>
        <v>7</v>
      </c>
      <c r="W89">
        <f t="shared" si="35"/>
        <v>10</v>
      </c>
      <c r="X89">
        <f t="shared" si="36"/>
        <v>2012</v>
      </c>
    </row>
    <row r="90" spans="1:24" ht="12" customHeight="1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  <c r="V90">
        <f t="shared" si="37"/>
        <v>16</v>
      </c>
      <c r="W90">
        <f t="shared" si="35"/>
        <v>8</v>
      </c>
      <c r="X90">
        <f t="shared" si="36"/>
        <v>2011</v>
      </c>
    </row>
    <row r="91" spans="1:24" ht="12" customHeight="1">
      <c r="A91" s="4">
        <v>1370</v>
      </c>
      <c r="B91" s="4">
        <v>9927</v>
      </c>
      <c r="C91" s="5">
        <f t="shared" ref="C91:C93" si="45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6">C91+1</f>
        <v>40772</v>
      </c>
      <c r="V91">
        <f t="shared" si="37"/>
        <v>17</v>
      </c>
      <c r="W91">
        <f t="shared" si="35"/>
        <v>8</v>
      </c>
      <c r="X91">
        <f t="shared" si="36"/>
        <v>2011</v>
      </c>
    </row>
    <row r="92" spans="1:24" ht="12" customHeight="1">
      <c r="A92" s="4">
        <v>1371</v>
      </c>
      <c r="B92" s="4">
        <v>9927</v>
      </c>
      <c r="C92" s="5">
        <f t="shared" si="45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6"/>
        <v>40772</v>
      </c>
      <c r="V92">
        <f t="shared" si="37"/>
        <v>17</v>
      </c>
      <c r="W92">
        <f t="shared" si="35"/>
        <v>8</v>
      </c>
      <c r="X92">
        <f t="shared" si="36"/>
        <v>2011</v>
      </c>
    </row>
    <row r="93" spans="1:24" ht="12" customHeight="1">
      <c r="A93" s="4">
        <v>1372</v>
      </c>
      <c r="B93" s="4">
        <v>9927</v>
      </c>
      <c r="C93" s="5">
        <f t="shared" si="45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6"/>
        <v>40772</v>
      </c>
      <c r="V93">
        <f t="shared" si="37"/>
        <v>17</v>
      </c>
      <c r="W93">
        <f t="shared" si="35"/>
        <v>8</v>
      </c>
      <c r="X93">
        <f t="shared" si="36"/>
        <v>2011</v>
      </c>
    </row>
    <row r="94" spans="1:24" ht="12" customHeight="1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  <c r="V94">
        <f t="shared" si="37"/>
        <v>4</v>
      </c>
      <c r="W94">
        <f t="shared" si="35"/>
        <v>3</v>
      </c>
      <c r="X94">
        <f t="shared" si="36"/>
        <v>2009</v>
      </c>
    </row>
    <row r="95" spans="1:24" ht="12" customHeight="1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  <c r="V95">
        <f t="shared" si="37"/>
        <v>20</v>
      </c>
      <c r="W95">
        <f t="shared" si="35"/>
        <v>8</v>
      </c>
      <c r="X95">
        <f t="shared" si="36"/>
        <v>2009</v>
      </c>
    </row>
    <row r="96" spans="1:24" ht="12" customHeight="1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  <c r="V96">
        <f t="shared" si="37"/>
        <v>17</v>
      </c>
      <c r="W96">
        <f t="shared" si="35"/>
        <v>11</v>
      </c>
      <c r="X96">
        <f t="shared" si="36"/>
        <v>2010</v>
      </c>
    </row>
    <row r="97" spans="1:24" ht="12" customHeight="1">
      <c r="A97" s="4">
        <v>1462</v>
      </c>
      <c r="B97" s="4">
        <v>10535</v>
      </c>
      <c r="C97" s="5">
        <f t="shared" ref="C97:C98" si="47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  <c r="V97">
        <f t="shared" si="37"/>
        <v>29</v>
      </c>
      <c r="W97">
        <f t="shared" si="35"/>
        <v>5</v>
      </c>
      <c r="X97">
        <f t="shared" si="36"/>
        <v>2011</v>
      </c>
    </row>
    <row r="98" spans="1:24" ht="12" customHeight="1">
      <c r="A98" s="4">
        <v>1463</v>
      </c>
      <c r="B98" s="4">
        <v>10535</v>
      </c>
      <c r="C98" s="5">
        <f t="shared" si="47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  <c r="V98">
        <f t="shared" si="37"/>
        <v>3</v>
      </c>
      <c r="W98">
        <f t="shared" si="35"/>
        <v>6</v>
      </c>
      <c r="X98">
        <f t="shared" si="36"/>
        <v>2011</v>
      </c>
    </row>
    <row r="99" spans="1:24" ht="12" customHeight="1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  <c r="V99">
        <f t="shared" si="37"/>
        <v>24</v>
      </c>
      <c r="W99">
        <f t="shared" si="35"/>
        <v>8</v>
      </c>
      <c r="X99">
        <f t="shared" si="36"/>
        <v>2010</v>
      </c>
    </row>
    <row r="100" spans="1:24" ht="12" customHeight="1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8">C100+2</f>
        <v>40776</v>
      </c>
      <c r="V100">
        <f t="shared" si="37"/>
        <v>21</v>
      </c>
      <c r="W100">
        <f t="shared" si="35"/>
        <v>8</v>
      </c>
      <c r="X100">
        <f t="shared" si="36"/>
        <v>2011</v>
      </c>
    </row>
    <row r="101" spans="1:24" ht="12" customHeight="1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8"/>
        <v>40913</v>
      </c>
      <c r="V101">
        <f t="shared" si="37"/>
        <v>5</v>
      </c>
      <c r="W101">
        <f t="shared" si="35"/>
        <v>1</v>
      </c>
      <c r="X101">
        <f t="shared" si="36"/>
        <v>2012</v>
      </c>
    </row>
    <row r="102" spans="1:24" ht="12" customHeight="1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9">C102+1</f>
        <v>41243</v>
      </c>
      <c r="V102">
        <f t="shared" si="37"/>
        <v>30</v>
      </c>
      <c r="W102">
        <f t="shared" si="35"/>
        <v>11</v>
      </c>
      <c r="X102">
        <f t="shared" si="36"/>
        <v>2012</v>
      </c>
    </row>
    <row r="103" spans="1:24" ht="12" customHeight="1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9"/>
        <v>40986</v>
      </c>
      <c r="V103">
        <f t="shared" si="37"/>
        <v>18</v>
      </c>
      <c r="W103">
        <f t="shared" si="35"/>
        <v>3</v>
      </c>
      <c r="X103">
        <f t="shared" si="36"/>
        <v>2012</v>
      </c>
    </row>
    <row r="104" spans="1:24" ht="12" customHeight="1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  <c r="V104">
        <f t="shared" si="37"/>
        <v>19</v>
      </c>
      <c r="W104">
        <f t="shared" si="35"/>
        <v>4</v>
      </c>
      <c r="X104">
        <f t="shared" si="36"/>
        <v>2010</v>
      </c>
    </row>
    <row r="105" spans="1:24" ht="12" customHeight="1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  <c r="V105">
        <f t="shared" si="37"/>
        <v>26</v>
      </c>
      <c r="W105">
        <f t="shared" si="35"/>
        <v>8</v>
      </c>
      <c r="X105">
        <f t="shared" si="36"/>
        <v>2010</v>
      </c>
    </row>
    <row r="106" spans="1:24" ht="12" customHeight="1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  <c r="V106">
        <f t="shared" si="37"/>
        <v>5</v>
      </c>
      <c r="W106">
        <f t="shared" si="35"/>
        <v>7</v>
      </c>
      <c r="X106">
        <f t="shared" si="36"/>
        <v>2011</v>
      </c>
    </row>
    <row r="107" spans="1:24" ht="12" customHeight="1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  <c r="V107">
        <f t="shared" si="37"/>
        <v>12</v>
      </c>
      <c r="W107">
        <f t="shared" si="35"/>
        <v>11</v>
      </c>
      <c r="X107">
        <f t="shared" si="36"/>
        <v>2010</v>
      </c>
    </row>
    <row r="108" spans="1:24" ht="12" customHeight="1">
      <c r="A108" s="4">
        <v>1655</v>
      </c>
      <c r="B108" s="4">
        <v>11941</v>
      </c>
      <c r="C108" s="5">
        <f t="shared" ref="C108:C109" si="50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51">C108+1</f>
        <v>40354</v>
      </c>
      <c r="V108">
        <f t="shared" si="37"/>
        <v>25</v>
      </c>
      <c r="W108">
        <f t="shared" si="35"/>
        <v>6</v>
      </c>
      <c r="X108">
        <f t="shared" si="36"/>
        <v>2010</v>
      </c>
    </row>
    <row r="109" spans="1:24" ht="12" customHeight="1">
      <c r="A109" s="4">
        <v>1656</v>
      </c>
      <c r="B109" s="4">
        <v>11941</v>
      </c>
      <c r="C109" s="5">
        <f t="shared" si="50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51"/>
        <v>40354</v>
      </c>
      <c r="V109">
        <f t="shared" si="37"/>
        <v>25</v>
      </c>
      <c r="W109">
        <f t="shared" si="35"/>
        <v>6</v>
      </c>
      <c r="X109">
        <f t="shared" si="36"/>
        <v>2010</v>
      </c>
    </row>
    <row r="110" spans="1:24" ht="12" customHeight="1">
      <c r="A110" s="4">
        <v>1675</v>
      </c>
      <c r="B110" s="4">
        <v>12096</v>
      </c>
      <c r="C110" s="5">
        <f t="shared" ref="C110:C111" si="52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  <c r="V110">
        <f t="shared" si="37"/>
        <v>19</v>
      </c>
      <c r="W110">
        <f t="shared" si="35"/>
        <v>9</v>
      </c>
      <c r="X110">
        <f t="shared" si="36"/>
        <v>2012</v>
      </c>
    </row>
    <row r="111" spans="1:24" ht="12" customHeight="1">
      <c r="A111" s="4">
        <v>1676</v>
      </c>
      <c r="B111" s="4">
        <v>12096</v>
      </c>
      <c r="C111" s="5">
        <f t="shared" si="52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  <c r="V111">
        <f t="shared" si="37"/>
        <v>21</v>
      </c>
      <c r="W111">
        <f t="shared" si="35"/>
        <v>9</v>
      </c>
      <c r="X111">
        <f t="shared" si="36"/>
        <v>2012</v>
      </c>
    </row>
    <row r="112" spans="1:24" ht="12" customHeight="1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  <c r="V112">
        <f t="shared" si="37"/>
        <v>28</v>
      </c>
      <c r="W112">
        <f t="shared" si="35"/>
        <v>12</v>
      </c>
      <c r="X112">
        <f t="shared" si="36"/>
        <v>2011</v>
      </c>
    </row>
    <row r="113" spans="1:24" ht="12" customHeight="1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  <c r="V113">
        <f t="shared" si="37"/>
        <v>24</v>
      </c>
      <c r="W113">
        <f t="shared" si="35"/>
        <v>3</v>
      </c>
      <c r="X113">
        <f t="shared" si="36"/>
        <v>2012</v>
      </c>
    </row>
    <row r="114" spans="1:24" ht="12" customHeight="1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  <c r="V114">
        <f t="shared" si="37"/>
        <v>17</v>
      </c>
      <c r="W114">
        <f t="shared" si="35"/>
        <v>10</v>
      </c>
      <c r="X114">
        <f t="shared" si="36"/>
        <v>2011</v>
      </c>
    </row>
    <row r="115" spans="1:24" ht="12" customHeight="1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  <c r="V115">
        <f t="shared" si="37"/>
        <v>8</v>
      </c>
      <c r="W115">
        <f t="shared" si="35"/>
        <v>8</v>
      </c>
      <c r="X115">
        <f t="shared" si="36"/>
        <v>2010</v>
      </c>
    </row>
    <row r="116" spans="1:24" ht="12" customHeight="1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  <c r="V116">
        <f t="shared" si="37"/>
        <v>10</v>
      </c>
      <c r="W116">
        <f t="shared" si="35"/>
        <v>3</v>
      </c>
      <c r="X116">
        <f t="shared" si="36"/>
        <v>2009</v>
      </c>
    </row>
    <row r="117" spans="1:24" ht="12" customHeight="1">
      <c r="A117" s="4">
        <v>1770</v>
      </c>
      <c r="B117" s="4">
        <v>12704</v>
      </c>
      <c r="C117" s="5">
        <f t="shared" ref="C117:C118" si="53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  <c r="V117">
        <f t="shared" si="37"/>
        <v>9</v>
      </c>
      <c r="W117">
        <f t="shared" si="35"/>
        <v>2</v>
      </c>
      <c r="X117">
        <f t="shared" si="36"/>
        <v>2010</v>
      </c>
    </row>
    <row r="118" spans="1:24" ht="12" customHeight="1">
      <c r="A118" s="4">
        <v>1771</v>
      </c>
      <c r="B118" s="4">
        <v>12704</v>
      </c>
      <c r="C118" s="5">
        <f t="shared" si="53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  <c r="V118">
        <f t="shared" si="37"/>
        <v>11</v>
      </c>
      <c r="W118">
        <f t="shared" si="35"/>
        <v>2</v>
      </c>
      <c r="X118">
        <f t="shared" si="36"/>
        <v>2010</v>
      </c>
    </row>
    <row r="119" spans="1:24" ht="12" customHeight="1">
      <c r="A119" s="4">
        <v>1781</v>
      </c>
      <c r="B119" s="4">
        <v>12771</v>
      </c>
      <c r="C119" s="5">
        <f t="shared" ref="C119:C120" si="54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  <c r="V119">
        <f t="shared" si="37"/>
        <v>17</v>
      </c>
      <c r="W119">
        <f t="shared" si="35"/>
        <v>1</v>
      </c>
      <c r="X119">
        <f t="shared" si="36"/>
        <v>2009</v>
      </c>
    </row>
    <row r="120" spans="1:24" ht="12" customHeight="1">
      <c r="A120" s="4">
        <v>1782</v>
      </c>
      <c r="B120" s="4">
        <v>12771</v>
      </c>
      <c r="C120" s="5">
        <f t="shared" si="54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  <c r="V120">
        <f t="shared" si="37"/>
        <v>19</v>
      </c>
      <c r="W120">
        <f t="shared" si="35"/>
        <v>1</v>
      </c>
      <c r="X120">
        <f t="shared" si="36"/>
        <v>2009</v>
      </c>
    </row>
    <row r="121" spans="1:24" ht="12" customHeight="1">
      <c r="A121" s="4">
        <v>1806</v>
      </c>
      <c r="B121" s="4">
        <v>12929</v>
      </c>
      <c r="C121" s="5">
        <f t="shared" ref="C121:C122" si="55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6">C121+1</f>
        <v>40421</v>
      </c>
      <c r="V121">
        <f t="shared" si="37"/>
        <v>31</v>
      </c>
      <c r="W121">
        <f t="shared" si="35"/>
        <v>8</v>
      </c>
      <c r="X121">
        <f t="shared" si="36"/>
        <v>2010</v>
      </c>
    </row>
    <row r="122" spans="1:24" ht="12" customHeight="1">
      <c r="A122" s="4">
        <v>1807</v>
      </c>
      <c r="B122" s="4">
        <v>12929</v>
      </c>
      <c r="C122" s="5">
        <f t="shared" si="55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6"/>
        <v>40421</v>
      </c>
      <c r="V122">
        <f t="shared" si="37"/>
        <v>31</v>
      </c>
      <c r="W122">
        <f t="shared" si="35"/>
        <v>8</v>
      </c>
      <c r="X122">
        <f t="shared" si="36"/>
        <v>2010</v>
      </c>
    </row>
    <row r="123" spans="1:24" ht="12" customHeight="1">
      <c r="A123" s="4">
        <v>1842</v>
      </c>
      <c r="B123" s="4">
        <v>13280</v>
      </c>
      <c r="C123" s="5">
        <f t="shared" ref="C123:C124" si="57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6"/>
        <v>40068</v>
      </c>
      <c r="V123">
        <f t="shared" si="37"/>
        <v>12</v>
      </c>
      <c r="W123">
        <f t="shared" si="35"/>
        <v>9</v>
      </c>
      <c r="X123">
        <f t="shared" si="36"/>
        <v>2009</v>
      </c>
    </row>
    <row r="124" spans="1:24" ht="12" customHeight="1">
      <c r="A124" s="4">
        <v>1843</v>
      </c>
      <c r="B124" s="4">
        <v>13280</v>
      </c>
      <c r="C124" s="5">
        <f t="shared" si="57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6"/>
        <v>40068</v>
      </c>
      <c r="V124">
        <f t="shared" si="37"/>
        <v>12</v>
      </c>
      <c r="W124">
        <f t="shared" si="35"/>
        <v>9</v>
      </c>
      <c r="X124">
        <f t="shared" si="36"/>
        <v>2009</v>
      </c>
    </row>
    <row r="125" spans="1:24" ht="12" customHeight="1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6"/>
        <v>40011</v>
      </c>
      <c r="V125">
        <f t="shared" si="37"/>
        <v>17</v>
      </c>
      <c r="W125">
        <f t="shared" si="35"/>
        <v>7</v>
      </c>
      <c r="X125">
        <f t="shared" si="36"/>
        <v>2009</v>
      </c>
    </row>
    <row r="126" spans="1:24" ht="12" customHeight="1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  <c r="V126">
        <f t="shared" si="37"/>
        <v>20</v>
      </c>
      <c r="W126">
        <f t="shared" si="35"/>
        <v>11</v>
      </c>
      <c r="X126">
        <f t="shared" si="36"/>
        <v>2012</v>
      </c>
    </row>
    <row r="127" spans="1:24" ht="12" customHeight="1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  <c r="V127">
        <f t="shared" si="37"/>
        <v>14</v>
      </c>
      <c r="W127">
        <f t="shared" si="35"/>
        <v>9</v>
      </c>
      <c r="X127">
        <f t="shared" si="36"/>
        <v>2011</v>
      </c>
    </row>
    <row r="128" spans="1:24" ht="12" customHeight="1">
      <c r="A128" s="4">
        <v>1928</v>
      </c>
      <c r="B128" s="4">
        <v>13795</v>
      </c>
      <c r="C128" s="5">
        <f t="shared" ref="C128:C130" si="58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9">C128+3</f>
        <v>40646</v>
      </c>
      <c r="V128">
        <f t="shared" si="37"/>
        <v>13</v>
      </c>
      <c r="W128">
        <f t="shared" si="35"/>
        <v>4</v>
      </c>
      <c r="X128">
        <f t="shared" si="36"/>
        <v>2011</v>
      </c>
    </row>
    <row r="129" spans="1:24" ht="12" customHeight="1">
      <c r="A129" s="4">
        <v>1929</v>
      </c>
      <c r="B129" s="4">
        <v>13795</v>
      </c>
      <c r="C129" s="5">
        <f t="shared" si="58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9"/>
        <v>40646</v>
      </c>
      <c r="V129">
        <f t="shared" si="37"/>
        <v>13</v>
      </c>
      <c r="W129">
        <f t="shared" si="35"/>
        <v>4</v>
      </c>
      <c r="X129">
        <f t="shared" si="36"/>
        <v>2011</v>
      </c>
    </row>
    <row r="130" spans="1:24" ht="12" customHeight="1">
      <c r="A130" s="4">
        <v>1930</v>
      </c>
      <c r="B130" s="4">
        <v>13795</v>
      </c>
      <c r="C130" s="5">
        <f t="shared" si="58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  <c r="V130">
        <f t="shared" si="37"/>
        <v>11</v>
      </c>
      <c r="W130">
        <f t="shared" si="35"/>
        <v>4</v>
      </c>
      <c r="X130">
        <f t="shared" si="36"/>
        <v>2011</v>
      </c>
    </row>
    <row r="131" spans="1:24" ht="12" customHeight="1">
      <c r="A131" s="4">
        <v>1978</v>
      </c>
      <c r="B131" s="4">
        <v>14116</v>
      </c>
      <c r="C131" s="5">
        <f t="shared" ref="C131:C132" si="60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  <c r="V131">
        <f t="shared" si="37"/>
        <v>11</v>
      </c>
      <c r="W131">
        <f t="shared" ref="W131:W194" si="61">MONTH(U131)</f>
        <v>10</v>
      </c>
      <c r="X131">
        <f t="shared" ref="X131:X194" si="62">YEAR(U131)</f>
        <v>2011</v>
      </c>
    </row>
    <row r="132" spans="1:24" ht="12" customHeight="1">
      <c r="A132" s="4">
        <v>1979</v>
      </c>
      <c r="B132" s="4">
        <v>14116</v>
      </c>
      <c r="C132" s="5">
        <f t="shared" si="60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  <c r="V132">
        <f t="shared" ref="V132:V195" si="63">DAY(U132)</f>
        <v>10</v>
      </c>
      <c r="W132">
        <f t="shared" si="61"/>
        <v>10</v>
      </c>
      <c r="X132">
        <f t="shared" si="62"/>
        <v>2011</v>
      </c>
    </row>
    <row r="133" spans="1:24" ht="12" customHeight="1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  <c r="V133">
        <f t="shared" si="63"/>
        <v>25</v>
      </c>
      <c r="W133">
        <f t="shared" si="61"/>
        <v>10</v>
      </c>
      <c r="X133">
        <f t="shared" si="62"/>
        <v>2012</v>
      </c>
    </row>
    <row r="134" spans="1:24" ht="12" customHeight="1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  <c r="V134">
        <f t="shared" si="63"/>
        <v>8</v>
      </c>
      <c r="W134">
        <f t="shared" si="61"/>
        <v>1</v>
      </c>
      <c r="X134">
        <f t="shared" si="62"/>
        <v>2012</v>
      </c>
    </row>
    <row r="135" spans="1:24" ht="12" customHeight="1">
      <c r="A135" s="4">
        <v>2070</v>
      </c>
      <c r="B135" s="4">
        <v>14819</v>
      </c>
      <c r="C135" s="5">
        <f t="shared" ref="C135:C136" si="64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  <c r="V135">
        <f t="shared" si="63"/>
        <v>27</v>
      </c>
      <c r="W135">
        <f t="shared" si="61"/>
        <v>1</v>
      </c>
      <c r="X135">
        <f t="shared" si="62"/>
        <v>2010</v>
      </c>
    </row>
    <row r="136" spans="1:24" ht="12" customHeight="1">
      <c r="A136" s="4">
        <v>2071</v>
      </c>
      <c r="B136" s="4">
        <v>14819</v>
      </c>
      <c r="C136" s="5">
        <f t="shared" si="64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  <c r="V136">
        <f t="shared" si="63"/>
        <v>26</v>
      </c>
      <c r="W136">
        <f t="shared" si="61"/>
        <v>1</v>
      </c>
      <c r="X136">
        <f t="shared" si="62"/>
        <v>2010</v>
      </c>
    </row>
    <row r="137" spans="1:24" ht="12" customHeight="1">
      <c r="A137" s="4">
        <v>2114</v>
      </c>
      <c r="B137" s="4">
        <v>15106</v>
      </c>
      <c r="C137" s="5">
        <f t="shared" ref="C137:C139" si="65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  <c r="V137">
        <f t="shared" si="63"/>
        <v>29</v>
      </c>
      <c r="W137">
        <f t="shared" si="61"/>
        <v>1</v>
      </c>
      <c r="X137">
        <f t="shared" si="62"/>
        <v>2011</v>
      </c>
    </row>
    <row r="138" spans="1:24" ht="12" customHeight="1">
      <c r="A138" s="4">
        <v>2115</v>
      </c>
      <c r="B138" s="4">
        <v>15106</v>
      </c>
      <c r="C138" s="5">
        <f t="shared" si="65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  <c r="V138">
        <f t="shared" si="63"/>
        <v>27</v>
      </c>
      <c r="W138">
        <f t="shared" si="61"/>
        <v>1</v>
      </c>
      <c r="X138">
        <f t="shared" si="62"/>
        <v>2011</v>
      </c>
    </row>
    <row r="139" spans="1:24" ht="12" customHeight="1">
      <c r="A139" s="4">
        <v>2116</v>
      </c>
      <c r="B139" s="4">
        <v>15106</v>
      </c>
      <c r="C139" s="5">
        <f t="shared" si="65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66">C139+2</f>
        <v>40572</v>
      </c>
      <c r="V139">
        <f t="shared" si="63"/>
        <v>29</v>
      </c>
      <c r="W139">
        <f t="shared" si="61"/>
        <v>1</v>
      </c>
      <c r="X139">
        <f t="shared" si="62"/>
        <v>2011</v>
      </c>
    </row>
    <row r="140" spans="1:24" ht="12" customHeight="1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66"/>
        <v>40054</v>
      </c>
      <c r="V140">
        <f t="shared" si="63"/>
        <v>29</v>
      </c>
      <c r="W140">
        <f t="shared" si="61"/>
        <v>8</v>
      </c>
      <c r="X140">
        <f t="shared" si="62"/>
        <v>2009</v>
      </c>
    </row>
    <row r="141" spans="1:24" ht="12" customHeight="1">
      <c r="A141" s="4">
        <v>2129</v>
      </c>
      <c r="B141" s="4">
        <v>15205</v>
      </c>
      <c r="C141" s="5">
        <f t="shared" ref="C141:C142" si="67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66"/>
        <v>40621</v>
      </c>
      <c r="V141">
        <f t="shared" si="63"/>
        <v>19</v>
      </c>
      <c r="W141">
        <f t="shared" si="61"/>
        <v>3</v>
      </c>
      <c r="X141">
        <f t="shared" si="62"/>
        <v>2011</v>
      </c>
    </row>
    <row r="142" spans="1:24" ht="12" customHeight="1">
      <c r="A142" s="4">
        <v>2130</v>
      </c>
      <c r="B142" s="4">
        <v>15205</v>
      </c>
      <c r="C142" s="5">
        <f t="shared" si="67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  <c r="V142">
        <f t="shared" si="63"/>
        <v>18</v>
      </c>
      <c r="W142">
        <f t="shared" si="61"/>
        <v>3</v>
      </c>
      <c r="X142">
        <f t="shared" si="62"/>
        <v>2011</v>
      </c>
    </row>
    <row r="143" spans="1:24" ht="12" customHeight="1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68">C143+2</f>
        <v>41068</v>
      </c>
      <c r="V143">
        <f t="shared" si="63"/>
        <v>8</v>
      </c>
      <c r="W143">
        <f t="shared" si="61"/>
        <v>6</v>
      </c>
      <c r="X143">
        <f t="shared" si="62"/>
        <v>2012</v>
      </c>
    </row>
    <row r="144" spans="1:24" ht="12" customHeight="1">
      <c r="A144" s="4">
        <v>2206</v>
      </c>
      <c r="B144" s="4">
        <v>15907</v>
      </c>
      <c r="C144" s="5">
        <f t="shared" ref="C144:C146" si="69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68"/>
        <v>40646</v>
      </c>
      <c r="V144">
        <f t="shared" si="63"/>
        <v>13</v>
      </c>
      <c r="W144">
        <f t="shared" si="61"/>
        <v>4</v>
      </c>
      <c r="X144">
        <f t="shared" si="62"/>
        <v>2011</v>
      </c>
    </row>
    <row r="145" spans="1:24" ht="12" customHeight="1">
      <c r="A145" s="4">
        <v>2207</v>
      </c>
      <c r="B145" s="4">
        <v>15907</v>
      </c>
      <c r="C145" s="5">
        <f t="shared" si="69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  <c r="V145">
        <f t="shared" si="63"/>
        <v>14</v>
      </c>
      <c r="W145">
        <f t="shared" si="61"/>
        <v>4</v>
      </c>
      <c r="X145">
        <f t="shared" si="62"/>
        <v>2011</v>
      </c>
    </row>
    <row r="146" spans="1:24" ht="12" customHeight="1">
      <c r="A146" s="4">
        <v>2208</v>
      </c>
      <c r="B146" s="4">
        <v>15907</v>
      </c>
      <c r="C146" s="5">
        <f t="shared" si="69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  <c r="V146">
        <f t="shared" si="63"/>
        <v>12</v>
      </c>
      <c r="W146">
        <f t="shared" si="61"/>
        <v>4</v>
      </c>
      <c r="X146">
        <f t="shared" si="62"/>
        <v>2011</v>
      </c>
    </row>
    <row r="147" spans="1:24" ht="12" customHeight="1">
      <c r="A147" s="4">
        <v>2209</v>
      </c>
      <c r="B147" s="4">
        <v>15937</v>
      </c>
      <c r="C147" s="5">
        <f t="shared" ref="C147:C148" si="70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  <c r="V147">
        <f t="shared" si="63"/>
        <v>10</v>
      </c>
      <c r="W147">
        <f t="shared" si="61"/>
        <v>11</v>
      </c>
      <c r="X147">
        <f t="shared" si="62"/>
        <v>2012</v>
      </c>
    </row>
    <row r="148" spans="1:24" ht="12" customHeight="1">
      <c r="A148" s="4">
        <v>2210</v>
      </c>
      <c r="B148" s="4">
        <v>15937</v>
      </c>
      <c r="C148" s="5">
        <f t="shared" si="70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  <c r="V148">
        <f t="shared" si="63"/>
        <v>15</v>
      </c>
      <c r="W148">
        <f t="shared" si="61"/>
        <v>11</v>
      </c>
      <c r="X148">
        <f t="shared" si="62"/>
        <v>2012</v>
      </c>
    </row>
    <row r="149" spans="1:24" ht="12" customHeight="1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  <c r="V149">
        <f t="shared" si="63"/>
        <v>17</v>
      </c>
      <c r="W149">
        <f t="shared" si="61"/>
        <v>5</v>
      </c>
      <c r="X149">
        <f t="shared" si="62"/>
        <v>2012</v>
      </c>
    </row>
    <row r="150" spans="1:24" ht="12" customHeight="1">
      <c r="A150" s="4">
        <v>2246</v>
      </c>
      <c r="B150" s="4">
        <v>16193</v>
      </c>
      <c r="C150" s="5">
        <f t="shared" ref="C150:C151" si="71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72">C150+2</f>
        <v>41010</v>
      </c>
      <c r="V150">
        <f t="shared" si="63"/>
        <v>11</v>
      </c>
      <c r="W150">
        <f t="shared" si="61"/>
        <v>4</v>
      </c>
      <c r="X150">
        <f t="shared" si="62"/>
        <v>2012</v>
      </c>
    </row>
    <row r="151" spans="1:24" ht="12" customHeight="1">
      <c r="A151" s="4">
        <v>2247</v>
      </c>
      <c r="B151" s="4">
        <v>16193</v>
      </c>
      <c r="C151" s="5">
        <f t="shared" si="71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72"/>
        <v>41010</v>
      </c>
      <c r="V151">
        <f t="shared" si="63"/>
        <v>11</v>
      </c>
      <c r="W151">
        <f t="shared" si="61"/>
        <v>4</v>
      </c>
      <c r="X151">
        <f t="shared" si="62"/>
        <v>2012</v>
      </c>
    </row>
    <row r="152" spans="1:24" ht="12" customHeight="1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72"/>
        <v>41128</v>
      </c>
      <c r="V152">
        <f t="shared" si="63"/>
        <v>7</v>
      </c>
      <c r="W152">
        <f t="shared" si="61"/>
        <v>8</v>
      </c>
      <c r="X152">
        <f t="shared" si="62"/>
        <v>2012</v>
      </c>
    </row>
    <row r="153" spans="1:24" ht="12" customHeight="1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  <c r="V153">
        <f t="shared" si="63"/>
        <v>23</v>
      </c>
      <c r="W153">
        <f t="shared" si="61"/>
        <v>7</v>
      </c>
      <c r="X153">
        <f t="shared" si="62"/>
        <v>2009</v>
      </c>
    </row>
    <row r="154" spans="1:24" ht="12" customHeight="1">
      <c r="A154" s="4">
        <v>2294</v>
      </c>
      <c r="B154" s="4">
        <v>16545</v>
      </c>
      <c r="C154" s="5">
        <f t="shared" ref="C154:C155" si="73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74">C154+2</f>
        <v>40309</v>
      </c>
      <c r="V154">
        <f t="shared" si="63"/>
        <v>11</v>
      </c>
      <c r="W154">
        <f t="shared" si="61"/>
        <v>5</v>
      </c>
      <c r="X154">
        <f t="shared" si="62"/>
        <v>2010</v>
      </c>
    </row>
    <row r="155" spans="1:24" ht="12" customHeight="1">
      <c r="A155" s="4">
        <v>2295</v>
      </c>
      <c r="B155" s="4">
        <v>16545</v>
      </c>
      <c r="C155" s="5">
        <f t="shared" si="73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74"/>
        <v>40309</v>
      </c>
      <c r="V155">
        <f t="shared" si="63"/>
        <v>11</v>
      </c>
      <c r="W155">
        <f t="shared" si="61"/>
        <v>5</v>
      </c>
      <c r="X155">
        <f t="shared" si="62"/>
        <v>2010</v>
      </c>
    </row>
    <row r="156" spans="1:24" ht="12" customHeight="1">
      <c r="A156" s="4">
        <v>2296</v>
      </c>
      <c r="B156" s="4">
        <v>16547</v>
      </c>
      <c r="C156" s="5">
        <f t="shared" ref="C156:C157" si="75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74"/>
        <v>39864</v>
      </c>
      <c r="V156">
        <f t="shared" si="63"/>
        <v>20</v>
      </c>
      <c r="W156">
        <f t="shared" si="61"/>
        <v>2</v>
      </c>
      <c r="X156">
        <f t="shared" si="62"/>
        <v>2009</v>
      </c>
    </row>
    <row r="157" spans="1:24" ht="12" customHeight="1">
      <c r="A157" s="4">
        <v>2297</v>
      </c>
      <c r="B157" s="4">
        <v>16547</v>
      </c>
      <c r="C157" s="5">
        <f t="shared" si="75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  <c r="V157">
        <f t="shared" si="63"/>
        <v>18</v>
      </c>
      <c r="W157">
        <f t="shared" si="61"/>
        <v>2</v>
      </c>
      <c r="X157">
        <f t="shared" si="62"/>
        <v>2009</v>
      </c>
    </row>
    <row r="158" spans="1:24" ht="12" customHeight="1">
      <c r="A158" s="4">
        <v>2316</v>
      </c>
      <c r="B158" s="4">
        <v>16706</v>
      </c>
      <c r="C158" s="5">
        <f t="shared" ref="C158:C160" si="76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77">C158+1</f>
        <v>41088</v>
      </c>
      <c r="V158">
        <f t="shared" si="63"/>
        <v>28</v>
      </c>
      <c r="W158">
        <f t="shared" si="61"/>
        <v>6</v>
      </c>
      <c r="X158">
        <f t="shared" si="62"/>
        <v>2012</v>
      </c>
    </row>
    <row r="159" spans="1:24" ht="12" customHeight="1">
      <c r="A159" s="4">
        <v>2317</v>
      </c>
      <c r="B159" s="4">
        <v>16706</v>
      </c>
      <c r="C159" s="5">
        <f t="shared" si="76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77"/>
        <v>41088</v>
      </c>
      <c r="V159">
        <f t="shared" si="63"/>
        <v>28</v>
      </c>
      <c r="W159">
        <f t="shared" si="61"/>
        <v>6</v>
      </c>
      <c r="X159">
        <f t="shared" si="62"/>
        <v>2012</v>
      </c>
    </row>
    <row r="160" spans="1:24" ht="12" customHeight="1">
      <c r="A160" s="4">
        <v>2318</v>
      </c>
      <c r="B160" s="4">
        <v>16706</v>
      </c>
      <c r="C160" s="5">
        <f t="shared" si="76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  <c r="V160">
        <f t="shared" si="63"/>
        <v>29</v>
      </c>
      <c r="W160">
        <f t="shared" si="61"/>
        <v>6</v>
      </c>
      <c r="X160">
        <f t="shared" si="62"/>
        <v>2012</v>
      </c>
    </row>
    <row r="161" spans="1:24" ht="12" customHeight="1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78">C161+1</f>
        <v>40452</v>
      </c>
      <c r="V161">
        <f t="shared" si="63"/>
        <v>1</v>
      </c>
      <c r="W161">
        <f t="shared" si="61"/>
        <v>10</v>
      </c>
      <c r="X161">
        <f t="shared" si="62"/>
        <v>2010</v>
      </c>
    </row>
    <row r="162" spans="1:24" ht="12" customHeight="1">
      <c r="A162" s="4">
        <v>2346</v>
      </c>
      <c r="B162" s="4">
        <v>16932</v>
      </c>
      <c r="C162" s="5">
        <f t="shared" ref="C162:C163" si="79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78"/>
        <v>40284</v>
      </c>
      <c r="V162">
        <f t="shared" si="63"/>
        <v>16</v>
      </c>
      <c r="W162">
        <f t="shared" si="61"/>
        <v>4</v>
      </c>
      <c r="X162">
        <f t="shared" si="62"/>
        <v>2010</v>
      </c>
    </row>
    <row r="163" spans="1:24" ht="12" customHeight="1">
      <c r="A163" s="4">
        <v>2347</v>
      </c>
      <c r="B163" s="4">
        <v>16932</v>
      </c>
      <c r="C163" s="5">
        <f t="shared" si="79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  <c r="V163">
        <f t="shared" si="63"/>
        <v>15</v>
      </c>
      <c r="W163">
        <f t="shared" si="61"/>
        <v>4</v>
      </c>
      <c r="X163">
        <f t="shared" si="62"/>
        <v>2010</v>
      </c>
    </row>
    <row r="164" spans="1:24" ht="12" customHeight="1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80">C164+1</f>
        <v>40801</v>
      </c>
      <c r="V164">
        <f t="shared" si="63"/>
        <v>15</v>
      </c>
      <c r="W164">
        <f t="shared" si="61"/>
        <v>9</v>
      </c>
      <c r="X164">
        <f t="shared" si="62"/>
        <v>2011</v>
      </c>
    </row>
    <row r="165" spans="1:24" ht="12" customHeight="1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80"/>
        <v>40443</v>
      </c>
      <c r="V165">
        <f t="shared" si="63"/>
        <v>22</v>
      </c>
      <c r="W165">
        <f t="shared" si="61"/>
        <v>9</v>
      </c>
      <c r="X165">
        <f t="shared" si="62"/>
        <v>2010</v>
      </c>
    </row>
    <row r="166" spans="1:24" ht="12" customHeight="1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  <c r="V166">
        <f t="shared" si="63"/>
        <v>19</v>
      </c>
      <c r="W166">
        <f t="shared" si="61"/>
        <v>8</v>
      </c>
      <c r="X166">
        <f t="shared" si="62"/>
        <v>2010</v>
      </c>
    </row>
    <row r="167" spans="1:24" ht="12" customHeight="1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  <c r="V167">
        <f t="shared" si="63"/>
        <v>16</v>
      </c>
      <c r="W167">
        <f t="shared" si="61"/>
        <v>9</v>
      </c>
      <c r="X167">
        <f t="shared" si="62"/>
        <v>2009</v>
      </c>
    </row>
    <row r="168" spans="1:24" ht="12" customHeight="1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  <c r="V168">
        <f t="shared" si="63"/>
        <v>23</v>
      </c>
      <c r="W168">
        <f t="shared" si="61"/>
        <v>6</v>
      </c>
      <c r="X168">
        <f t="shared" si="62"/>
        <v>2009</v>
      </c>
    </row>
    <row r="169" spans="1:24" ht="12" customHeight="1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81">C169+2</f>
        <v>41151</v>
      </c>
      <c r="V169">
        <f t="shared" si="63"/>
        <v>30</v>
      </c>
      <c r="W169">
        <f t="shared" si="61"/>
        <v>8</v>
      </c>
      <c r="X169">
        <f t="shared" si="62"/>
        <v>2012</v>
      </c>
    </row>
    <row r="170" spans="1:24" ht="12" customHeight="1">
      <c r="A170" s="4">
        <v>2489</v>
      </c>
      <c r="B170" s="4">
        <v>18144</v>
      </c>
      <c r="C170" s="5">
        <f t="shared" ref="C170:C172" si="82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81"/>
        <v>40703</v>
      </c>
      <c r="V170">
        <f t="shared" si="63"/>
        <v>9</v>
      </c>
      <c r="W170">
        <f t="shared" si="61"/>
        <v>6</v>
      </c>
      <c r="X170">
        <f t="shared" si="62"/>
        <v>2011</v>
      </c>
    </row>
    <row r="171" spans="1:24" ht="12" customHeight="1">
      <c r="A171" s="4">
        <v>2490</v>
      </c>
      <c r="B171" s="4">
        <v>18144</v>
      </c>
      <c r="C171" s="5">
        <f t="shared" si="82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81"/>
        <v>40703</v>
      </c>
      <c r="V171">
        <f t="shared" si="63"/>
        <v>9</v>
      </c>
      <c r="W171">
        <f t="shared" si="61"/>
        <v>6</v>
      </c>
      <c r="X171">
        <f t="shared" si="62"/>
        <v>2011</v>
      </c>
    </row>
    <row r="172" spans="1:24" ht="12" customHeight="1">
      <c r="A172" s="4">
        <v>2491</v>
      </c>
      <c r="B172" s="4">
        <v>18144</v>
      </c>
      <c r="C172" s="5">
        <f t="shared" si="82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81"/>
        <v>40703</v>
      </c>
      <c r="V172">
        <f t="shared" si="63"/>
        <v>9</v>
      </c>
      <c r="W172">
        <f t="shared" si="61"/>
        <v>6</v>
      </c>
      <c r="X172">
        <f t="shared" si="62"/>
        <v>2011</v>
      </c>
    </row>
    <row r="173" spans="1:24" ht="12" customHeight="1">
      <c r="A173" s="4">
        <v>2520</v>
      </c>
      <c r="B173" s="4">
        <v>18308</v>
      </c>
      <c r="C173" s="5">
        <f t="shared" ref="C173:C175" si="83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81"/>
        <v>40097</v>
      </c>
      <c r="V173">
        <f t="shared" si="63"/>
        <v>11</v>
      </c>
      <c r="W173">
        <f t="shared" si="61"/>
        <v>10</v>
      </c>
      <c r="X173">
        <f t="shared" si="62"/>
        <v>2009</v>
      </c>
    </row>
    <row r="174" spans="1:24" ht="12" customHeight="1">
      <c r="A174" s="4">
        <v>2521</v>
      </c>
      <c r="B174" s="4">
        <v>18308</v>
      </c>
      <c r="C174" s="5">
        <f t="shared" si="83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  <c r="V174">
        <f t="shared" si="63"/>
        <v>9</v>
      </c>
      <c r="W174">
        <f t="shared" si="61"/>
        <v>10</v>
      </c>
      <c r="X174">
        <f t="shared" si="62"/>
        <v>2009</v>
      </c>
    </row>
    <row r="175" spans="1:24" ht="12" customHeight="1">
      <c r="A175" s="4">
        <v>2522</v>
      </c>
      <c r="B175" s="4">
        <v>18308</v>
      </c>
      <c r="C175" s="5">
        <f t="shared" si="83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  <c r="V175">
        <f t="shared" si="63"/>
        <v>10</v>
      </c>
      <c r="W175">
        <f t="shared" si="61"/>
        <v>10</v>
      </c>
      <c r="X175">
        <f t="shared" si="62"/>
        <v>2009</v>
      </c>
    </row>
    <row r="176" spans="1:24" ht="12" customHeight="1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84">C176+2</f>
        <v>40519</v>
      </c>
      <c r="V176">
        <f t="shared" si="63"/>
        <v>7</v>
      </c>
      <c r="W176">
        <f t="shared" si="61"/>
        <v>12</v>
      </c>
      <c r="X176">
        <f t="shared" si="62"/>
        <v>2010</v>
      </c>
    </row>
    <row r="177" spans="1:24" ht="12" customHeight="1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84"/>
        <v>39973</v>
      </c>
      <c r="V177">
        <f t="shared" si="63"/>
        <v>9</v>
      </c>
      <c r="W177">
        <f t="shared" si="61"/>
        <v>6</v>
      </c>
      <c r="X177">
        <f t="shared" si="62"/>
        <v>2009</v>
      </c>
    </row>
    <row r="178" spans="1:24" ht="12" customHeight="1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  <c r="V178">
        <f t="shared" si="63"/>
        <v>28</v>
      </c>
      <c r="W178">
        <f t="shared" si="61"/>
        <v>7</v>
      </c>
      <c r="X178">
        <f t="shared" si="62"/>
        <v>2009</v>
      </c>
    </row>
    <row r="179" spans="1:24" ht="12" customHeight="1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  <c r="V179">
        <f t="shared" si="63"/>
        <v>10</v>
      </c>
      <c r="W179">
        <f t="shared" si="61"/>
        <v>9</v>
      </c>
      <c r="X179">
        <f t="shared" si="62"/>
        <v>2011</v>
      </c>
    </row>
    <row r="180" spans="1:24" ht="12" customHeight="1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  <c r="V180">
        <f t="shared" si="63"/>
        <v>12</v>
      </c>
      <c r="W180">
        <f t="shared" si="61"/>
        <v>1</v>
      </c>
      <c r="X180">
        <f t="shared" si="62"/>
        <v>2009</v>
      </c>
    </row>
    <row r="181" spans="1:24" ht="12" customHeight="1">
      <c r="A181" s="4">
        <v>2727</v>
      </c>
      <c r="B181" s="4">
        <v>19686</v>
      </c>
      <c r="C181" s="5">
        <f t="shared" ref="C181:C182" si="85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  <c r="V181">
        <f t="shared" si="63"/>
        <v>15</v>
      </c>
      <c r="W181">
        <f t="shared" si="61"/>
        <v>8</v>
      </c>
      <c r="X181">
        <f t="shared" si="62"/>
        <v>2010</v>
      </c>
    </row>
    <row r="182" spans="1:24" ht="12" customHeight="1">
      <c r="A182" s="4">
        <v>2728</v>
      </c>
      <c r="B182" s="4">
        <v>19686</v>
      </c>
      <c r="C182" s="5">
        <f t="shared" si="85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  <c r="V182">
        <f t="shared" si="63"/>
        <v>17</v>
      </c>
      <c r="W182">
        <f t="shared" si="61"/>
        <v>8</v>
      </c>
      <c r="X182">
        <f t="shared" si="62"/>
        <v>2010</v>
      </c>
    </row>
    <row r="183" spans="1:24" ht="12" customHeight="1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  <c r="V183">
        <f t="shared" si="63"/>
        <v>6</v>
      </c>
      <c r="W183">
        <f t="shared" si="61"/>
        <v>8</v>
      </c>
      <c r="X183">
        <f t="shared" si="62"/>
        <v>2009</v>
      </c>
    </row>
    <row r="184" spans="1:24" ht="12" customHeight="1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86">C184+2</f>
        <v>40805</v>
      </c>
      <c r="V184">
        <f t="shared" si="63"/>
        <v>19</v>
      </c>
      <c r="W184">
        <f t="shared" si="61"/>
        <v>9</v>
      </c>
      <c r="X184">
        <f t="shared" si="62"/>
        <v>2011</v>
      </c>
    </row>
    <row r="185" spans="1:24" ht="12" customHeight="1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86"/>
        <v>40840</v>
      </c>
      <c r="V185">
        <f t="shared" si="63"/>
        <v>24</v>
      </c>
      <c r="W185">
        <f t="shared" si="61"/>
        <v>10</v>
      </c>
      <c r="X185">
        <f t="shared" si="62"/>
        <v>2011</v>
      </c>
    </row>
    <row r="186" spans="1:24" ht="12" customHeight="1">
      <c r="A186" s="4">
        <v>2811</v>
      </c>
      <c r="B186" s="4">
        <v>20263</v>
      </c>
      <c r="C186" s="5">
        <f t="shared" ref="C186:C187" si="87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  <c r="V186">
        <f t="shared" si="63"/>
        <v>15</v>
      </c>
      <c r="W186">
        <f t="shared" si="61"/>
        <v>11</v>
      </c>
      <c r="X186">
        <f t="shared" si="62"/>
        <v>2009</v>
      </c>
    </row>
    <row r="187" spans="1:24" ht="12" customHeight="1">
      <c r="A187" s="4">
        <v>2812</v>
      </c>
      <c r="B187" s="4">
        <v>20263</v>
      </c>
      <c r="C187" s="5">
        <f t="shared" si="87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  <c r="V187">
        <f t="shared" si="63"/>
        <v>16</v>
      </c>
      <c r="W187">
        <f t="shared" si="61"/>
        <v>11</v>
      </c>
      <c r="X187">
        <f t="shared" si="62"/>
        <v>2009</v>
      </c>
    </row>
    <row r="188" spans="1:24" ht="12" customHeight="1">
      <c r="A188" s="4">
        <v>2935</v>
      </c>
      <c r="B188" s="4">
        <v>21285</v>
      </c>
      <c r="C188" s="5">
        <f t="shared" ref="C188:C189" si="88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  <c r="V188">
        <f t="shared" si="63"/>
        <v>4</v>
      </c>
      <c r="W188">
        <f t="shared" si="61"/>
        <v>7</v>
      </c>
      <c r="X188">
        <f t="shared" si="62"/>
        <v>2010</v>
      </c>
    </row>
    <row r="189" spans="1:24" ht="12" customHeight="1">
      <c r="A189" s="4">
        <v>2936</v>
      </c>
      <c r="B189" s="4">
        <v>21285</v>
      </c>
      <c r="C189" s="5">
        <f t="shared" si="88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  <c r="V189">
        <f t="shared" si="63"/>
        <v>5</v>
      </c>
      <c r="W189">
        <f t="shared" si="61"/>
        <v>7</v>
      </c>
      <c r="X189">
        <f t="shared" si="62"/>
        <v>2010</v>
      </c>
    </row>
    <row r="190" spans="1:24" ht="12" customHeight="1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  <c r="V190">
        <f t="shared" si="63"/>
        <v>4</v>
      </c>
      <c r="W190">
        <f t="shared" si="61"/>
        <v>2</v>
      </c>
      <c r="X190">
        <f t="shared" si="62"/>
        <v>2009</v>
      </c>
    </row>
    <row r="191" spans="1:24" ht="12" customHeight="1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  <c r="V191">
        <f t="shared" si="63"/>
        <v>17</v>
      </c>
      <c r="W191">
        <f t="shared" si="61"/>
        <v>3</v>
      </c>
      <c r="X191">
        <f t="shared" si="62"/>
        <v>2012</v>
      </c>
    </row>
    <row r="192" spans="1:24" ht="12" customHeight="1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  <c r="V192">
        <f t="shared" si="63"/>
        <v>10</v>
      </c>
      <c r="W192">
        <f t="shared" si="61"/>
        <v>8</v>
      </c>
      <c r="X192">
        <f t="shared" si="62"/>
        <v>2009</v>
      </c>
    </row>
    <row r="193" spans="1:24" ht="12" customHeight="1">
      <c r="A193" s="4">
        <v>3052</v>
      </c>
      <c r="B193" s="4">
        <v>21889</v>
      </c>
      <c r="C193" s="5">
        <f t="shared" ref="C193:C194" si="89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  <c r="V193">
        <f t="shared" si="63"/>
        <v>8</v>
      </c>
      <c r="W193">
        <f t="shared" si="61"/>
        <v>4</v>
      </c>
      <c r="X193">
        <f t="shared" si="62"/>
        <v>2010</v>
      </c>
    </row>
    <row r="194" spans="1:24" ht="12" customHeight="1">
      <c r="A194" s="4">
        <v>3053</v>
      </c>
      <c r="B194" s="4">
        <v>21889</v>
      </c>
      <c r="C194" s="5">
        <f t="shared" si="89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  <c r="V194">
        <f t="shared" si="63"/>
        <v>3</v>
      </c>
      <c r="W194">
        <f t="shared" si="61"/>
        <v>4</v>
      </c>
      <c r="X194">
        <f t="shared" si="62"/>
        <v>2010</v>
      </c>
    </row>
    <row r="195" spans="1:24" ht="12" customHeight="1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  <c r="V195">
        <f t="shared" si="63"/>
        <v>31</v>
      </c>
      <c r="W195">
        <f t="shared" ref="W195:W258" si="90">MONTH(U195)</f>
        <v>7</v>
      </c>
      <c r="X195">
        <f t="shared" ref="X195:X258" si="91">YEAR(U195)</f>
        <v>2010</v>
      </c>
    </row>
    <row r="196" spans="1:24" ht="12" customHeight="1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  <c r="V196">
        <f t="shared" ref="V196:V259" si="92">DAY(U196)</f>
        <v>5</v>
      </c>
      <c r="W196">
        <f t="shared" si="90"/>
        <v>6</v>
      </c>
      <c r="X196">
        <f t="shared" si="91"/>
        <v>2009</v>
      </c>
    </row>
    <row r="197" spans="1:24" ht="12" customHeight="1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  <c r="V197">
        <f t="shared" si="92"/>
        <v>13</v>
      </c>
      <c r="W197">
        <f t="shared" si="90"/>
        <v>10</v>
      </c>
      <c r="X197">
        <f t="shared" si="91"/>
        <v>2010</v>
      </c>
    </row>
    <row r="198" spans="1:24" ht="12" customHeight="1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  <c r="V198">
        <f t="shared" si="92"/>
        <v>19</v>
      </c>
      <c r="W198">
        <f t="shared" si="90"/>
        <v>5</v>
      </c>
      <c r="X198">
        <f t="shared" si="91"/>
        <v>2010</v>
      </c>
    </row>
    <row r="199" spans="1:24" ht="12" customHeight="1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  <c r="V199">
        <f t="shared" si="92"/>
        <v>8</v>
      </c>
      <c r="W199">
        <f t="shared" si="90"/>
        <v>2</v>
      </c>
      <c r="X199">
        <f t="shared" si="91"/>
        <v>2011</v>
      </c>
    </row>
    <row r="200" spans="1:24" ht="12" customHeight="1">
      <c r="A200" s="4">
        <v>3244</v>
      </c>
      <c r="B200" s="4">
        <v>23264</v>
      </c>
      <c r="C200" s="5">
        <f t="shared" ref="C200:C201" si="93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94">C200+2</f>
        <v>40521</v>
      </c>
      <c r="V200">
        <f t="shared" si="92"/>
        <v>9</v>
      </c>
      <c r="W200">
        <f t="shared" si="90"/>
        <v>12</v>
      </c>
      <c r="X200">
        <f t="shared" si="91"/>
        <v>2010</v>
      </c>
    </row>
    <row r="201" spans="1:24" ht="12" customHeight="1">
      <c r="A201" s="4">
        <v>3245</v>
      </c>
      <c r="B201" s="4">
        <v>23264</v>
      </c>
      <c r="C201" s="5">
        <f t="shared" si="93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94"/>
        <v>40521</v>
      </c>
      <c r="V201">
        <f t="shared" si="92"/>
        <v>9</v>
      </c>
      <c r="W201">
        <f t="shared" si="90"/>
        <v>12</v>
      </c>
      <c r="X201">
        <f t="shared" si="91"/>
        <v>2010</v>
      </c>
    </row>
    <row r="202" spans="1:24" ht="12" customHeight="1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  <c r="V202">
        <f t="shared" si="92"/>
        <v>7</v>
      </c>
      <c r="W202">
        <f t="shared" si="90"/>
        <v>1</v>
      </c>
      <c r="X202">
        <f t="shared" si="91"/>
        <v>2009</v>
      </c>
    </row>
    <row r="203" spans="1:24" ht="12" customHeight="1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  <c r="V203">
        <f t="shared" si="92"/>
        <v>14</v>
      </c>
      <c r="W203">
        <f t="shared" si="90"/>
        <v>3</v>
      </c>
      <c r="X203">
        <f t="shared" si="91"/>
        <v>2012</v>
      </c>
    </row>
    <row r="204" spans="1:24" ht="12" customHeight="1">
      <c r="A204" s="4">
        <v>3355</v>
      </c>
      <c r="B204" s="4">
        <v>24007</v>
      </c>
      <c r="C204" s="5">
        <f t="shared" ref="C204:C206" si="95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96">C204+7</f>
        <v>40423</v>
      </c>
      <c r="V204">
        <f t="shared" si="92"/>
        <v>2</v>
      </c>
      <c r="W204">
        <f t="shared" si="90"/>
        <v>9</v>
      </c>
      <c r="X204">
        <f t="shared" si="91"/>
        <v>2010</v>
      </c>
    </row>
    <row r="205" spans="1:24" ht="12" customHeight="1">
      <c r="A205" s="4">
        <v>3356</v>
      </c>
      <c r="B205" s="4">
        <v>24007</v>
      </c>
      <c r="C205" s="5">
        <f t="shared" si="95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96"/>
        <v>40423</v>
      </c>
      <c r="V205">
        <f t="shared" si="92"/>
        <v>2</v>
      </c>
      <c r="W205">
        <f t="shared" si="90"/>
        <v>9</v>
      </c>
      <c r="X205">
        <f t="shared" si="91"/>
        <v>2010</v>
      </c>
    </row>
    <row r="206" spans="1:24" ht="12" customHeight="1">
      <c r="A206" s="4">
        <v>3357</v>
      </c>
      <c r="B206" s="4">
        <v>24007</v>
      </c>
      <c r="C206" s="5">
        <f t="shared" si="95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  <c r="V206">
        <f t="shared" si="92"/>
        <v>30</v>
      </c>
      <c r="W206">
        <f t="shared" si="90"/>
        <v>8</v>
      </c>
      <c r="X206">
        <f t="shared" si="91"/>
        <v>2010</v>
      </c>
    </row>
    <row r="207" spans="1:24" ht="12" customHeight="1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  <c r="V207">
        <f t="shared" si="92"/>
        <v>22</v>
      </c>
      <c r="W207">
        <f t="shared" si="90"/>
        <v>6</v>
      </c>
      <c r="X207">
        <f t="shared" si="91"/>
        <v>2011</v>
      </c>
    </row>
    <row r="208" spans="1:24" ht="12" customHeight="1">
      <c r="A208" s="4">
        <v>3371</v>
      </c>
      <c r="B208" s="4">
        <v>24097</v>
      </c>
      <c r="C208" s="5">
        <f t="shared" ref="C208:C210" si="97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  <c r="V208">
        <f t="shared" si="92"/>
        <v>4</v>
      </c>
      <c r="W208">
        <f t="shared" si="90"/>
        <v>8</v>
      </c>
      <c r="X208">
        <f t="shared" si="91"/>
        <v>2010</v>
      </c>
    </row>
    <row r="209" spans="1:24" ht="12" customHeight="1">
      <c r="A209" s="4">
        <v>3372</v>
      </c>
      <c r="B209" s="4">
        <v>24097</v>
      </c>
      <c r="C209" s="5">
        <f t="shared" si="97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98">C209+2</f>
        <v>40396</v>
      </c>
      <c r="V209">
        <f t="shared" si="92"/>
        <v>6</v>
      </c>
      <c r="W209">
        <f t="shared" si="90"/>
        <v>8</v>
      </c>
      <c r="X209">
        <f t="shared" si="91"/>
        <v>2010</v>
      </c>
    </row>
    <row r="210" spans="1:24" ht="12" customHeight="1">
      <c r="A210" s="4">
        <v>3373</v>
      </c>
      <c r="B210" s="4">
        <v>24097</v>
      </c>
      <c r="C210" s="5">
        <f t="shared" si="97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98"/>
        <v>40396</v>
      </c>
      <c r="V210">
        <f t="shared" si="92"/>
        <v>6</v>
      </c>
      <c r="W210">
        <f t="shared" si="90"/>
        <v>8</v>
      </c>
      <c r="X210">
        <f t="shared" si="91"/>
        <v>2010</v>
      </c>
    </row>
    <row r="211" spans="1:24" ht="12" customHeight="1">
      <c r="A211" s="4">
        <v>3380</v>
      </c>
      <c r="B211" s="4">
        <v>24128</v>
      </c>
      <c r="C211" s="5">
        <f t="shared" ref="C211:C212" si="99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98"/>
        <v>40507</v>
      </c>
      <c r="V211">
        <f t="shared" si="92"/>
        <v>25</v>
      </c>
      <c r="W211">
        <f t="shared" si="90"/>
        <v>11</v>
      </c>
      <c r="X211">
        <f t="shared" si="91"/>
        <v>2010</v>
      </c>
    </row>
    <row r="212" spans="1:24" ht="12" customHeight="1">
      <c r="A212" s="4">
        <v>3381</v>
      </c>
      <c r="B212" s="4">
        <v>24128</v>
      </c>
      <c r="C212" s="5">
        <f t="shared" si="99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98"/>
        <v>40507</v>
      </c>
      <c r="V212">
        <f t="shared" si="92"/>
        <v>25</v>
      </c>
      <c r="W212">
        <f t="shared" si="90"/>
        <v>11</v>
      </c>
      <c r="X212">
        <f t="shared" si="91"/>
        <v>2010</v>
      </c>
    </row>
    <row r="213" spans="1:24" ht="12" customHeight="1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100">C213+1</f>
        <v>40028</v>
      </c>
      <c r="V213">
        <f t="shared" si="92"/>
        <v>3</v>
      </c>
      <c r="W213">
        <f t="shared" si="90"/>
        <v>8</v>
      </c>
      <c r="X213">
        <f t="shared" si="91"/>
        <v>2009</v>
      </c>
    </row>
    <row r="214" spans="1:24" ht="12" customHeight="1">
      <c r="A214" s="4">
        <v>3418</v>
      </c>
      <c r="B214" s="4">
        <v>24387</v>
      </c>
      <c r="C214" s="5">
        <f t="shared" ref="C214:C215" si="101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100"/>
        <v>40766</v>
      </c>
      <c r="V214">
        <f t="shared" si="92"/>
        <v>11</v>
      </c>
      <c r="W214">
        <f t="shared" si="90"/>
        <v>8</v>
      </c>
      <c r="X214">
        <f t="shared" si="91"/>
        <v>2011</v>
      </c>
    </row>
    <row r="215" spans="1:24" ht="12" customHeight="1">
      <c r="A215" s="4">
        <v>3419</v>
      </c>
      <c r="B215" s="4">
        <v>24387</v>
      </c>
      <c r="C215" s="5">
        <f t="shared" si="101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  <c r="V215">
        <f t="shared" si="92"/>
        <v>10</v>
      </c>
      <c r="W215">
        <f t="shared" si="90"/>
        <v>8</v>
      </c>
      <c r="X215">
        <f t="shared" si="91"/>
        <v>2011</v>
      </c>
    </row>
    <row r="216" spans="1:24" ht="12" customHeight="1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  <c r="V216">
        <f t="shared" si="92"/>
        <v>8</v>
      </c>
      <c r="W216">
        <f t="shared" si="90"/>
        <v>5</v>
      </c>
      <c r="X216">
        <f t="shared" si="91"/>
        <v>2010</v>
      </c>
    </row>
    <row r="217" spans="1:24" ht="12" customHeight="1">
      <c r="A217" s="4">
        <v>3478</v>
      </c>
      <c r="B217" s="4">
        <v>24743</v>
      </c>
      <c r="C217" s="5">
        <f t="shared" ref="C217:C218" si="102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  <c r="V217">
        <f t="shared" si="92"/>
        <v>5</v>
      </c>
      <c r="W217">
        <f t="shared" si="90"/>
        <v>7</v>
      </c>
      <c r="X217">
        <f t="shared" si="91"/>
        <v>2012</v>
      </c>
    </row>
    <row r="218" spans="1:24" ht="12" customHeight="1">
      <c r="A218" s="4">
        <v>3479</v>
      </c>
      <c r="B218" s="4">
        <v>24743</v>
      </c>
      <c r="C218" s="5">
        <f t="shared" si="102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  <c r="V218">
        <f t="shared" si="92"/>
        <v>3</v>
      </c>
      <c r="W218">
        <f t="shared" si="90"/>
        <v>7</v>
      </c>
      <c r="X218">
        <f t="shared" si="91"/>
        <v>2012</v>
      </c>
    </row>
    <row r="219" spans="1:24" ht="12" customHeight="1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  <c r="V219">
        <f t="shared" si="92"/>
        <v>24</v>
      </c>
      <c r="W219">
        <f t="shared" si="90"/>
        <v>3</v>
      </c>
      <c r="X219">
        <f t="shared" si="91"/>
        <v>2011</v>
      </c>
    </row>
    <row r="220" spans="1:24" ht="12" customHeight="1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  <c r="V220">
        <f t="shared" si="92"/>
        <v>21</v>
      </c>
      <c r="W220">
        <f t="shared" si="90"/>
        <v>11</v>
      </c>
      <c r="X220">
        <f t="shared" si="91"/>
        <v>2011</v>
      </c>
    </row>
    <row r="221" spans="1:24" ht="12" customHeight="1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  <c r="V221">
        <f t="shared" si="92"/>
        <v>3</v>
      </c>
      <c r="W221">
        <f t="shared" si="90"/>
        <v>12</v>
      </c>
      <c r="X221">
        <f t="shared" si="91"/>
        <v>2012</v>
      </c>
    </row>
    <row r="222" spans="1:24" ht="12" customHeight="1">
      <c r="A222" s="4">
        <v>3591</v>
      </c>
      <c r="B222" s="4">
        <v>25634</v>
      </c>
      <c r="C222" s="5">
        <f t="shared" ref="C222:C223" si="103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  <c r="V222">
        <f t="shared" si="92"/>
        <v>1</v>
      </c>
      <c r="W222">
        <f t="shared" si="90"/>
        <v>8</v>
      </c>
      <c r="X222">
        <f t="shared" si="91"/>
        <v>2010</v>
      </c>
    </row>
    <row r="223" spans="1:24" ht="12" customHeight="1">
      <c r="A223" s="4">
        <v>3592</v>
      </c>
      <c r="B223" s="4">
        <v>25634</v>
      </c>
      <c r="C223" s="5">
        <f t="shared" si="103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  <c r="V223">
        <f t="shared" si="92"/>
        <v>30</v>
      </c>
      <c r="W223">
        <f t="shared" si="90"/>
        <v>7</v>
      </c>
      <c r="X223">
        <f t="shared" si="91"/>
        <v>2010</v>
      </c>
    </row>
    <row r="224" spans="1:24" ht="12" customHeight="1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  <c r="V224">
        <f t="shared" si="92"/>
        <v>17</v>
      </c>
      <c r="W224">
        <f t="shared" si="90"/>
        <v>5</v>
      </c>
      <c r="X224">
        <f t="shared" si="91"/>
        <v>2012</v>
      </c>
    </row>
    <row r="225" spans="1:24" ht="12" customHeight="1">
      <c r="A225" s="4">
        <v>3604</v>
      </c>
      <c r="B225" s="4">
        <v>25767</v>
      </c>
      <c r="C225" s="5">
        <f t="shared" ref="C225:C226" si="104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  <c r="V225">
        <f t="shared" si="92"/>
        <v>3</v>
      </c>
      <c r="W225">
        <f t="shared" si="90"/>
        <v>3</v>
      </c>
      <c r="X225">
        <f t="shared" si="91"/>
        <v>2012</v>
      </c>
    </row>
    <row r="226" spans="1:24" ht="12" customHeight="1">
      <c r="A226" s="4">
        <v>3605</v>
      </c>
      <c r="B226" s="4">
        <v>25767</v>
      </c>
      <c r="C226" s="5">
        <f t="shared" si="104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105">C226+1</f>
        <v>40972</v>
      </c>
      <c r="V226">
        <f t="shared" si="92"/>
        <v>4</v>
      </c>
      <c r="W226">
        <f t="shared" si="90"/>
        <v>3</v>
      </c>
      <c r="X226">
        <f t="shared" si="91"/>
        <v>2012</v>
      </c>
    </row>
    <row r="227" spans="1:24" ht="12" customHeight="1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105"/>
        <v>40411</v>
      </c>
      <c r="V227">
        <f t="shared" si="92"/>
        <v>21</v>
      </c>
      <c r="W227">
        <f t="shared" si="90"/>
        <v>8</v>
      </c>
      <c r="X227">
        <f t="shared" si="91"/>
        <v>2010</v>
      </c>
    </row>
    <row r="228" spans="1:24" ht="12" customHeight="1">
      <c r="A228" s="4">
        <v>3643</v>
      </c>
      <c r="B228" s="4">
        <v>26051</v>
      </c>
      <c r="C228" s="5">
        <f t="shared" ref="C228:C229" si="106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  <c r="V228">
        <f t="shared" si="92"/>
        <v>29</v>
      </c>
      <c r="W228">
        <f t="shared" si="90"/>
        <v>6</v>
      </c>
      <c r="X228">
        <f t="shared" si="91"/>
        <v>2010</v>
      </c>
    </row>
    <row r="229" spans="1:24" ht="12" customHeight="1">
      <c r="A229" s="4">
        <v>3644</v>
      </c>
      <c r="B229" s="4">
        <v>26051</v>
      </c>
      <c r="C229" s="5">
        <f t="shared" si="106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107">C229+1</f>
        <v>40357</v>
      </c>
      <c r="V229">
        <f t="shared" si="92"/>
        <v>28</v>
      </c>
      <c r="W229">
        <f t="shared" si="90"/>
        <v>6</v>
      </c>
      <c r="X229">
        <f t="shared" si="91"/>
        <v>2010</v>
      </c>
    </row>
    <row r="230" spans="1:24" ht="12" customHeight="1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107"/>
        <v>41212</v>
      </c>
      <c r="V230">
        <f t="shared" si="92"/>
        <v>30</v>
      </c>
      <c r="W230">
        <f t="shared" si="90"/>
        <v>10</v>
      </c>
      <c r="X230">
        <f t="shared" si="91"/>
        <v>2012</v>
      </c>
    </row>
    <row r="231" spans="1:24" ht="12" customHeight="1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  <c r="V231">
        <f t="shared" si="92"/>
        <v>19</v>
      </c>
      <c r="W231">
        <f t="shared" si="90"/>
        <v>1</v>
      </c>
      <c r="X231">
        <f t="shared" si="91"/>
        <v>2010</v>
      </c>
    </row>
    <row r="232" spans="1:24" ht="12" customHeight="1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  <c r="V232">
        <f t="shared" si="92"/>
        <v>8</v>
      </c>
      <c r="W232">
        <f t="shared" si="90"/>
        <v>7</v>
      </c>
      <c r="X232">
        <f t="shared" si="91"/>
        <v>2012</v>
      </c>
    </row>
    <row r="233" spans="1:24" ht="12" customHeight="1">
      <c r="A233" s="4">
        <v>3688</v>
      </c>
      <c r="B233" s="4">
        <v>26370</v>
      </c>
      <c r="C233" s="5">
        <f t="shared" ref="C233:C234" si="108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109">C233+2</f>
        <v>40765</v>
      </c>
      <c r="V233">
        <f t="shared" si="92"/>
        <v>10</v>
      </c>
      <c r="W233">
        <f t="shared" si="90"/>
        <v>8</v>
      </c>
      <c r="X233">
        <f t="shared" si="91"/>
        <v>2011</v>
      </c>
    </row>
    <row r="234" spans="1:24" ht="12" customHeight="1">
      <c r="A234" s="4">
        <v>3689</v>
      </c>
      <c r="B234" s="4">
        <v>26370</v>
      </c>
      <c r="C234" s="5">
        <f t="shared" si="108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109"/>
        <v>40765</v>
      </c>
      <c r="V234">
        <f t="shared" si="92"/>
        <v>10</v>
      </c>
      <c r="W234">
        <f t="shared" si="90"/>
        <v>8</v>
      </c>
      <c r="X234">
        <f t="shared" si="91"/>
        <v>2011</v>
      </c>
    </row>
    <row r="235" spans="1:24" ht="12" customHeight="1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  <c r="V235">
        <f t="shared" si="92"/>
        <v>22</v>
      </c>
      <c r="W235">
        <f t="shared" si="90"/>
        <v>2</v>
      </c>
      <c r="X235">
        <f t="shared" si="91"/>
        <v>2010</v>
      </c>
    </row>
    <row r="236" spans="1:24" ht="12" customHeight="1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  <c r="V236">
        <f t="shared" si="92"/>
        <v>22</v>
      </c>
      <c r="W236">
        <f t="shared" si="90"/>
        <v>6</v>
      </c>
      <c r="X236">
        <f t="shared" si="91"/>
        <v>2011</v>
      </c>
    </row>
    <row r="237" spans="1:24" ht="12" customHeight="1">
      <c r="A237" s="4">
        <v>3719</v>
      </c>
      <c r="B237" s="4">
        <v>26567</v>
      </c>
      <c r="C237" s="5">
        <f t="shared" ref="C237:C240" si="110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  <c r="V237">
        <f t="shared" si="92"/>
        <v>4</v>
      </c>
      <c r="W237">
        <f t="shared" si="90"/>
        <v>9</v>
      </c>
      <c r="X237">
        <f t="shared" si="91"/>
        <v>2009</v>
      </c>
    </row>
    <row r="238" spans="1:24" ht="12" customHeight="1">
      <c r="A238" s="4">
        <v>3720</v>
      </c>
      <c r="B238" s="4">
        <v>26567</v>
      </c>
      <c r="C238" s="5">
        <f t="shared" si="110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  <c r="V238">
        <f t="shared" si="92"/>
        <v>7</v>
      </c>
      <c r="W238">
        <f t="shared" si="90"/>
        <v>9</v>
      </c>
      <c r="X238">
        <f t="shared" si="91"/>
        <v>2009</v>
      </c>
    </row>
    <row r="239" spans="1:24" ht="12" customHeight="1">
      <c r="A239" s="4">
        <v>3721</v>
      </c>
      <c r="B239" s="4">
        <v>26567</v>
      </c>
      <c r="C239" s="5">
        <f t="shared" si="110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111">C239+1</f>
        <v>40061</v>
      </c>
      <c r="V239">
        <f t="shared" si="92"/>
        <v>5</v>
      </c>
      <c r="W239">
        <f t="shared" si="90"/>
        <v>9</v>
      </c>
      <c r="X239">
        <f t="shared" si="91"/>
        <v>2009</v>
      </c>
    </row>
    <row r="240" spans="1:24" ht="12" customHeight="1">
      <c r="A240" s="4">
        <v>3722</v>
      </c>
      <c r="B240" s="4">
        <v>26567</v>
      </c>
      <c r="C240" s="5">
        <f t="shared" si="110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111"/>
        <v>40061</v>
      </c>
      <c r="V240">
        <f t="shared" si="92"/>
        <v>5</v>
      </c>
      <c r="W240">
        <f t="shared" si="90"/>
        <v>9</v>
      </c>
      <c r="X240">
        <f t="shared" si="91"/>
        <v>2009</v>
      </c>
    </row>
    <row r="241" spans="1:24" ht="12" customHeight="1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111"/>
        <v>39986</v>
      </c>
      <c r="V241">
        <f t="shared" si="92"/>
        <v>22</v>
      </c>
      <c r="W241">
        <f t="shared" si="90"/>
        <v>6</v>
      </c>
      <c r="X241">
        <f t="shared" si="91"/>
        <v>2009</v>
      </c>
    </row>
    <row r="242" spans="1:24" ht="12" customHeight="1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  <c r="V242">
        <f t="shared" si="92"/>
        <v>10</v>
      </c>
      <c r="W242">
        <f t="shared" si="90"/>
        <v>2</v>
      </c>
      <c r="X242">
        <f t="shared" si="91"/>
        <v>2012</v>
      </c>
    </row>
    <row r="243" spans="1:24" ht="12" customHeight="1">
      <c r="A243" s="4">
        <v>3806</v>
      </c>
      <c r="B243" s="4">
        <v>27111</v>
      </c>
      <c r="C243" s="5">
        <f t="shared" ref="C243:C245" si="112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  <c r="V243">
        <f t="shared" si="92"/>
        <v>14</v>
      </c>
      <c r="W243">
        <f t="shared" si="90"/>
        <v>3</v>
      </c>
      <c r="X243">
        <f t="shared" si="91"/>
        <v>2009</v>
      </c>
    </row>
    <row r="244" spans="1:24" ht="12" customHeight="1">
      <c r="A244" s="4">
        <v>3807</v>
      </c>
      <c r="B244" s="4">
        <v>27111</v>
      </c>
      <c r="C244" s="5">
        <f t="shared" si="112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  <c r="V244">
        <f t="shared" si="92"/>
        <v>12</v>
      </c>
      <c r="W244">
        <f t="shared" si="90"/>
        <v>3</v>
      </c>
      <c r="X244">
        <f t="shared" si="91"/>
        <v>2009</v>
      </c>
    </row>
    <row r="245" spans="1:24" ht="12" customHeight="1">
      <c r="A245" s="4">
        <v>3808</v>
      </c>
      <c r="B245" s="4">
        <v>27111</v>
      </c>
      <c r="C245" s="5">
        <f t="shared" si="112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  <c r="V245">
        <f t="shared" si="92"/>
        <v>11</v>
      </c>
      <c r="W245">
        <f t="shared" si="90"/>
        <v>3</v>
      </c>
      <c r="X245">
        <f t="shared" si="91"/>
        <v>2009</v>
      </c>
    </row>
    <row r="246" spans="1:24" ht="12" customHeight="1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  <c r="V246">
        <f t="shared" si="92"/>
        <v>6</v>
      </c>
      <c r="W246">
        <f t="shared" si="90"/>
        <v>6</v>
      </c>
      <c r="X246">
        <f t="shared" si="91"/>
        <v>2011</v>
      </c>
    </row>
    <row r="247" spans="1:24" ht="12" customHeight="1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  <c r="V247">
        <f t="shared" si="92"/>
        <v>11</v>
      </c>
      <c r="W247">
        <f t="shared" si="90"/>
        <v>3</v>
      </c>
      <c r="X247">
        <f t="shared" si="91"/>
        <v>2012</v>
      </c>
    </row>
    <row r="248" spans="1:24" ht="12" customHeight="1">
      <c r="A248" s="4">
        <v>3860</v>
      </c>
      <c r="B248" s="4">
        <v>27553</v>
      </c>
      <c r="C248" s="5">
        <f t="shared" ref="C248:C249" si="113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14">C248+2</f>
        <v>40769</v>
      </c>
      <c r="V248">
        <f t="shared" si="92"/>
        <v>14</v>
      </c>
      <c r="W248">
        <f t="shared" si="90"/>
        <v>8</v>
      </c>
      <c r="X248">
        <f t="shared" si="91"/>
        <v>2011</v>
      </c>
    </row>
    <row r="249" spans="1:24" ht="12" customHeight="1">
      <c r="A249" s="4">
        <v>3861</v>
      </c>
      <c r="B249" s="4">
        <v>27553</v>
      </c>
      <c r="C249" s="5">
        <f t="shared" si="113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14"/>
        <v>40769</v>
      </c>
      <c r="V249">
        <f t="shared" si="92"/>
        <v>14</v>
      </c>
      <c r="W249">
        <f t="shared" si="90"/>
        <v>8</v>
      </c>
      <c r="X249">
        <f t="shared" si="91"/>
        <v>2011</v>
      </c>
    </row>
    <row r="250" spans="1:24" ht="12" customHeight="1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14"/>
        <v>40059</v>
      </c>
      <c r="V250">
        <f t="shared" si="92"/>
        <v>3</v>
      </c>
      <c r="W250">
        <f t="shared" si="90"/>
        <v>9</v>
      </c>
      <c r="X250">
        <f t="shared" si="91"/>
        <v>2009</v>
      </c>
    </row>
    <row r="251" spans="1:24" ht="12" customHeight="1">
      <c r="A251" s="4">
        <v>3873</v>
      </c>
      <c r="B251" s="4">
        <v>27680</v>
      </c>
      <c r="C251" s="5">
        <f t="shared" ref="C251:C252" si="115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16">C251+1</f>
        <v>40205</v>
      </c>
      <c r="V251">
        <f t="shared" si="92"/>
        <v>27</v>
      </c>
      <c r="W251">
        <f t="shared" si="90"/>
        <v>1</v>
      </c>
      <c r="X251">
        <f t="shared" si="91"/>
        <v>2010</v>
      </c>
    </row>
    <row r="252" spans="1:24" ht="12" customHeight="1">
      <c r="A252" s="4">
        <v>3874</v>
      </c>
      <c r="B252" s="4">
        <v>27680</v>
      </c>
      <c r="C252" s="5">
        <f t="shared" si="115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16"/>
        <v>40205</v>
      </c>
      <c r="V252">
        <f t="shared" si="92"/>
        <v>27</v>
      </c>
      <c r="W252">
        <f t="shared" si="90"/>
        <v>1</v>
      </c>
      <c r="X252">
        <f t="shared" si="91"/>
        <v>2010</v>
      </c>
    </row>
    <row r="253" spans="1:24" ht="12" customHeight="1">
      <c r="A253" s="4">
        <v>3891</v>
      </c>
      <c r="B253" s="4">
        <v>27778</v>
      </c>
      <c r="C253" s="5">
        <f t="shared" ref="C253:C254" si="117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18">C253+2</f>
        <v>40790</v>
      </c>
      <c r="V253">
        <f t="shared" si="92"/>
        <v>4</v>
      </c>
      <c r="W253">
        <f t="shared" si="90"/>
        <v>9</v>
      </c>
      <c r="X253">
        <f t="shared" si="91"/>
        <v>2011</v>
      </c>
    </row>
    <row r="254" spans="1:24" ht="12" customHeight="1">
      <c r="A254" s="4">
        <v>3892</v>
      </c>
      <c r="B254" s="4">
        <v>27778</v>
      </c>
      <c r="C254" s="5">
        <f t="shared" si="117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18"/>
        <v>40790</v>
      </c>
      <c r="V254">
        <f t="shared" si="92"/>
        <v>4</v>
      </c>
      <c r="W254">
        <f t="shared" si="90"/>
        <v>9</v>
      </c>
      <c r="X254">
        <f t="shared" si="91"/>
        <v>2011</v>
      </c>
    </row>
    <row r="255" spans="1:24" ht="12" customHeight="1">
      <c r="A255" s="4">
        <v>3914</v>
      </c>
      <c r="B255" s="4">
        <v>27909</v>
      </c>
      <c r="C255" s="5">
        <f t="shared" ref="C255:C256" si="119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18"/>
        <v>40948</v>
      </c>
      <c r="V255">
        <f t="shared" si="92"/>
        <v>9</v>
      </c>
      <c r="W255">
        <f t="shared" si="90"/>
        <v>2</v>
      </c>
      <c r="X255">
        <f t="shared" si="91"/>
        <v>2012</v>
      </c>
    </row>
    <row r="256" spans="1:24" ht="12" customHeight="1">
      <c r="A256" s="4">
        <v>3915</v>
      </c>
      <c r="B256" s="4">
        <v>27909</v>
      </c>
      <c r="C256" s="5">
        <f t="shared" si="119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  <c r="V256">
        <f t="shared" si="92"/>
        <v>10</v>
      </c>
      <c r="W256">
        <f t="shared" si="90"/>
        <v>2</v>
      </c>
      <c r="X256">
        <f t="shared" si="91"/>
        <v>2012</v>
      </c>
    </row>
    <row r="257" spans="1:24" ht="12" customHeight="1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20">C257+2</f>
        <v>40623</v>
      </c>
      <c r="V257">
        <f t="shared" si="92"/>
        <v>21</v>
      </c>
      <c r="W257">
        <f t="shared" si="90"/>
        <v>3</v>
      </c>
      <c r="X257">
        <f t="shared" si="91"/>
        <v>2011</v>
      </c>
    </row>
    <row r="258" spans="1:24" ht="12" customHeight="1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20"/>
        <v>40673</v>
      </c>
      <c r="V258">
        <f t="shared" si="92"/>
        <v>10</v>
      </c>
      <c r="W258">
        <f t="shared" si="90"/>
        <v>5</v>
      </c>
      <c r="X258">
        <f t="shared" si="91"/>
        <v>2011</v>
      </c>
    </row>
    <row r="259" spans="1:24" ht="12" customHeight="1">
      <c r="A259" s="4">
        <v>3947</v>
      </c>
      <c r="B259" s="4">
        <v>28135</v>
      </c>
      <c r="C259" s="5">
        <f t="shared" ref="C259:C260" si="121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20"/>
        <v>40083</v>
      </c>
      <c r="V259">
        <f t="shared" si="92"/>
        <v>27</v>
      </c>
      <c r="W259">
        <f t="shared" ref="W259:W322" si="122">MONTH(U259)</f>
        <v>9</v>
      </c>
      <c r="X259">
        <f t="shared" ref="X259:X322" si="123">YEAR(U259)</f>
        <v>2009</v>
      </c>
    </row>
    <row r="260" spans="1:24" ht="12" customHeight="1">
      <c r="A260" s="4">
        <v>3948</v>
      </c>
      <c r="B260" s="4">
        <v>28135</v>
      </c>
      <c r="C260" s="5">
        <f t="shared" si="121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  <c r="V260">
        <f t="shared" ref="V260:V323" si="124">DAY(U260)</f>
        <v>25</v>
      </c>
      <c r="W260">
        <f t="shared" si="122"/>
        <v>9</v>
      </c>
      <c r="X260">
        <f t="shared" si="123"/>
        <v>2009</v>
      </c>
    </row>
    <row r="261" spans="1:24" ht="12" customHeight="1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  <c r="V261">
        <f t="shared" si="124"/>
        <v>11</v>
      </c>
      <c r="W261">
        <f t="shared" si="122"/>
        <v>7</v>
      </c>
      <c r="X261">
        <f t="shared" si="123"/>
        <v>2012</v>
      </c>
    </row>
    <row r="262" spans="1:24" ht="12" customHeight="1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25">C262+1</f>
        <v>40193</v>
      </c>
      <c r="V262">
        <f t="shared" si="124"/>
        <v>15</v>
      </c>
      <c r="W262">
        <f t="shared" si="122"/>
        <v>1</v>
      </c>
      <c r="X262">
        <f t="shared" si="123"/>
        <v>2010</v>
      </c>
    </row>
    <row r="263" spans="1:24" ht="12" customHeight="1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25"/>
        <v>40052</v>
      </c>
      <c r="V263">
        <f t="shared" si="124"/>
        <v>27</v>
      </c>
      <c r="W263">
        <f t="shared" si="122"/>
        <v>8</v>
      </c>
      <c r="X263">
        <f t="shared" si="123"/>
        <v>2009</v>
      </c>
    </row>
    <row r="264" spans="1:24" ht="12" customHeight="1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25"/>
        <v>40095</v>
      </c>
      <c r="V264">
        <f t="shared" si="124"/>
        <v>9</v>
      </c>
      <c r="W264">
        <f t="shared" si="122"/>
        <v>10</v>
      </c>
      <c r="X264">
        <f t="shared" si="123"/>
        <v>2009</v>
      </c>
    </row>
    <row r="265" spans="1:24" ht="12" customHeight="1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  <c r="V265">
        <f t="shared" si="124"/>
        <v>13</v>
      </c>
      <c r="W265">
        <f t="shared" si="122"/>
        <v>11</v>
      </c>
      <c r="X265">
        <f t="shared" si="123"/>
        <v>2011</v>
      </c>
    </row>
    <row r="266" spans="1:24" ht="12" customHeight="1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  <c r="V266">
        <f t="shared" si="124"/>
        <v>15</v>
      </c>
      <c r="W266">
        <f t="shared" si="122"/>
        <v>4</v>
      </c>
      <c r="X266">
        <f t="shared" si="123"/>
        <v>2012</v>
      </c>
    </row>
    <row r="267" spans="1:24" ht="12" customHeight="1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26">C267+1</f>
        <v>40911</v>
      </c>
      <c r="V267">
        <f t="shared" si="124"/>
        <v>3</v>
      </c>
      <c r="W267">
        <f t="shared" si="122"/>
        <v>1</v>
      </c>
      <c r="X267">
        <f t="shared" si="123"/>
        <v>2012</v>
      </c>
    </row>
    <row r="268" spans="1:24" ht="12" customHeight="1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26"/>
        <v>40611</v>
      </c>
      <c r="V268">
        <f t="shared" si="124"/>
        <v>9</v>
      </c>
      <c r="W268">
        <f t="shared" si="122"/>
        <v>3</v>
      </c>
      <c r="X268">
        <f t="shared" si="123"/>
        <v>2011</v>
      </c>
    </row>
    <row r="269" spans="1:24" ht="12" customHeight="1">
      <c r="A269" s="4">
        <v>4118</v>
      </c>
      <c r="B269" s="4">
        <v>29287</v>
      </c>
      <c r="C269" s="5">
        <f t="shared" ref="C269:C270" si="127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28">C269+2</f>
        <v>39998</v>
      </c>
      <c r="V269">
        <f t="shared" si="124"/>
        <v>4</v>
      </c>
      <c r="W269">
        <f t="shared" si="122"/>
        <v>7</v>
      </c>
      <c r="X269">
        <f t="shared" si="123"/>
        <v>2009</v>
      </c>
    </row>
    <row r="270" spans="1:24" ht="12" customHeight="1">
      <c r="A270" s="4">
        <v>4119</v>
      </c>
      <c r="B270" s="4">
        <v>29287</v>
      </c>
      <c r="C270" s="5">
        <f t="shared" si="127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28"/>
        <v>39998</v>
      </c>
      <c r="V270">
        <f t="shared" si="124"/>
        <v>4</v>
      </c>
      <c r="W270">
        <f t="shared" si="122"/>
        <v>7</v>
      </c>
      <c r="X270">
        <f t="shared" si="123"/>
        <v>2009</v>
      </c>
    </row>
    <row r="271" spans="1:24" ht="12" customHeight="1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28"/>
        <v>40650</v>
      </c>
      <c r="V271">
        <f t="shared" si="124"/>
        <v>17</v>
      </c>
      <c r="W271">
        <f t="shared" si="122"/>
        <v>4</v>
      </c>
      <c r="X271">
        <f t="shared" si="123"/>
        <v>2011</v>
      </c>
    </row>
    <row r="272" spans="1:24" ht="12" customHeight="1">
      <c r="A272" s="4">
        <v>4193</v>
      </c>
      <c r="B272" s="4">
        <v>29795</v>
      </c>
      <c r="C272" s="5">
        <f t="shared" ref="C272:C273" si="129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30">C272+1</f>
        <v>40873</v>
      </c>
      <c r="V272">
        <f t="shared" si="124"/>
        <v>26</v>
      </c>
      <c r="W272">
        <f t="shared" si="122"/>
        <v>11</v>
      </c>
      <c r="X272">
        <f t="shared" si="123"/>
        <v>2011</v>
      </c>
    </row>
    <row r="273" spans="1:24" ht="12" customHeight="1">
      <c r="A273" s="4">
        <v>4194</v>
      </c>
      <c r="B273" s="4">
        <v>29795</v>
      </c>
      <c r="C273" s="5">
        <f t="shared" si="129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30"/>
        <v>40873</v>
      </c>
      <c r="V273">
        <f t="shared" si="124"/>
        <v>26</v>
      </c>
      <c r="W273">
        <f t="shared" si="122"/>
        <v>11</v>
      </c>
      <c r="X273">
        <f t="shared" si="123"/>
        <v>2011</v>
      </c>
    </row>
    <row r="274" spans="1:24" ht="12" customHeight="1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30"/>
        <v>41025</v>
      </c>
      <c r="V274">
        <f t="shared" si="124"/>
        <v>26</v>
      </c>
      <c r="W274">
        <f t="shared" si="122"/>
        <v>4</v>
      </c>
      <c r="X274">
        <f t="shared" si="123"/>
        <v>2012</v>
      </c>
    </row>
    <row r="275" spans="1:24" ht="12" customHeight="1">
      <c r="A275" s="4">
        <v>4305</v>
      </c>
      <c r="B275" s="4">
        <v>30658</v>
      </c>
      <c r="C275" s="5">
        <f t="shared" ref="C275:C276" si="131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30"/>
        <v>40629</v>
      </c>
      <c r="V275">
        <f t="shared" si="124"/>
        <v>27</v>
      </c>
      <c r="W275">
        <f t="shared" si="122"/>
        <v>3</v>
      </c>
      <c r="X275">
        <f t="shared" si="123"/>
        <v>2011</v>
      </c>
    </row>
    <row r="276" spans="1:24" ht="12" customHeight="1">
      <c r="A276" s="4">
        <v>4306</v>
      </c>
      <c r="B276" s="4">
        <v>30658</v>
      </c>
      <c r="C276" s="5">
        <f t="shared" si="131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  <c r="V276">
        <f t="shared" si="124"/>
        <v>28</v>
      </c>
      <c r="W276">
        <f t="shared" si="122"/>
        <v>3</v>
      </c>
      <c r="X276">
        <f t="shared" si="123"/>
        <v>2011</v>
      </c>
    </row>
    <row r="277" spans="1:24" ht="12" customHeight="1">
      <c r="A277" s="4">
        <v>4346</v>
      </c>
      <c r="B277" s="4">
        <v>30947</v>
      </c>
      <c r="C277" s="5">
        <f t="shared" ref="C277:C278" si="132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33">C277+4</f>
        <v>40377</v>
      </c>
      <c r="V277">
        <f t="shared" si="124"/>
        <v>18</v>
      </c>
      <c r="W277">
        <f t="shared" si="122"/>
        <v>7</v>
      </c>
      <c r="X277">
        <f t="shared" si="123"/>
        <v>2010</v>
      </c>
    </row>
    <row r="278" spans="1:24" ht="12" customHeight="1">
      <c r="A278" s="4">
        <v>4347</v>
      </c>
      <c r="B278" s="4">
        <v>30947</v>
      </c>
      <c r="C278" s="5">
        <f t="shared" si="132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33"/>
        <v>40377</v>
      </c>
      <c r="V278">
        <f t="shared" si="124"/>
        <v>18</v>
      </c>
      <c r="W278">
        <f t="shared" si="122"/>
        <v>7</v>
      </c>
      <c r="X278">
        <f t="shared" si="123"/>
        <v>2010</v>
      </c>
    </row>
    <row r="279" spans="1:24" ht="12" customHeight="1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34">C279+2</f>
        <v>40476</v>
      </c>
      <c r="V279">
        <f t="shared" si="124"/>
        <v>25</v>
      </c>
      <c r="W279">
        <f t="shared" si="122"/>
        <v>10</v>
      </c>
      <c r="X279">
        <f t="shared" si="123"/>
        <v>2010</v>
      </c>
    </row>
    <row r="280" spans="1:24" ht="12" customHeight="1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34"/>
        <v>40051</v>
      </c>
      <c r="V280">
        <f t="shared" si="124"/>
        <v>26</v>
      </c>
      <c r="W280">
        <f t="shared" si="122"/>
        <v>8</v>
      </c>
      <c r="X280">
        <f t="shared" si="123"/>
        <v>2009</v>
      </c>
    </row>
    <row r="281" spans="1:24" ht="12" customHeight="1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  <c r="V281">
        <f t="shared" si="124"/>
        <v>13</v>
      </c>
      <c r="W281">
        <f t="shared" si="122"/>
        <v>6</v>
      </c>
      <c r="X281">
        <f t="shared" si="123"/>
        <v>2011</v>
      </c>
    </row>
    <row r="282" spans="1:24" ht="12" customHeight="1">
      <c r="A282" s="4">
        <v>4390</v>
      </c>
      <c r="B282" s="4">
        <v>31270</v>
      </c>
      <c r="C282" s="5">
        <f t="shared" ref="C282:C284" si="135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  <c r="V282">
        <f t="shared" si="124"/>
        <v>24</v>
      </c>
      <c r="W282">
        <f t="shared" si="122"/>
        <v>11</v>
      </c>
      <c r="X282">
        <f t="shared" si="123"/>
        <v>2012</v>
      </c>
    </row>
    <row r="283" spans="1:24" ht="12" customHeight="1">
      <c r="A283" s="4">
        <v>4391</v>
      </c>
      <c r="B283" s="4">
        <v>31270</v>
      </c>
      <c r="C283" s="5">
        <f t="shared" si="135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36">C283+2</f>
        <v>41238</v>
      </c>
      <c r="V283">
        <f t="shared" si="124"/>
        <v>25</v>
      </c>
      <c r="W283">
        <f t="shared" si="122"/>
        <v>11</v>
      </c>
      <c r="X283">
        <f t="shared" si="123"/>
        <v>2012</v>
      </c>
    </row>
    <row r="284" spans="1:24" ht="12" customHeight="1">
      <c r="A284" s="4">
        <v>4392</v>
      </c>
      <c r="B284" s="4">
        <v>31270</v>
      </c>
      <c r="C284" s="5">
        <f t="shared" si="135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36"/>
        <v>41238</v>
      </c>
      <c r="V284">
        <f t="shared" si="124"/>
        <v>25</v>
      </c>
      <c r="W284">
        <f t="shared" si="122"/>
        <v>11</v>
      </c>
      <c r="X284">
        <f t="shared" si="123"/>
        <v>2012</v>
      </c>
    </row>
    <row r="285" spans="1:24" ht="12" customHeight="1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  <c r="V285">
        <f t="shared" si="124"/>
        <v>1</v>
      </c>
      <c r="W285">
        <f t="shared" si="122"/>
        <v>5</v>
      </c>
      <c r="X285">
        <f t="shared" si="123"/>
        <v>2009</v>
      </c>
    </row>
    <row r="286" spans="1:24" ht="12" customHeight="1">
      <c r="A286" s="4">
        <v>4404</v>
      </c>
      <c r="B286" s="4">
        <v>31393</v>
      </c>
      <c r="C286" s="5">
        <f t="shared" ref="C286:C287" si="137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  <c r="V286">
        <f t="shared" si="124"/>
        <v>12</v>
      </c>
      <c r="W286">
        <f t="shared" si="122"/>
        <v>5</v>
      </c>
      <c r="X286">
        <f t="shared" si="123"/>
        <v>2012</v>
      </c>
    </row>
    <row r="287" spans="1:24" ht="12" customHeight="1">
      <c r="A287" s="4">
        <v>4405</v>
      </c>
      <c r="B287" s="4">
        <v>31393</v>
      </c>
      <c r="C287" s="5">
        <f t="shared" si="137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38">C287+2</f>
        <v>41042</v>
      </c>
      <c r="V287">
        <f t="shared" si="124"/>
        <v>13</v>
      </c>
      <c r="W287">
        <f t="shared" si="122"/>
        <v>5</v>
      </c>
      <c r="X287">
        <f t="shared" si="123"/>
        <v>2012</v>
      </c>
    </row>
    <row r="288" spans="1:24" ht="12" customHeight="1">
      <c r="A288" s="4">
        <v>4411</v>
      </c>
      <c r="B288" s="4">
        <v>31492</v>
      </c>
      <c r="C288" s="5">
        <f t="shared" ref="C288:C290" si="139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38"/>
        <v>40468</v>
      </c>
      <c r="V288">
        <f t="shared" si="124"/>
        <v>17</v>
      </c>
      <c r="W288">
        <f t="shared" si="122"/>
        <v>10</v>
      </c>
      <c r="X288">
        <f t="shared" si="123"/>
        <v>2010</v>
      </c>
    </row>
    <row r="289" spans="1:24" ht="12" customHeight="1">
      <c r="A289" s="4">
        <v>4412</v>
      </c>
      <c r="B289" s="4">
        <v>31492</v>
      </c>
      <c r="C289" s="5">
        <f t="shared" si="139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  <c r="V289">
        <f t="shared" si="124"/>
        <v>18</v>
      </c>
      <c r="W289">
        <f t="shared" si="122"/>
        <v>10</v>
      </c>
      <c r="X289">
        <f t="shared" si="123"/>
        <v>2010</v>
      </c>
    </row>
    <row r="290" spans="1:24" ht="12" customHeight="1">
      <c r="A290" s="4">
        <v>4413</v>
      </c>
      <c r="B290" s="4">
        <v>31492</v>
      </c>
      <c r="C290" s="5">
        <f t="shared" si="139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  <c r="V290">
        <f t="shared" si="124"/>
        <v>16</v>
      </c>
      <c r="W290">
        <f t="shared" si="122"/>
        <v>10</v>
      </c>
      <c r="X290">
        <f t="shared" si="123"/>
        <v>2010</v>
      </c>
    </row>
    <row r="291" spans="1:24" ht="12" customHeight="1">
      <c r="A291" s="4">
        <v>4429</v>
      </c>
      <c r="B291" s="4">
        <v>31558</v>
      </c>
      <c r="C291" s="5">
        <f t="shared" ref="C291:C292" si="140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  <c r="V291">
        <f t="shared" si="124"/>
        <v>28</v>
      </c>
      <c r="W291">
        <f t="shared" si="122"/>
        <v>7</v>
      </c>
      <c r="X291">
        <f t="shared" si="123"/>
        <v>2011</v>
      </c>
    </row>
    <row r="292" spans="1:24" ht="12" customHeight="1">
      <c r="A292" s="4">
        <v>4430</v>
      </c>
      <c r="B292" s="4">
        <v>31558</v>
      </c>
      <c r="C292" s="5">
        <f t="shared" si="140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41">C292+0</f>
        <v>40747</v>
      </c>
      <c r="V292">
        <f t="shared" si="124"/>
        <v>23</v>
      </c>
      <c r="W292">
        <f t="shared" si="122"/>
        <v>7</v>
      </c>
      <c r="X292">
        <f t="shared" si="123"/>
        <v>2011</v>
      </c>
    </row>
    <row r="293" spans="1:24" ht="12" customHeight="1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41"/>
        <v>40735</v>
      </c>
      <c r="V293">
        <f t="shared" si="124"/>
        <v>11</v>
      </c>
      <c r="W293">
        <f t="shared" si="122"/>
        <v>7</v>
      </c>
      <c r="X293">
        <f t="shared" si="123"/>
        <v>2011</v>
      </c>
    </row>
    <row r="294" spans="1:24" ht="12" customHeight="1">
      <c r="A294" s="4">
        <v>4446</v>
      </c>
      <c r="B294" s="4">
        <v>31684</v>
      </c>
      <c r="C294" s="5">
        <f t="shared" ref="C294:C295" si="142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  <c r="V294">
        <f t="shared" si="124"/>
        <v>19</v>
      </c>
      <c r="W294">
        <f t="shared" si="122"/>
        <v>9</v>
      </c>
      <c r="X294">
        <f t="shared" si="123"/>
        <v>2012</v>
      </c>
    </row>
    <row r="295" spans="1:24" ht="12" customHeight="1">
      <c r="A295" s="4">
        <v>4447</v>
      </c>
      <c r="B295" s="4">
        <v>31684</v>
      </c>
      <c r="C295" s="5">
        <f t="shared" si="142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  <c r="V295">
        <f t="shared" si="124"/>
        <v>18</v>
      </c>
      <c r="W295">
        <f t="shared" si="122"/>
        <v>9</v>
      </c>
      <c r="X295">
        <f t="shared" si="123"/>
        <v>2012</v>
      </c>
    </row>
    <row r="296" spans="1:24" ht="12" customHeight="1">
      <c r="A296" s="4">
        <v>4459</v>
      </c>
      <c r="B296" s="4">
        <v>31781</v>
      </c>
      <c r="C296" s="5">
        <f t="shared" ref="C296:C297" si="143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44">C296+1</f>
        <v>39830</v>
      </c>
      <c r="V296">
        <f t="shared" si="124"/>
        <v>17</v>
      </c>
      <c r="W296">
        <f t="shared" si="122"/>
        <v>1</v>
      </c>
      <c r="X296">
        <f t="shared" si="123"/>
        <v>2009</v>
      </c>
    </row>
    <row r="297" spans="1:24" ht="12" customHeight="1">
      <c r="A297" s="4">
        <v>4460</v>
      </c>
      <c r="B297" s="4">
        <v>31781</v>
      </c>
      <c r="C297" s="5">
        <f t="shared" si="143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44"/>
        <v>39830</v>
      </c>
      <c r="V297">
        <f t="shared" si="124"/>
        <v>17</v>
      </c>
      <c r="W297">
        <f t="shared" si="122"/>
        <v>1</v>
      </c>
      <c r="X297">
        <f t="shared" si="123"/>
        <v>2009</v>
      </c>
    </row>
    <row r="298" spans="1:24" ht="12" customHeight="1">
      <c r="A298" s="4">
        <v>4524</v>
      </c>
      <c r="B298" s="4">
        <v>32193</v>
      </c>
      <c r="C298" s="5">
        <f t="shared" ref="C298:C299" si="145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  <c r="V298">
        <f t="shared" si="124"/>
        <v>22</v>
      </c>
      <c r="W298">
        <f t="shared" si="122"/>
        <v>10</v>
      </c>
      <c r="X298">
        <f t="shared" si="123"/>
        <v>2010</v>
      </c>
    </row>
    <row r="299" spans="1:24" ht="12" customHeight="1">
      <c r="A299" s="4">
        <v>4525</v>
      </c>
      <c r="B299" s="4">
        <v>32193</v>
      </c>
      <c r="C299" s="5">
        <f t="shared" si="145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  <c r="V299">
        <f t="shared" si="124"/>
        <v>25</v>
      </c>
      <c r="W299">
        <f t="shared" si="122"/>
        <v>10</v>
      </c>
      <c r="X299">
        <f t="shared" si="123"/>
        <v>2010</v>
      </c>
    </row>
    <row r="300" spans="1:24" ht="12" customHeight="1">
      <c r="A300" s="4">
        <v>4532</v>
      </c>
      <c r="B300" s="4">
        <v>32229</v>
      </c>
      <c r="C300" s="5">
        <f t="shared" ref="C300:C301" si="146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  <c r="V300">
        <f t="shared" si="124"/>
        <v>30</v>
      </c>
      <c r="W300">
        <f t="shared" si="122"/>
        <v>8</v>
      </c>
      <c r="X300">
        <f t="shared" si="123"/>
        <v>2010</v>
      </c>
    </row>
    <row r="301" spans="1:24" ht="12" customHeight="1">
      <c r="A301" s="4">
        <v>4533</v>
      </c>
      <c r="B301" s="4">
        <v>32229</v>
      </c>
      <c r="C301" s="5">
        <f t="shared" si="146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  <c r="V301">
        <f t="shared" si="124"/>
        <v>31</v>
      </c>
      <c r="W301">
        <f t="shared" si="122"/>
        <v>8</v>
      </c>
      <c r="X301">
        <f t="shared" si="123"/>
        <v>2010</v>
      </c>
    </row>
    <row r="302" spans="1:24" ht="12" customHeight="1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  <c r="V302">
        <f t="shared" si="124"/>
        <v>9</v>
      </c>
      <c r="W302">
        <f t="shared" si="122"/>
        <v>5</v>
      </c>
      <c r="X302">
        <f t="shared" si="123"/>
        <v>2010</v>
      </c>
    </row>
    <row r="303" spans="1:24" ht="12" customHeight="1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  <c r="V303">
        <f t="shared" si="124"/>
        <v>22</v>
      </c>
      <c r="W303">
        <f t="shared" si="122"/>
        <v>6</v>
      </c>
      <c r="X303">
        <f t="shared" si="123"/>
        <v>2011</v>
      </c>
    </row>
    <row r="304" spans="1:24" ht="12" customHeight="1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47">C304+2</f>
        <v>40508</v>
      </c>
      <c r="V304">
        <f t="shared" si="124"/>
        <v>26</v>
      </c>
      <c r="W304">
        <f t="shared" si="122"/>
        <v>11</v>
      </c>
      <c r="X304">
        <f t="shared" si="123"/>
        <v>2010</v>
      </c>
    </row>
    <row r="305" spans="1:24" ht="12" customHeight="1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47"/>
        <v>41028</v>
      </c>
      <c r="V305">
        <f t="shared" si="124"/>
        <v>29</v>
      </c>
      <c r="W305">
        <f t="shared" si="122"/>
        <v>4</v>
      </c>
      <c r="X305">
        <f t="shared" si="123"/>
        <v>2012</v>
      </c>
    </row>
    <row r="306" spans="1:24" ht="12" customHeight="1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47"/>
        <v>41151</v>
      </c>
      <c r="V306">
        <f t="shared" si="124"/>
        <v>30</v>
      </c>
      <c r="W306">
        <f t="shared" si="122"/>
        <v>8</v>
      </c>
      <c r="X306">
        <f t="shared" si="123"/>
        <v>2012</v>
      </c>
    </row>
    <row r="307" spans="1:24" ht="12" customHeight="1">
      <c r="A307" s="4">
        <v>4687</v>
      </c>
      <c r="B307" s="4">
        <v>33377</v>
      </c>
      <c r="C307" s="5">
        <f t="shared" ref="C307:C308" si="148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47"/>
        <v>40757</v>
      </c>
      <c r="V307">
        <f t="shared" si="124"/>
        <v>2</v>
      </c>
      <c r="W307">
        <f t="shared" si="122"/>
        <v>8</v>
      </c>
      <c r="X307">
        <f t="shared" si="123"/>
        <v>2011</v>
      </c>
    </row>
    <row r="308" spans="1:24" ht="12" customHeight="1">
      <c r="A308" s="4">
        <v>4688</v>
      </c>
      <c r="B308" s="4">
        <v>33377</v>
      </c>
      <c r="C308" s="5">
        <f t="shared" si="148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49">C308+1</f>
        <v>40756</v>
      </c>
      <c r="V308">
        <f t="shared" si="124"/>
        <v>1</v>
      </c>
      <c r="W308">
        <f t="shared" si="122"/>
        <v>8</v>
      </c>
      <c r="X308">
        <f t="shared" si="123"/>
        <v>2011</v>
      </c>
    </row>
    <row r="309" spans="1:24" ht="12" customHeight="1">
      <c r="A309" s="4">
        <v>4691</v>
      </c>
      <c r="B309" s="4">
        <v>33444</v>
      </c>
      <c r="C309" s="5">
        <f t="shared" ref="C309:C310" si="150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49"/>
        <v>41189</v>
      </c>
      <c r="V309">
        <f t="shared" si="124"/>
        <v>7</v>
      </c>
      <c r="W309">
        <f t="shared" si="122"/>
        <v>10</v>
      </c>
      <c r="X309">
        <f t="shared" si="123"/>
        <v>2012</v>
      </c>
    </row>
    <row r="310" spans="1:24" ht="12" customHeight="1">
      <c r="A310" s="4">
        <v>4692</v>
      </c>
      <c r="B310" s="4">
        <v>33444</v>
      </c>
      <c r="C310" s="5">
        <f t="shared" si="150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  <c r="V310">
        <f t="shared" si="124"/>
        <v>8</v>
      </c>
      <c r="W310">
        <f t="shared" si="122"/>
        <v>10</v>
      </c>
      <c r="X310">
        <f t="shared" si="123"/>
        <v>2012</v>
      </c>
    </row>
    <row r="311" spans="1:24" ht="12" customHeight="1">
      <c r="A311" s="4">
        <v>4738</v>
      </c>
      <c r="B311" s="4">
        <v>33703</v>
      </c>
      <c r="C311" s="5">
        <f t="shared" ref="C311:C313" si="151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52">C311+1</f>
        <v>40216</v>
      </c>
      <c r="V311">
        <f t="shared" si="124"/>
        <v>7</v>
      </c>
      <c r="W311">
        <f t="shared" si="122"/>
        <v>2</v>
      </c>
      <c r="X311">
        <f t="shared" si="123"/>
        <v>2010</v>
      </c>
    </row>
    <row r="312" spans="1:24" ht="12" customHeight="1">
      <c r="A312" s="4">
        <v>4739</v>
      </c>
      <c r="B312" s="4">
        <v>33703</v>
      </c>
      <c r="C312" s="5">
        <f t="shared" si="151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52"/>
        <v>40216</v>
      </c>
      <c r="V312">
        <f t="shared" si="124"/>
        <v>7</v>
      </c>
      <c r="W312">
        <f t="shared" si="122"/>
        <v>2</v>
      </c>
      <c r="X312">
        <f t="shared" si="123"/>
        <v>2010</v>
      </c>
    </row>
    <row r="313" spans="1:24" ht="12" customHeight="1">
      <c r="A313" s="4">
        <v>4740</v>
      </c>
      <c r="B313" s="4">
        <v>33703</v>
      </c>
      <c r="C313" s="5">
        <f t="shared" si="151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  <c r="V313">
        <f t="shared" si="124"/>
        <v>8</v>
      </c>
      <c r="W313">
        <f t="shared" si="122"/>
        <v>2</v>
      </c>
      <c r="X313">
        <f t="shared" si="123"/>
        <v>2010</v>
      </c>
    </row>
    <row r="314" spans="1:24" ht="12" customHeight="1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  <c r="V314">
        <f t="shared" si="124"/>
        <v>18</v>
      </c>
      <c r="W314">
        <f t="shared" si="122"/>
        <v>10</v>
      </c>
      <c r="X314">
        <f t="shared" si="123"/>
        <v>2011</v>
      </c>
    </row>
    <row r="315" spans="1:24" ht="12" customHeight="1">
      <c r="A315" s="4">
        <v>4763</v>
      </c>
      <c r="B315" s="4">
        <v>33888</v>
      </c>
      <c r="C315" s="5">
        <f t="shared" ref="C315:C317" si="153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  <c r="V315">
        <f t="shared" si="124"/>
        <v>23</v>
      </c>
      <c r="W315">
        <f t="shared" si="122"/>
        <v>8</v>
      </c>
      <c r="X315">
        <f t="shared" si="123"/>
        <v>2009</v>
      </c>
    </row>
    <row r="316" spans="1:24" ht="12" customHeight="1">
      <c r="A316" s="4">
        <v>4764</v>
      </c>
      <c r="B316" s="4">
        <v>33888</v>
      </c>
      <c r="C316" s="5">
        <f t="shared" si="153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  <c r="V316">
        <f t="shared" si="124"/>
        <v>21</v>
      </c>
      <c r="W316">
        <f t="shared" si="122"/>
        <v>8</v>
      </c>
      <c r="X316">
        <f t="shared" si="123"/>
        <v>2009</v>
      </c>
    </row>
    <row r="317" spans="1:24" ht="12" customHeight="1">
      <c r="A317" s="4">
        <v>4765</v>
      </c>
      <c r="B317" s="4">
        <v>33888</v>
      </c>
      <c r="C317" s="5">
        <f t="shared" si="153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  <c r="V317">
        <f t="shared" si="124"/>
        <v>22</v>
      </c>
      <c r="W317">
        <f t="shared" si="122"/>
        <v>8</v>
      </c>
      <c r="X317">
        <f t="shared" si="123"/>
        <v>2009</v>
      </c>
    </row>
    <row r="318" spans="1:24" ht="12" customHeight="1">
      <c r="A318" s="4">
        <v>4772</v>
      </c>
      <c r="B318" s="4">
        <v>33894</v>
      </c>
      <c r="C318" s="5">
        <f t="shared" ref="C318:C321" si="154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  <c r="V318">
        <f t="shared" si="124"/>
        <v>17</v>
      </c>
      <c r="W318">
        <f t="shared" si="122"/>
        <v>6</v>
      </c>
      <c r="X318">
        <f t="shared" si="123"/>
        <v>2010</v>
      </c>
    </row>
    <row r="319" spans="1:24" ht="12" customHeight="1">
      <c r="A319" s="4">
        <v>4773</v>
      </c>
      <c r="B319" s="4">
        <v>33894</v>
      </c>
      <c r="C319" s="5">
        <f t="shared" si="154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  <c r="V319">
        <f t="shared" si="124"/>
        <v>15</v>
      </c>
      <c r="W319">
        <f t="shared" si="122"/>
        <v>6</v>
      </c>
      <c r="X319">
        <f t="shared" si="123"/>
        <v>2010</v>
      </c>
    </row>
    <row r="320" spans="1:24" ht="12" customHeight="1">
      <c r="A320" s="4">
        <v>4774</v>
      </c>
      <c r="B320" s="4">
        <v>33894</v>
      </c>
      <c r="C320" s="5">
        <f t="shared" si="154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55">C320+2</f>
        <v>40345</v>
      </c>
      <c r="V320">
        <f t="shared" si="124"/>
        <v>16</v>
      </c>
      <c r="W320">
        <f t="shared" si="122"/>
        <v>6</v>
      </c>
      <c r="X320">
        <f t="shared" si="123"/>
        <v>2010</v>
      </c>
    </row>
    <row r="321" spans="1:24" ht="12" customHeight="1">
      <c r="A321" s="4">
        <v>4775</v>
      </c>
      <c r="B321" s="4">
        <v>33894</v>
      </c>
      <c r="C321" s="5">
        <f t="shared" si="154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55"/>
        <v>40345</v>
      </c>
      <c r="V321">
        <f t="shared" si="124"/>
        <v>16</v>
      </c>
      <c r="W321">
        <f t="shared" si="122"/>
        <v>6</v>
      </c>
      <c r="X321">
        <f t="shared" si="123"/>
        <v>2010</v>
      </c>
    </row>
    <row r="322" spans="1:24" ht="12" customHeight="1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  <c r="V322">
        <f t="shared" si="124"/>
        <v>27</v>
      </c>
      <c r="W322">
        <f t="shared" si="122"/>
        <v>2</v>
      </c>
      <c r="X322">
        <f t="shared" si="123"/>
        <v>2010</v>
      </c>
    </row>
    <row r="323" spans="1:24" ht="12" customHeight="1">
      <c r="A323" s="4">
        <v>4803</v>
      </c>
      <c r="B323" s="4">
        <v>34177</v>
      </c>
      <c r="C323" s="5">
        <f t="shared" ref="C323:C325" si="156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  <c r="V323">
        <f t="shared" si="124"/>
        <v>18</v>
      </c>
      <c r="W323">
        <f t="shared" ref="W323:W386" si="157">MONTH(U323)</f>
        <v>8</v>
      </c>
      <c r="X323">
        <f t="shared" ref="X323:X386" si="158">YEAR(U323)</f>
        <v>2009</v>
      </c>
    </row>
    <row r="324" spans="1:24" ht="12" customHeight="1">
      <c r="A324" s="4">
        <v>4804</v>
      </c>
      <c r="B324" s="4">
        <v>34177</v>
      </c>
      <c r="C324" s="5">
        <f t="shared" si="156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59">C324+1</f>
        <v>40041</v>
      </c>
      <c r="V324">
        <f t="shared" ref="V324:V387" si="160">DAY(U324)</f>
        <v>16</v>
      </c>
      <c r="W324">
        <f t="shared" si="157"/>
        <v>8</v>
      </c>
      <c r="X324">
        <f t="shared" si="158"/>
        <v>2009</v>
      </c>
    </row>
    <row r="325" spans="1:24" ht="12" customHeight="1">
      <c r="A325" s="4">
        <v>4805</v>
      </c>
      <c r="B325" s="4">
        <v>34177</v>
      </c>
      <c r="C325" s="5">
        <f t="shared" si="156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59"/>
        <v>40041</v>
      </c>
      <c r="V325">
        <f t="shared" si="160"/>
        <v>16</v>
      </c>
      <c r="W325">
        <f t="shared" si="157"/>
        <v>8</v>
      </c>
      <c r="X325">
        <f t="shared" si="158"/>
        <v>2009</v>
      </c>
    </row>
    <row r="326" spans="1:24" ht="12" customHeight="1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59"/>
        <v>40678</v>
      </c>
      <c r="V326">
        <f t="shared" si="160"/>
        <v>15</v>
      </c>
      <c r="W326">
        <f t="shared" si="157"/>
        <v>5</v>
      </c>
      <c r="X326">
        <f t="shared" si="158"/>
        <v>2011</v>
      </c>
    </row>
    <row r="327" spans="1:24" ht="12" customHeight="1">
      <c r="A327" s="4">
        <v>4820</v>
      </c>
      <c r="B327" s="4">
        <v>34246</v>
      </c>
      <c r="C327" s="5">
        <f t="shared" ref="C327:C329" si="161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59"/>
        <v>40459</v>
      </c>
      <c r="V327">
        <f t="shared" si="160"/>
        <v>8</v>
      </c>
      <c r="W327">
        <f t="shared" si="157"/>
        <v>10</v>
      </c>
      <c r="X327">
        <f t="shared" si="158"/>
        <v>2010</v>
      </c>
    </row>
    <row r="328" spans="1:24" ht="12" customHeight="1">
      <c r="A328" s="4">
        <v>4821</v>
      </c>
      <c r="B328" s="4">
        <v>34246</v>
      </c>
      <c r="C328" s="5">
        <f t="shared" si="161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59"/>
        <v>40459</v>
      </c>
      <c r="V328">
        <f t="shared" si="160"/>
        <v>8</v>
      </c>
      <c r="W328">
        <f t="shared" si="157"/>
        <v>10</v>
      </c>
      <c r="X328">
        <f t="shared" si="158"/>
        <v>2010</v>
      </c>
    </row>
    <row r="329" spans="1:24" ht="12" customHeight="1">
      <c r="A329" s="4">
        <v>4822</v>
      </c>
      <c r="B329" s="4">
        <v>34246</v>
      </c>
      <c r="C329" s="5">
        <f t="shared" si="161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  <c r="V329">
        <f t="shared" si="160"/>
        <v>9</v>
      </c>
      <c r="W329">
        <f t="shared" si="157"/>
        <v>10</v>
      </c>
      <c r="X329">
        <f t="shared" si="158"/>
        <v>2010</v>
      </c>
    </row>
    <row r="330" spans="1:24" ht="12" customHeight="1">
      <c r="A330" s="4">
        <v>4864</v>
      </c>
      <c r="B330" s="4">
        <v>34631</v>
      </c>
      <c r="C330" s="5">
        <f t="shared" ref="C330:C331" si="162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  <c r="V330">
        <f t="shared" si="160"/>
        <v>24</v>
      </c>
      <c r="W330">
        <f t="shared" si="157"/>
        <v>10</v>
      </c>
      <c r="X330">
        <f t="shared" si="158"/>
        <v>2009</v>
      </c>
    </row>
    <row r="331" spans="1:24" ht="12" customHeight="1">
      <c r="A331" s="4">
        <v>4865</v>
      </c>
      <c r="B331" s="4">
        <v>34631</v>
      </c>
      <c r="C331" s="5">
        <f t="shared" si="162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63">C331+2</f>
        <v>40111</v>
      </c>
      <c r="V331">
        <f t="shared" si="160"/>
        <v>25</v>
      </c>
      <c r="W331">
        <f t="shared" si="157"/>
        <v>10</v>
      </c>
      <c r="X331">
        <f t="shared" si="158"/>
        <v>2009</v>
      </c>
    </row>
    <row r="332" spans="1:24" ht="12" customHeight="1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63"/>
        <v>40340</v>
      </c>
      <c r="V332">
        <f t="shared" si="160"/>
        <v>11</v>
      </c>
      <c r="W332">
        <f t="shared" si="157"/>
        <v>6</v>
      </c>
      <c r="X332">
        <f t="shared" si="158"/>
        <v>2010</v>
      </c>
    </row>
    <row r="333" spans="1:24" ht="12" customHeight="1">
      <c r="A333" s="4">
        <v>4957</v>
      </c>
      <c r="B333" s="4">
        <v>35266</v>
      </c>
      <c r="C333" s="5">
        <f t="shared" ref="C333:C334" si="164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  <c r="V333">
        <f t="shared" si="160"/>
        <v>10</v>
      </c>
      <c r="W333">
        <f t="shared" si="157"/>
        <v>1</v>
      </c>
      <c r="X333">
        <f t="shared" si="158"/>
        <v>2011</v>
      </c>
    </row>
    <row r="334" spans="1:24" ht="12" customHeight="1">
      <c r="A334" s="4">
        <v>4958</v>
      </c>
      <c r="B334" s="4">
        <v>35266</v>
      </c>
      <c r="C334" s="5">
        <f t="shared" si="164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  <c r="V334">
        <f t="shared" si="160"/>
        <v>12</v>
      </c>
      <c r="W334">
        <f t="shared" si="157"/>
        <v>1</v>
      </c>
      <c r="X334">
        <f t="shared" si="158"/>
        <v>2011</v>
      </c>
    </row>
    <row r="335" spans="1:24" ht="12" customHeight="1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  <c r="V335">
        <f t="shared" si="160"/>
        <v>30</v>
      </c>
      <c r="W335">
        <f t="shared" si="157"/>
        <v>1</v>
      </c>
      <c r="X335">
        <f t="shared" si="158"/>
        <v>2009</v>
      </c>
    </row>
    <row r="336" spans="1:24" ht="12" customHeight="1">
      <c r="A336" s="4">
        <v>5048</v>
      </c>
      <c r="B336" s="4">
        <v>36001</v>
      </c>
      <c r="C336" s="5">
        <f t="shared" ref="C336:C337" si="165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  <c r="V336">
        <f t="shared" si="160"/>
        <v>30</v>
      </c>
      <c r="W336">
        <f t="shared" si="157"/>
        <v>3</v>
      </c>
      <c r="X336">
        <f t="shared" si="158"/>
        <v>2011</v>
      </c>
    </row>
    <row r="337" spans="1:24" ht="12" customHeight="1">
      <c r="A337" s="4">
        <v>5049</v>
      </c>
      <c r="B337" s="4">
        <v>36001</v>
      </c>
      <c r="C337" s="5">
        <f t="shared" si="165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  <c r="V337">
        <f t="shared" si="160"/>
        <v>1</v>
      </c>
      <c r="W337">
        <f t="shared" si="157"/>
        <v>4</v>
      </c>
      <c r="X337">
        <f t="shared" si="158"/>
        <v>2011</v>
      </c>
    </row>
    <row r="338" spans="1:24" ht="12" customHeight="1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  <c r="V338">
        <f t="shared" si="160"/>
        <v>22</v>
      </c>
      <c r="W338">
        <f t="shared" si="157"/>
        <v>11</v>
      </c>
      <c r="X338">
        <f t="shared" si="158"/>
        <v>2010</v>
      </c>
    </row>
    <row r="339" spans="1:24" ht="12" customHeight="1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66">C339+1</f>
        <v>40694</v>
      </c>
      <c r="V339">
        <f t="shared" si="160"/>
        <v>31</v>
      </c>
      <c r="W339">
        <f t="shared" si="157"/>
        <v>5</v>
      </c>
      <c r="X339">
        <f t="shared" si="158"/>
        <v>2011</v>
      </c>
    </row>
    <row r="340" spans="1:24" ht="12" customHeight="1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66"/>
        <v>41043</v>
      </c>
      <c r="V340">
        <f t="shared" si="160"/>
        <v>14</v>
      </c>
      <c r="W340">
        <f t="shared" si="157"/>
        <v>5</v>
      </c>
      <c r="X340">
        <f t="shared" si="158"/>
        <v>2012</v>
      </c>
    </row>
    <row r="341" spans="1:24" ht="12" customHeight="1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66"/>
        <v>40338</v>
      </c>
      <c r="V341">
        <f t="shared" si="160"/>
        <v>9</v>
      </c>
      <c r="W341">
        <f t="shared" si="157"/>
        <v>6</v>
      </c>
      <c r="X341">
        <f t="shared" si="158"/>
        <v>2010</v>
      </c>
    </row>
    <row r="342" spans="1:24" ht="12" customHeight="1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66"/>
        <v>40147</v>
      </c>
      <c r="V342">
        <f t="shared" si="160"/>
        <v>30</v>
      </c>
      <c r="W342">
        <f t="shared" si="157"/>
        <v>11</v>
      </c>
      <c r="X342">
        <f t="shared" si="158"/>
        <v>2009</v>
      </c>
    </row>
    <row r="343" spans="1:24" ht="12" customHeight="1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  <c r="V343">
        <f t="shared" si="160"/>
        <v>1</v>
      </c>
      <c r="W343">
        <f t="shared" si="157"/>
        <v>9</v>
      </c>
      <c r="X343">
        <f t="shared" si="158"/>
        <v>2012</v>
      </c>
    </row>
    <row r="344" spans="1:24" ht="12" customHeight="1">
      <c r="A344" s="4">
        <v>5275</v>
      </c>
      <c r="B344" s="4">
        <v>37541</v>
      </c>
      <c r="C344" s="5">
        <f t="shared" ref="C344:C346" si="167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  <c r="V344">
        <f t="shared" si="160"/>
        <v>28</v>
      </c>
      <c r="W344">
        <f t="shared" si="157"/>
        <v>2</v>
      </c>
      <c r="X344">
        <f t="shared" si="158"/>
        <v>2010</v>
      </c>
    </row>
    <row r="345" spans="1:24" ht="12" customHeight="1">
      <c r="A345" s="4">
        <v>5276</v>
      </c>
      <c r="B345" s="4">
        <v>37541</v>
      </c>
      <c r="C345" s="5">
        <f t="shared" si="167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  <c r="V345">
        <f t="shared" si="160"/>
        <v>27</v>
      </c>
      <c r="W345">
        <f t="shared" si="157"/>
        <v>2</v>
      </c>
      <c r="X345">
        <f t="shared" si="158"/>
        <v>2010</v>
      </c>
    </row>
    <row r="346" spans="1:24" ht="12" customHeight="1">
      <c r="A346" s="4">
        <v>5277</v>
      </c>
      <c r="B346" s="4">
        <v>37541</v>
      </c>
      <c r="C346" s="5">
        <f t="shared" si="167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  <c r="V346">
        <f t="shared" si="160"/>
        <v>28</v>
      </c>
      <c r="W346">
        <f t="shared" si="157"/>
        <v>2</v>
      </c>
      <c r="X346">
        <f t="shared" si="158"/>
        <v>2010</v>
      </c>
    </row>
    <row r="347" spans="1:24" ht="12" customHeight="1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68">C347+1</f>
        <v>41051</v>
      </c>
      <c r="V347">
        <f t="shared" si="160"/>
        <v>22</v>
      </c>
      <c r="W347">
        <f t="shared" si="157"/>
        <v>5</v>
      </c>
      <c r="X347">
        <f t="shared" si="158"/>
        <v>2012</v>
      </c>
    </row>
    <row r="348" spans="1:24" ht="12" customHeight="1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68"/>
        <v>40126</v>
      </c>
      <c r="V348">
        <f t="shared" si="160"/>
        <v>9</v>
      </c>
      <c r="W348">
        <f t="shared" si="157"/>
        <v>11</v>
      </c>
      <c r="X348">
        <f t="shared" si="158"/>
        <v>2009</v>
      </c>
    </row>
    <row r="349" spans="1:24" ht="12" customHeight="1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  <c r="V349">
        <f t="shared" si="160"/>
        <v>29</v>
      </c>
      <c r="W349">
        <f t="shared" si="157"/>
        <v>8</v>
      </c>
      <c r="X349">
        <f t="shared" si="158"/>
        <v>2010</v>
      </c>
    </row>
    <row r="350" spans="1:24" ht="12" customHeight="1">
      <c r="A350" s="4">
        <v>5472</v>
      </c>
      <c r="B350" s="4">
        <v>38884</v>
      </c>
      <c r="C350" s="5">
        <f t="shared" ref="C350:C351" si="169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70">C350+1</f>
        <v>41139</v>
      </c>
      <c r="V350">
        <f t="shared" si="160"/>
        <v>18</v>
      </c>
      <c r="W350">
        <f t="shared" si="157"/>
        <v>8</v>
      </c>
      <c r="X350">
        <f t="shared" si="158"/>
        <v>2012</v>
      </c>
    </row>
    <row r="351" spans="1:24" ht="12" customHeight="1">
      <c r="A351" s="4">
        <v>5473</v>
      </c>
      <c r="B351" s="4">
        <v>38884</v>
      </c>
      <c r="C351" s="5">
        <f t="shared" si="169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70"/>
        <v>41139</v>
      </c>
      <c r="V351">
        <f t="shared" si="160"/>
        <v>18</v>
      </c>
      <c r="W351">
        <f t="shared" si="157"/>
        <v>8</v>
      </c>
      <c r="X351">
        <f t="shared" si="158"/>
        <v>2012</v>
      </c>
    </row>
    <row r="352" spans="1:24" ht="12" customHeight="1">
      <c r="A352" s="4">
        <v>5559</v>
      </c>
      <c r="B352" s="4">
        <v>39364</v>
      </c>
      <c r="C352" s="5">
        <f t="shared" ref="C352:C353" si="171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70"/>
        <v>41223</v>
      </c>
      <c r="V352">
        <f t="shared" si="160"/>
        <v>10</v>
      </c>
      <c r="W352">
        <f t="shared" si="157"/>
        <v>11</v>
      </c>
      <c r="X352">
        <f t="shared" si="158"/>
        <v>2012</v>
      </c>
    </row>
    <row r="353" spans="1:24" ht="12" customHeight="1">
      <c r="A353" s="4">
        <v>5560</v>
      </c>
      <c r="B353" s="4">
        <v>39364</v>
      </c>
      <c r="C353" s="5">
        <f t="shared" si="171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  <c r="V353">
        <f t="shared" si="160"/>
        <v>11</v>
      </c>
      <c r="W353">
        <f t="shared" si="157"/>
        <v>11</v>
      </c>
      <c r="X353">
        <f t="shared" si="158"/>
        <v>2012</v>
      </c>
    </row>
    <row r="354" spans="1:24" ht="12" customHeight="1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  <c r="V354">
        <f t="shared" si="160"/>
        <v>2</v>
      </c>
      <c r="W354">
        <f t="shared" si="157"/>
        <v>6</v>
      </c>
      <c r="X354">
        <f t="shared" si="158"/>
        <v>2011</v>
      </c>
    </row>
    <row r="355" spans="1:24" ht="12" customHeight="1">
      <c r="A355" s="4">
        <v>5598</v>
      </c>
      <c r="B355" s="4">
        <v>39683</v>
      </c>
      <c r="C355" s="5">
        <f t="shared" ref="C355:C358" si="172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  <c r="V355">
        <f t="shared" si="160"/>
        <v>13</v>
      </c>
      <c r="W355">
        <f t="shared" si="157"/>
        <v>8</v>
      </c>
      <c r="X355">
        <f t="shared" si="158"/>
        <v>2011</v>
      </c>
    </row>
    <row r="356" spans="1:24" ht="12" customHeight="1">
      <c r="A356" s="4">
        <v>5599</v>
      </c>
      <c r="B356" s="4">
        <v>39683</v>
      </c>
      <c r="C356" s="5">
        <f t="shared" si="172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73">C356+1</f>
        <v>40766</v>
      </c>
      <c r="V356">
        <f t="shared" si="160"/>
        <v>11</v>
      </c>
      <c r="W356">
        <f t="shared" si="157"/>
        <v>8</v>
      </c>
      <c r="X356">
        <f t="shared" si="158"/>
        <v>2011</v>
      </c>
    </row>
    <row r="357" spans="1:24" ht="12" customHeight="1">
      <c r="A357" s="4">
        <v>5600</v>
      </c>
      <c r="B357" s="4">
        <v>39683</v>
      </c>
      <c r="C357" s="5">
        <f t="shared" si="172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73"/>
        <v>40766</v>
      </c>
      <c r="V357">
        <f t="shared" si="160"/>
        <v>11</v>
      </c>
      <c r="W357">
        <f t="shared" si="157"/>
        <v>8</v>
      </c>
      <c r="X357">
        <f t="shared" si="158"/>
        <v>2011</v>
      </c>
    </row>
    <row r="358" spans="1:24" ht="12" customHeight="1">
      <c r="A358" s="4">
        <v>5601</v>
      </c>
      <c r="B358" s="4">
        <v>39683</v>
      </c>
      <c r="C358" s="5">
        <f t="shared" si="172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  <c r="V358">
        <f t="shared" si="160"/>
        <v>12</v>
      </c>
      <c r="W358">
        <f t="shared" si="157"/>
        <v>8</v>
      </c>
      <c r="X358">
        <f t="shared" si="158"/>
        <v>2011</v>
      </c>
    </row>
    <row r="359" spans="1:24" ht="12" customHeight="1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  <c r="V359">
        <f t="shared" si="160"/>
        <v>6</v>
      </c>
      <c r="W359">
        <f t="shared" si="157"/>
        <v>3</v>
      </c>
      <c r="X359">
        <f t="shared" si="158"/>
        <v>2009</v>
      </c>
    </row>
    <row r="360" spans="1:24" ht="12" customHeight="1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  <c r="V360">
        <f t="shared" si="160"/>
        <v>8</v>
      </c>
      <c r="W360">
        <f t="shared" si="157"/>
        <v>6</v>
      </c>
      <c r="X360">
        <f t="shared" si="158"/>
        <v>2010</v>
      </c>
    </row>
    <row r="361" spans="1:24" ht="12" customHeight="1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  <c r="V361">
        <f t="shared" si="160"/>
        <v>19</v>
      </c>
      <c r="W361">
        <f t="shared" si="157"/>
        <v>2</v>
      </c>
      <c r="X361">
        <f t="shared" si="158"/>
        <v>2012</v>
      </c>
    </row>
    <row r="362" spans="1:24" ht="12" customHeight="1">
      <c r="A362" s="4">
        <v>5675</v>
      </c>
      <c r="B362" s="4">
        <v>40132</v>
      </c>
      <c r="C362" s="5">
        <f t="shared" ref="C362:C364" si="174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75">C362+6</f>
        <v>40968</v>
      </c>
      <c r="V362">
        <f t="shared" si="160"/>
        <v>29</v>
      </c>
      <c r="W362">
        <f t="shared" si="157"/>
        <v>2</v>
      </c>
      <c r="X362">
        <f t="shared" si="158"/>
        <v>2012</v>
      </c>
    </row>
    <row r="363" spans="1:24" ht="12" customHeight="1">
      <c r="A363" s="4">
        <v>5676</v>
      </c>
      <c r="B363" s="4">
        <v>40132</v>
      </c>
      <c r="C363" s="5">
        <f t="shared" si="174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75"/>
        <v>40968</v>
      </c>
      <c r="V363">
        <f t="shared" si="160"/>
        <v>29</v>
      </c>
      <c r="W363">
        <f t="shared" si="157"/>
        <v>2</v>
      </c>
      <c r="X363">
        <f t="shared" si="158"/>
        <v>2012</v>
      </c>
    </row>
    <row r="364" spans="1:24" ht="12" customHeight="1">
      <c r="A364" s="4">
        <v>5677</v>
      </c>
      <c r="B364" s="4">
        <v>40132</v>
      </c>
      <c r="C364" s="5">
        <f t="shared" si="174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  <c r="V364">
        <f t="shared" si="160"/>
        <v>2</v>
      </c>
      <c r="W364">
        <f t="shared" si="157"/>
        <v>3</v>
      </c>
      <c r="X364">
        <f t="shared" si="158"/>
        <v>2012</v>
      </c>
    </row>
    <row r="365" spans="1:24" ht="12" customHeight="1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76">C365+1</f>
        <v>40102</v>
      </c>
      <c r="V365">
        <f t="shared" si="160"/>
        <v>16</v>
      </c>
      <c r="W365">
        <f t="shared" si="157"/>
        <v>10</v>
      </c>
      <c r="X365">
        <f t="shared" si="158"/>
        <v>2009</v>
      </c>
    </row>
    <row r="366" spans="1:24" ht="12" customHeight="1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76"/>
        <v>39886</v>
      </c>
      <c r="V366">
        <f t="shared" si="160"/>
        <v>14</v>
      </c>
      <c r="W366">
        <f t="shared" si="157"/>
        <v>3</v>
      </c>
      <c r="X366">
        <f t="shared" si="158"/>
        <v>2009</v>
      </c>
    </row>
    <row r="367" spans="1:24" ht="12" customHeight="1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77">C367+2</f>
        <v>40251</v>
      </c>
      <c r="V367">
        <f t="shared" si="160"/>
        <v>14</v>
      </c>
      <c r="W367">
        <f t="shared" si="157"/>
        <v>3</v>
      </c>
      <c r="X367">
        <f t="shared" si="158"/>
        <v>2010</v>
      </c>
    </row>
    <row r="368" spans="1:24" ht="12" customHeight="1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77"/>
        <v>40003</v>
      </c>
      <c r="V368">
        <f t="shared" si="160"/>
        <v>9</v>
      </c>
      <c r="W368">
        <f t="shared" si="157"/>
        <v>7</v>
      </c>
      <c r="X368">
        <f t="shared" si="158"/>
        <v>2009</v>
      </c>
    </row>
    <row r="369" spans="1:24" ht="12" customHeight="1">
      <c r="A369" s="4">
        <v>5790</v>
      </c>
      <c r="B369" s="4">
        <v>41063</v>
      </c>
      <c r="C369" s="5">
        <f t="shared" ref="C369:C371" si="178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77"/>
        <v>41236</v>
      </c>
      <c r="V369">
        <f t="shared" si="160"/>
        <v>23</v>
      </c>
      <c r="W369">
        <f t="shared" si="157"/>
        <v>11</v>
      </c>
      <c r="X369">
        <f t="shared" si="158"/>
        <v>2012</v>
      </c>
    </row>
    <row r="370" spans="1:24" ht="12" customHeight="1">
      <c r="A370" s="4">
        <v>5791</v>
      </c>
      <c r="B370" s="4">
        <v>41063</v>
      </c>
      <c r="C370" s="5">
        <f t="shared" si="178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79">C370+7</f>
        <v>41241</v>
      </c>
      <c r="V370">
        <f t="shared" si="160"/>
        <v>28</v>
      </c>
      <c r="W370">
        <f t="shared" si="157"/>
        <v>11</v>
      </c>
      <c r="X370">
        <f t="shared" si="158"/>
        <v>2012</v>
      </c>
    </row>
    <row r="371" spans="1:24" ht="12" customHeight="1">
      <c r="A371" s="4">
        <v>5792</v>
      </c>
      <c r="B371" s="4">
        <v>41063</v>
      </c>
      <c r="C371" s="5">
        <f t="shared" si="178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79"/>
        <v>41241</v>
      </c>
      <c r="V371">
        <f t="shared" si="160"/>
        <v>28</v>
      </c>
      <c r="W371">
        <f t="shared" si="157"/>
        <v>11</v>
      </c>
      <c r="X371">
        <f t="shared" si="158"/>
        <v>2012</v>
      </c>
    </row>
    <row r="372" spans="1:24" ht="12" customHeight="1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  <c r="V372">
        <f t="shared" si="160"/>
        <v>3</v>
      </c>
      <c r="W372">
        <f t="shared" si="157"/>
        <v>3</v>
      </c>
      <c r="X372">
        <f t="shared" si="158"/>
        <v>2009</v>
      </c>
    </row>
    <row r="373" spans="1:24" ht="12" customHeight="1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80">C373+2</f>
        <v>40810</v>
      </c>
      <c r="V373">
        <f t="shared" si="160"/>
        <v>24</v>
      </c>
      <c r="W373">
        <f t="shared" si="157"/>
        <v>9</v>
      </c>
      <c r="X373">
        <f t="shared" si="158"/>
        <v>2011</v>
      </c>
    </row>
    <row r="374" spans="1:24" ht="12" customHeight="1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80"/>
        <v>40747</v>
      </c>
      <c r="V374">
        <f t="shared" si="160"/>
        <v>23</v>
      </c>
      <c r="W374">
        <f t="shared" si="157"/>
        <v>7</v>
      </c>
      <c r="X374">
        <f t="shared" si="158"/>
        <v>2011</v>
      </c>
    </row>
    <row r="375" spans="1:24" ht="12" customHeight="1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80"/>
        <v>40009</v>
      </c>
      <c r="V375">
        <f t="shared" si="160"/>
        <v>15</v>
      </c>
      <c r="W375">
        <f t="shared" si="157"/>
        <v>7</v>
      </c>
      <c r="X375">
        <f t="shared" si="158"/>
        <v>2009</v>
      </c>
    </row>
    <row r="376" spans="1:24" ht="12" customHeight="1">
      <c r="A376" s="4">
        <v>5944</v>
      </c>
      <c r="B376" s="4">
        <v>42209</v>
      </c>
      <c r="C376" s="5">
        <f t="shared" ref="C376:C377" si="181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  <c r="V376">
        <f t="shared" si="160"/>
        <v>29</v>
      </c>
      <c r="W376">
        <f t="shared" si="157"/>
        <v>3</v>
      </c>
      <c r="X376">
        <f t="shared" si="158"/>
        <v>2010</v>
      </c>
    </row>
    <row r="377" spans="1:24" ht="12" customHeight="1">
      <c r="A377" s="4">
        <v>5945</v>
      </c>
      <c r="B377" s="4">
        <v>42209</v>
      </c>
      <c r="C377" s="5">
        <f t="shared" si="181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  <c r="V377">
        <f t="shared" si="160"/>
        <v>1</v>
      </c>
      <c r="W377">
        <f t="shared" si="157"/>
        <v>4</v>
      </c>
      <c r="X377">
        <f t="shared" si="158"/>
        <v>2010</v>
      </c>
    </row>
    <row r="378" spans="1:24" ht="12" customHeight="1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  <c r="V378">
        <f t="shared" si="160"/>
        <v>8</v>
      </c>
      <c r="W378">
        <f t="shared" si="157"/>
        <v>2</v>
      </c>
      <c r="X378">
        <f t="shared" si="158"/>
        <v>2010</v>
      </c>
    </row>
    <row r="379" spans="1:24" ht="12" customHeight="1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  <c r="V379">
        <f t="shared" si="160"/>
        <v>19</v>
      </c>
      <c r="W379">
        <f t="shared" si="157"/>
        <v>9</v>
      </c>
      <c r="X379">
        <f t="shared" si="158"/>
        <v>2012</v>
      </c>
    </row>
    <row r="380" spans="1:24" ht="12" customHeight="1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82">C380+2</f>
        <v>40536</v>
      </c>
      <c r="V380">
        <f t="shared" si="160"/>
        <v>24</v>
      </c>
      <c r="W380">
        <f t="shared" si="157"/>
        <v>12</v>
      </c>
      <c r="X380">
        <f t="shared" si="158"/>
        <v>2010</v>
      </c>
    </row>
    <row r="381" spans="1:24" ht="12" customHeight="1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82"/>
        <v>39965</v>
      </c>
      <c r="V381">
        <f t="shared" si="160"/>
        <v>1</v>
      </c>
      <c r="W381">
        <f t="shared" si="157"/>
        <v>6</v>
      </c>
      <c r="X381">
        <f t="shared" si="158"/>
        <v>2009</v>
      </c>
    </row>
    <row r="382" spans="1:24" ht="12" customHeight="1">
      <c r="A382" s="4">
        <v>6082</v>
      </c>
      <c r="B382" s="4">
        <v>43109</v>
      </c>
      <c r="C382" s="5">
        <f t="shared" ref="C382:C384" si="183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84">C382+1</f>
        <v>41265</v>
      </c>
      <c r="V382">
        <f t="shared" si="160"/>
        <v>22</v>
      </c>
      <c r="W382">
        <f t="shared" si="157"/>
        <v>12</v>
      </c>
      <c r="X382">
        <f t="shared" si="158"/>
        <v>2012</v>
      </c>
    </row>
    <row r="383" spans="1:24" ht="12" customHeight="1">
      <c r="A383" s="4">
        <v>6083</v>
      </c>
      <c r="B383" s="4">
        <v>43109</v>
      </c>
      <c r="C383" s="5">
        <f t="shared" si="183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84"/>
        <v>41265</v>
      </c>
      <c r="V383">
        <f t="shared" si="160"/>
        <v>22</v>
      </c>
      <c r="W383">
        <f t="shared" si="157"/>
        <v>12</v>
      </c>
      <c r="X383">
        <f t="shared" si="158"/>
        <v>2012</v>
      </c>
    </row>
    <row r="384" spans="1:24" ht="12" customHeight="1">
      <c r="A384" s="4">
        <v>6084</v>
      </c>
      <c r="B384" s="4">
        <v>43109</v>
      </c>
      <c r="C384" s="5">
        <f t="shared" si="183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84"/>
        <v>41265</v>
      </c>
      <c r="V384">
        <f t="shared" si="160"/>
        <v>22</v>
      </c>
      <c r="W384">
        <f t="shared" si="157"/>
        <v>12</v>
      </c>
      <c r="X384">
        <f t="shared" si="158"/>
        <v>2012</v>
      </c>
    </row>
    <row r="385" spans="1:24" ht="12" customHeight="1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85">C385+2</f>
        <v>40955</v>
      </c>
      <c r="V385">
        <f t="shared" si="160"/>
        <v>16</v>
      </c>
      <c r="W385">
        <f t="shared" si="157"/>
        <v>2</v>
      </c>
      <c r="X385">
        <f t="shared" si="158"/>
        <v>2012</v>
      </c>
    </row>
    <row r="386" spans="1:24" ht="12" customHeight="1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85"/>
        <v>40364</v>
      </c>
      <c r="V386">
        <f t="shared" si="160"/>
        <v>5</v>
      </c>
      <c r="W386">
        <f t="shared" si="157"/>
        <v>7</v>
      </c>
      <c r="X386">
        <f t="shared" si="158"/>
        <v>2010</v>
      </c>
    </row>
    <row r="387" spans="1:24" ht="12" customHeight="1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85"/>
        <v>40681</v>
      </c>
      <c r="V387">
        <f t="shared" si="160"/>
        <v>18</v>
      </c>
      <c r="W387">
        <f t="shared" ref="W387:W450" si="186">MONTH(U387)</f>
        <v>5</v>
      </c>
      <c r="X387">
        <f t="shared" ref="X387:X450" si="187">YEAR(U387)</f>
        <v>2011</v>
      </c>
    </row>
    <row r="388" spans="1:24" ht="12" customHeight="1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  <c r="V388">
        <f t="shared" ref="V388:V451" si="188">DAY(U388)</f>
        <v>10</v>
      </c>
      <c r="W388">
        <f t="shared" si="186"/>
        <v>3</v>
      </c>
      <c r="X388">
        <f t="shared" si="187"/>
        <v>2010</v>
      </c>
    </row>
    <row r="389" spans="1:24" ht="12" customHeight="1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  <c r="V389">
        <f t="shared" si="188"/>
        <v>28</v>
      </c>
      <c r="W389">
        <f t="shared" si="186"/>
        <v>4</v>
      </c>
      <c r="X389">
        <f t="shared" si="187"/>
        <v>2009</v>
      </c>
    </row>
    <row r="390" spans="1:24" ht="12" customHeight="1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  <c r="V390">
        <f t="shared" si="188"/>
        <v>10</v>
      </c>
      <c r="W390">
        <f t="shared" si="186"/>
        <v>4</v>
      </c>
      <c r="X390">
        <f t="shared" si="187"/>
        <v>2012</v>
      </c>
    </row>
    <row r="391" spans="1:24" ht="12" customHeight="1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  <c r="V391">
        <f t="shared" si="188"/>
        <v>2</v>
      </c>
      <c r="W391">
        <f t="shared" si="186"/>
        <v>1</v>
      </c>
      <c r="X391">
        <f t="shared" si="187"/>
        <v>2011</v>
      </c>
    </row>
    <row r="392" spans="1:24" ht="12" customHeight="1">
      <c r="A392" s="4">
        <v>6176</v>
      </c>
      <c r="B392" s="4">
        <v>43781</v>
      </c>
      <c r="C392" s="5">
        <f t="shared" ref="C392:C393" si="189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  <c r="V392">
        <f t="shared" si="188"/>
        <v>2</v>
      </c>
      <c r="W392">
        <f t="shared" si="186"/>
        <v>2</v>
      </c>
      <c r="X392">
        <f t="shared" si="187"/>
        <v>2010</v>
      </c>
    </row>
    <row r="393" spans="1:24" ht="12" customHeight="1">
      <c r="A393" s="4">
        <v>6177</v>
      </c>
      <c r="B393" s="4">
        <v>43781</v>
      </c>
      <c r="C393" s="5">
        <f t="shared" si="189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90">C393+1</f>
        <v>40212</v>
      </c>
      <c r="V393">
        <f t="shared" si="188"/>
        <v>3</v>
      </c>
      <c r="W393">
        <f t="shared" si="186"/>
        <v>2</v>
      </c>
      <c r="X393">
        <f t="shared" si="187"/>
        <v>2010</v>
      </c>
    </row>
    <row r="394" spans="1:24" ht="12" customHeight="1">
      <c r="A394" s="4">
        <v>6226</v>
      </c>
      <c r="B394" s="4">
        <v>44071</v>
      </c>
      <c r="C394" s="5">
        <f t="shared" ref="C394:C395" si="191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90"/>
        <v>41015</v>
      </c>
      <c r="V394">
        <f t="shared" si="188"/>
        <v>16</v>
      </c>
      <c r="W394">
        <f t="shared" si="186"/>
        <v>4</v>
      </c>
      <c r="X394">
        <f t="shared" si="187"/>
        <v>2012</v>
      </c>
    </row>
    <row r="395" spans="1:24" ht="12" customHeight="1">
      <c r="A395" s="4">
        <v>6227</v>
      </c>
      <c r="B395" s="4">
        <v>44071</v>
      </c>
      <c r="C395" s="5">
        <f t="shared" si="191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90"/>
        <v>41015</v>
      </c>
      <c r="V395">
        <f t="shared" si="188"/>
        <v>16</v>
      </c>
      <c r="W395">
        <f t="shared" si="186"/>
        <v>4</v>
      </c>
      <c r="X395">
        <f t="shared" si="187"/>
        <v>2012</v>
      </c>
    </row>
    <row r="396" spans="1:24" ht="12" customHeight="1">
      <c r="A396" s="4">
        <v>6290</v>
      </c>
      <c r="B396" s="4">
        <v>44519</v>
      </c>
      <c r="C396" s="5">
        <f t="shared" ref="C396:C398" si="192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90"/>
        <v>40318</v>
      </c>
      <c r="V396">
        <f t="shared" si="188"/>
        <v>20</v>
      </c>
      <c r="W396">
        <f t="shared" si="186"/>
        <v>5</v>
      </c>
      <c r="X396">
        <f t="shared" si="187"/>
        <v>2010</v>
      </c>
    </row>
    <row r="397" spans="1:24" ht="12" customHeight="1">
      <c r="A397" s="4">
        <v>6291</v>
      </c>
      <c r="B397" s="4">
        <v>44519</v>
      </c>
      <c r="C397" s="5">
        <f t="shared" si="192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90"/>
        <v>40318</v>
      </c>
      <c r="V397">
        <f t="shared" si="188"/>
        <v>20</v>
      </c>
      <c r="W397">
        <f t="shared" si="186"/>
        <v>5</v>
      </c>
      <c r="X397">
        <f t="shared" si="187"/>
        <v>2010</v>
      </c>
    </row>
    <row r="398" spans="1:24" ht="12" customHeight="1">
      <c r="A398" s="4">
        <v>6292</v>
      </c>
      <c r="B398" s="4">
        <v>44519</v>
      </c>
      <c r="C398" s="5">
        <f t="shared" si="192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90"/>
        <v>40318</v>
      </c>
      <c r="V398">
        <f t="shared" si="188"/>
        <v>20</v>
      </c>
      <c r="W398">
        <f t="shared" si="186"/>
        <v>5</v>
      </c>
      <c r="X398">
        <f t="shared" si="187"/>
        <v>2010</v>
      </c>
    </row>
    <row r="399" spans="1:24" ht="12" customHeight="1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90"/>
        <v>40022</v>
      </c>
      <c r="V399">
        <f t="shared" si="188"/>
        <v>28</v>
      </c>
      <c r="W399">
        <f t="shared" si="186"/>
        <v>7</v>
      </c>
      <c r="X399">
        <f t="shared" si="187"/>
        <v>2009</v>
      </c>
    </row>
    <row r="400" spans="1:24" ht="12" customHeight="1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93">C400+2</f>
        <v>39905</v>
      </c>
      <c r="V400">
        <f t="shared" si="188"/>
        <v>2</v>
      </c>
      <c r="W400">
        <f t="shared" si="186"/>
        <v>4</v>
      </c>
      <c r="X400">
        <f t="shared" si="187"/>
        <v>2009</v>
      </c>
    </row>
    <row r="401" spans="1:24" ht="12" customHeight="1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93"/>
        <v>41073</v>
      </c>
      <c r="V401">
        <f t="shared" si="188"/>
        <v>13</v>
      </c>
      <c r="W401">
        <f t="shared" si="186"/>
        <v>6</v>
      </c>
      <c r="X401">
        <f t="shared" si="187"/>
        <v>2012</v>
      </c>
    </row>
    <row r="402" spans="1:24" ht="12" customHeight="1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  <c r="V402">
        <f t="shared" si="188"/>
        <v>2</v>
      </c>
      <c r="W402">
        <f t="shared" si="186"/>
        <v>9</v>
      </c>
      <c r="X402">
        <f t="shared" si="187"/>
        <v>2010</v>
      </c>
    </row>
    <row r="403" spans="1:24" ht="12" customHeight="1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94">C403+2</f>
        <v>41132</v>
      </c>
      <c r="V403">
        <f t="shared" si="188"/>
        <v>11</v>
      </c>
      <c r="W403">
        <f t="shared" si="186"/>
        <v>8</v>
      </c>
      <c r="X403">
        <f t="shared" si="187"/>
        <v>2012</v>
      </c>
    </row>
    <row r="404" spans="1:24" ht="12" customHeight="1">
      <c r="A404" s="4">
        <v>6439</v>
      </c>
      <c r="B404" s="4">
        <v>45766</v>
      </c>
      <c r="C404" s="5">
        <f t="shared" ref="C404:C405" si="195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94"/>
        <v>40307</v>
      </c>
      <c r="V404">
        <f t="shared" si="188"/>
        <v>9</v>
      </c>
      <c r="W404">
        <f t="shared" si="186"/>
        <v>5</v>
      </c>
      <c r="X404">
        <f t="shared" si="187"/>
        <v>2010</v>
      </c>
    </row>
    <row r="405" spans="1:24" ht="12" customHeight="1">
      <c r="A405" s="4">
        <v>6440</v>
      </c>
      <c r="B405" s="4">
        <v>45766</v>
      </c>
      <c r="C405" s="5">
        <f t="shared" si="195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  <c r="V405">
        <f t="shared" si="188"/>
        <v>8</v>
      </c>
      <c r="W405">
        <f t="shared" si="186"/>
        <v>5</v>
      </c>
      <c r="X405">
        <f t="shared" si="187"/>
        <v>2010</v>
      </c>
    </row>
    <row r="406" spans="1:24" ht="12" customHeight="1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  <c r="V406">
        <f t="shared" si="188"/>
        <v>25</v>
      </c>
      <c r="W406">
        <f t="shared" si="186"/>
        <v>8</v>
      </c>
      <c r="X406">
        <f t="shared" si="187"/>
        <v>2011</v>
      </c>
    </row>
    <row r="407" spans="1:24" ht="12" customHeight="1">
      <c r="A407" s="4">
        <v>6450</v>
      </c>
      <c r="B407" s="4">
        <v>45957</v>
      </c>
      <c r="C407" s="5">
        <f t="shared" ref="C407:C408" si="196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97">C407+2</f>
        <v>40444</v>
      </c>
      <c r="V407">
        <f t="shared" si="188"/>
        <v>23</v>
      </c>
      <c r="W407">
        <f t="shared" si="186"/>
        <v>9</v>
      </c>
      <c r="X407">
        <f t="shared" si="187"/>
        <v>2010</v>
      </c>
    </row>
    <row r="408" spans="1:24" ht="12" customHeight="1">
      <c r="A408" s="4">
        <v>6451</v>
      </c>
      <c r="B408" s="4">
        <v>45957</v>
      </c>
      <c r="C408" s="5">
        <f t="shared" si="196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97"/>
        <v>40444</v>
      </c>
      <c r="V408">
        <f t="shared" si="188"/>
        <v>23</v>
      </c>
      <c r="W408">
        <f t="shared" si="186"/>
        <v>9</v>
      </c>
      <c r="X408">
        <f t="shared" si="187"/>
        <v>2010</v>
      </c>
    </row>
    <row r="409" spans="1:24" ht="12" customHeight="1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98">C409+0</f>
        <v>41090</v>
      </c>
      <c r="V409">
        <f t="shared" si="188"/>
        <v>30</v>
      </c>
      <c r="W409">
        <f t="shared" si="186"/>
        <v>6</v>
      </c>
      <c r="X409">
        <f t="shared" si="187"/>
        <v>2012</v>
      </c>
    </row>
    <row r="410" spans="1:24" ht="12" customHeight="1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98"/>
        <v>40560</v>
      </c>
      <c r="V410">
        <f t="shared" si="188"/>
        <v>17</v>
      </c>
      <c r="W410">
        <f t="shared" si="186"/>
        <v>1</v>
      </c>
      <c r="X410">
        <f t="shared" si="187"/>
        <v>2011</v>
      </c>
    </row>
    <row r="411" spans="1:24" ht="12" customHeight="1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99">C411+2</f>
        <v>40463</v>
      </c>
      <c r="V411">
        <f t="shared" si="188"/>
        <v>12</v>
      </c>
      <c r="W411">
        <f t="shared" si="186"/>
        <v>10</v>
      </c>
      <c r="X411">
        <f t="shared" si="187"/>
        <v>2010</v>
      </c>
    </row>
    <row r="412" spans="1:24" ht="12" customHeight="1">
      <c r="A412" s="4">
        <v>6669</v>
      </c>
      <c r="B412" s="4">
        <v>47462</v>
      </c>
      <c r="C412" s="5">
        <f t="shared" ref="C412:C414" si="200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99"/>
        <v>40705</v>
      </c>
      <c r="V412">
        <f t="shared" si="188"/>
        <v>11</v>
      </c>
      <c r="W412">
        <f t="shared" si="186"/>
        <v>6</v>
      </c>
      <c r="X412">
        <f t="shared" si="187"/>
        <v>2011</v>
      </c>
    </row>
    <row r="413" spans="1:24" ht="12" customHeight="1">
      <c r="A413" s="4">
        <v>6670</v>
      </c>
      <c r="B413" s="4">
        <v>47462</v>
      </c>
      <c r="C413" s="5">
        <f t="shared" si="200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99"/>
        <v>40705</v>
      </c>
      <c r="V413">
        <f t="shared" si="188"/>
        <v>11</v>
      </c>
      <c r="W413">
        <f t="shared" si="186"/>
        <v>6</v>
      </c>
      <c r="X413">
        <f t="shared" si="187"/>
        <v>2011</v>
      </c>
    </row>
    <row r="414" spans="1:24" ht="12" customHeight="1">
      <c r="A414" s="4">
        <v>6671</v>
      </c>
      <c r="B414" s="4">
        <v>47462</v>
      </c>
      <c r="C414" s="5">
        <f t="shared" si="200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99"/>
        <v>40705</v>
      </c>
      <c r="V414">
        <f t="shared" si="188"/>
        <v>11</v>
      </c>
      <c r="W414">
        <f t="shared" si="186"/>
        <v>6</v>
      </c>
      <c r="X414">
        <f t="shared" si="187"/>
        <v>2011</v>
      </c>
    </row>
    <row r="415" spans="1:24" ht="12" customHeight="1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  <c r="V415">
        <f t="shared" si="188"/>
        <v>5</v>
      </c>
      <c r="W415">
        <f t="shared" si="186"/>
        <v>7</v>
      </c>
      <c r="X415">
        <f t="shared" si="187"/>
        <v>2012</v>
      </c>
    </row>
    <row r="416" spans="1:24" ht="12" customHeight="1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  <c r="V416">
        <f t="shared" si="188"/>
        <v>16</v>
      </c>
      <c r="W416">
        <f t="shared" si="186"/>
        <v>3</v>
      </c>
      <c r="X416">
        <f t="shared" si="187"/>
        <v>2010</v>
      </c>
    </row>
    <row r="417" spans="1:24" ht="12" customHeight="1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  <c r="V417">
        <f t="shared" si="188"/>
        <v>15</v>
      </c>
      <c r="W417">
        <f t="shared" si="186"/>
        <v>11</v>
      </c>
      <c r="X417">
        <f t="shared" si="187"/>
        <v>2010</v>
      </c>
    </row>
    <row r="418" spans="1:24" ht="12" customHeight="1">
      <c r="A418" s="4">
        <v>6736</v>
      </c>
      <c r="B418" s="4">
        <v>47943</v>
      </c>
      <c r="C418" s="5">
        <f t="shared" ref="C418:C419" si="201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  <c r="V418">
        <f t="shared" si="188"/>
        <v>14</v>
      </c>
      <c r="W418">
        <f t="shared" si="186"/>
        <v>11</v>
      </c>
      <c r="X418">
        <f t="shared" si="187"/>
        <v>2009</v>
      </c>
    </row>
    <row r="419" spans="1:24" ht="12" customHeight="1">
      <c r="A419" s="4">
        <v>6737</v>
      </c>
      <c r="B419" s="4">
        <v>47943</v>
      </c>
      <c r="C419" s="5">
        <f t="shared" si="201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  <c r="V419">
        <f t="shared" si="188"/>
        <v>15</v>
      </c>
      <c r="W419">
        <f t="shared" si="186"/>
        <v>11</v>
      </c>
      <c r="X419">
        <f t="shared" si="187"/>
        <v>2009</v>
      </c>
    </row>
    <row r="420" spans="1:24" ht="12" customHeight="1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202">C420+2</f>
        <v>40800</v>
      </c>
      <c r="V420">
        <f t="shared" si="188"/>
        <v>14</v>
      </c>
      <c r="W420">
        <f t="shared" si="186"/>
        <v>9</v>
      </c>
      <c r="X420">
        <f t="shared" si="187"/>
        <v>2011</v>
      </c>
    </row>
    <row r="421" spans="1:24" ht="12" customHeight="1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202"/>
        <v>40142</v>
      </c>
      <c r="V421">
        <f t="shared" si="188"/>
        <v>25</v>
      </c>
      <c r="W421">
        <f t="shared" si="186"/>
        <v>11</v>
      </c>
      <c r="X421">
        <f t="shared" si="187"/>
        <v>2009</v>
      </c>
    </row>
    <row r="422" spans="1:24" ht="12" customHeight="1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202"/>
        <v>40371</v>
      </c>
      <c r="V422">
        <f t="shared" si="188"/>
        <v>12</v>
      </c>
      <c r="W422">
        <f t="shared" si="186"/>
        <v>7</v>
      </c>
      <c r="X422">
        <f t="shared" si="187"/>
        <v>2010</v>
      </c>
    </row>
    <row r="423" spans="1:24" ht="12" customHeight="1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  <c r="V423">
        <f t="shared" si="188"/>
        <v>7</v>
      </c>
      <c r="W423">
        <f t="shared" si="186"/>
        <v>3</v>
      </c>
      <c r="X423">
        <f t="shared" si="187"/>
        <v>2009</v>
      </c>
    </row>
    <row r="424" spans="1:24" ht="12" customHeight="1">
      <c r="A424" s="4">
        <v>6983</v>
      </c>
      <c r="B424" s="4">
        <v>49921</v>
      </c>
      <c r="C424" s="5">
        <f t="shared" ref="C424:C425" si="203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  <c r="V424">
        <f t="shared" si="188"/>
        <v>21</v>
      </c>
      <c r="W424">
        <f t="shared" si="186"/>
        <v>2</v>
      </c>
      <c r="X424">
        <f t="shared" si="187"/>
        <v>2011</v>
      </c>
    </row>
    <row r="425" spans="1:24" ht="12" customHeight="1">
      <c r="A425" s="4">
        <v>6984</v>
      </c>
      <c r="B425" s="4">
        <v>49921</v>
      </c>
      <c r="C425" s="5">
        <f t="shared" si="203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  <c r="V425">
        <f t="shared" si="188"/>
        <v>19</v>
      </c>
      <c r="W425">
        <f t="shared" si="186"/>
        <v>2</v>
      </c>
      <c r="X425">
        <f t="shared" si="187"/>
        <v>2011</v>
      </c>
    </row>
    <row r="426" spans="1:24" ht="12" customHeight="1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  <c r="V426">
        <f t="shared" si="188"/>
        <v>20</v>
      </c>
      <c r="W426">
        <f t="shared" si="186"/>
        <v>11</v>
      </c>
      <c r="X426">
        <f t="shared" si="187"/>
        <v>2011</v>
      </c>
    </row>
    <row r="427" spans="1:24" ht="12" customHeight="1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  <c r="V427">
        <f t="shared" si="188"/>
        <v>5</v>
      </c>
      <c r="W427">
        <f t="shared" si="186"/>
        <v>6</v>
      </c>
      <c r="X427">
        <f t="shared" si="187"/>
        <v>2011</v>
      </c>
    </row>
    <row r="428" spans="1:24" ht="12" customHeight="1">
      <c r="A428" s="4">
        <v>7042</v>
      </c>
      <c r="B428" s="4">
        <v>50278</v>
      </c>
      <c r="C428" s="5">
        <f t="shared" ref="C428:C429" si="204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  <c r="V428">
        <f t="shared" si="188"/>
        <v>25</v>
      </c>
      <c r="W428">
        <f t="shared" si="186"/>
        <v>5</v>
      </c>
      <c r="X428">
        <f t="shared" si="187"/>
        <v>2010</v>
      </c>
    </row>
    <row r="429" spans="1:24" ht="12" customHeight="1">
      <c r="A429" s="4">
        <v>7043</v>
      </c>
      <c r="B429" s="4">
        <v>50278</v>
      </c>
      <c r="C429" s="5">
        <f t="shared" si="204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  <c r="V429">
        <f t="shared" si="188"/>
        <v>27</v>
      </c>
      <c r="W429">
        <f t="shared" si="186"/>
        <v>5</v>
      </c>
      <c r="X429">
        <f t="shared" si="187"/>
        <v>2010</v>
      </c>
    </row>
    <row r="430" spans="1:24" ht="12" customHeight="1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  <c r="V430">
        <f t="shared" si="188"/>
        <v>31</v>
      </c>
      <c r="W430">
        <f t="shared" si="186"/>
        <v>5</v>
      </c>
      <c r="X430">
        <f t="shared" si="187"/>
        <v>2009</v>
      </c>
    </row>
    <row r="431" spans="1:24" ht="12" customHeight="1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  <c r="V431">
        <f t="shared" si="188"/>
        <v>30</v>
      </c>
      <c r="W431">
        <f t="shared" si="186"/>
        <v>8</v>
      </c>
      <c r="X431">
        <f t="shared" si="187"/>
        <v>2012</v>
      </c>
    </row>
    <row r="432" spans="1:24" ht="12" customHeight="1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205">C432+1</f>
        <v>40894</v>
      </c>
      <c r="V432">
        <f t="shared" si="188"/>
        <v>17</v>
      </c>
      <c r="W432">
        <f t="shared" si="186"/>
        <v>12</v>
      </c>
      <c r="X432">
        <f t="shared" si="187"/>
        <v>2011</v>
      </c>
    </row>
    <row r="433" spans="1:24" ht="12" customHeight="1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205"/>
        <v>40157</v>
      </c>
      <c r="V433">
        <f t="shared" si="188"/>
        <v>10</v>
      </c>
      <c r="W433">
        <f t="shared" si="186"/>
        <v>12</v>
      </c>
      <c r="X433">
        <f t="shared" si="187"/>
        <v>2009</v>
      </c>
    </row>
    <row r="434" spans="1:24" ht="12" customHeight="1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  <c r="V434">
        <f t="shared" si="188"/>
        <v>3</v>
      </c>
      <c r="W434">
        <f t="shared" si="186"/>
        <v>7</v>
      </c>
      <c r="X434">
        <f t="shared" si="187"/>
        <v>2012</v>
      </c>
    </row>
    <row r="435" spans="1:24" ht="12" customHeight="1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  <c r="V435">
        <f t="shared" si="188"/>
        <v>26</v>
      </c>
      <c r="W435">
        <f t="shared" si="186"/>
        <v>12</v>
      </c>
      <c r="X435">
        <f t="shared" si="187"/>
        <v>2010</v>
      </c>
    </row>
    <row r="436" spans="1:24" ht="12" customHeight="1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  <c r="V436">
        <f t="shared" si="188"/>
        <v>21</v>
      </c>
      <c r="W436">
        <f t="shared" si="186"/>
        <v>5</v>
      </c>
      <c r="X436">
        <f t="shared" si="187"/>
        <v>2011</v>
      </c>
    </row>
    <row r="437" spans="1:24" ht="12" customHeight="1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206">C437+2</f>
        <v>40921</v>
      </c>
      <c r="V437">
        <f t="shared" si="188"/>
        <v>13</v>
      </c>
      <c r="W437">
        <f t="shared" si="186"/>
        <v>1</v>
      </c>
      <c r="X437">
        <f t="shared" si="187"/>
        <v>2012</v>
      </c>
    </row>
    <row r="438" spans="1:24" ht="12" customHeight="1">
      <c r="A438" s="4">
        <v>7286</v>
      </c>
      <c r="B438" s="4">
        <v>51971</v>
      </c>
      <c r="C438" s="5">
        <f t="shared" ref="C438:C439" si="207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206"/>
        <v>40821</v>
      </c>
      <c r="V438">
        <f t="shared" si="188"/>
        <v>5</v>
      </c>
      <c r="W438">
        <f t="shared" si="186"/>
        <v>10</v>
      </c>
      <c r="X438">
        <f t="shared" si="187"/>
        <v>2011</v>
      </c>
    </row>
    <row r="439" spans="1:24" ht="12" customHeight="1">
      <c r="A439" s="4">
        <v>7287</v>
      </c>
      <c r="B439" s="4">
        <v>51971</v>
      </c>
      <c r="C439" s="5">
        <f t="shared" si="207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206"/>
        <v>40821</v>
      </c>
      <c r="V439">
        <f t="shared" si="188"/>
        <v>5</v>
      </c>
      <c r="W439">
        <f t="shared" si="186"/>
        <v>10</v>
      </c>
      <c r="X439">
        <f t="shared" si="187"/>
        <v>2011</v>
      </c>
    </row>
    <row r="440" spans="1:24" ht="12" customHeight="1">
      <c r="A440" s="4">
        <v>7318</v>
      </c>
      <c r="B440" s="4">
        <v>52193</v>
      </c>
      <c r="C440" s="5">
        <f t="shared" ref="C440:C441" si="208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206"/>
        <v>40244</v>
      </c>
      <c r="V440">
        <f t="shared" si="188"/>
        <v>7</v>
      </c>
      <c r="W440">
        <f t="shared" si="186"/>
        <v>3</v>
      </c>
      <c r="X440">
        <f t="shared" si="187"/>
        <v>2010</v>
      </c>
    </row>
    <row r="441" spans="1:24" ht="12" customHeight="1">
      <c r="A441" s="4">
        <v>7319</v>
      </c>
      <c r="B441" s="4">
        <v>52193</v>
      </c>
      <c r="C441" s="5">
        <f t="shared" si="208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206"/>
        <v>40244</v>
      </c>
      <c r="V441">
        <f t="shared" si="188"/>
        <v>7</v>
      </c>
      <c r="W441">
        <f t="shared" si="186"/>
        <v>3</v>
      </c>
      <c r="X441">
        <f t="shared" si="187"/>
        <v>2010</v>
      </c>
    </row>
    <row r="442" spans="1:24" ht="12" customHeight="1">
      <c r="A442" s="4">
        <v>7343</v>
      </c>
      <c r="B442" s="4">
        <v>52321</v>
      </c>
      <c r="C442" s="5">
        <f t="shared" ref="C442:C443" si="209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206"/>
        <v>40854</v>
      </c>
      <c r="V442">
        <f t="shared" si="188"/>
        <v>7</v>
      </c>
      <c r="W442">
        <f t="shared" si="186"/>
        <v>11</v>
      </c>
      <c r="X442">
        <f t="shared" si="187"/>
        <v>2011</v>
      </c>
    </row>
    <row r="443" spans="1:24" ht="12" customHeight="1">
      <c r="A443" s="4">
        <v>7344</v>
      </c>
      <c r="B443" s="4">
        <v>52321</v>
      </c>
      <c r="C443" s="5">
        <f t="shared" si="209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  <c r="V443">
        <f t="shared" si="188"/>
        <v>5</v>
      </c>
      <c r="W443">
        <f t="shared" si="186"/>
        <v>11</v>
      </c>
      <c r="X443">
        <f t="shared" si="187"/>
        <v>2011</v>
      </c>
    </row>
    <row r="444" spans="1:24" ht="12" customHeight="1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210">C444+2</f>
        <v>39820</v>
      </c>
      <c r="V444">
        <f t="shared" si="188"/>
        <v>7</v>
      </c>
      <c r="W444">
        <f t="shared" si="186"/>
        <v>1</v>
      </c>
      <c r="X444">
        <f t="shared" si="187"/>
        <v>2009</v>
      </c>
    </row>
    <row r="445" spans="1:24" ht="12" customHeight="1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210"/>
        <v>40509</v>
      </c>
      <c r="V445">
        <f t="shared" si="188"/>
        <v>27</v>
      </c>
      <c r="W445">
        <f t="shared" si="186"/>
        <v>11</v>
      </c>
      <c r="X445">
        <f t="shared" si="187"/>
        <v>2010</v>
      </c>
    </row>
    <row r="446" spans="1:24" ht="12" customHeight="1">
      <c r="A446" s="4">
        <v>7419</v>
      </c>
      <c r="B446" s="4">
        <v>52929</v>
      </c>
      <c r="C446" s="5">
        <f t="shared" ref="C446:C449" si="211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212">C446+1</f>
        <v>40642</v>
      </c>
      <c r="V446">
        <f t="shared" si="188"/>
        <v>9</v>
      </c>
      <c r="W446">
        <f t="shared" si="186"/>
        <v>4</v>
      </c>
      <c r="X446">
        <f t="shared" si="187"/>
        <v>2011</v>
      </c>
    </row>
    <row r="447" spans="1:24" ht="12" customHeight="1">
      <c r="A447" s="4">
        <v>7420</v>
      </c>
      <c r="B447" s="4">
        <v>52929</v>
      </c>
      <c r="C447" s="5">
        <f t="shared" si="211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212"/>
        <v>40642</v>
      </c>
      <c r="V447">
        <f t="shared" si="188"/>
        <v>9</v>
      </c>
      <c r="W447">
        <f t="shared" si="186"/>
        <v>4</v>
      </c>
      <c r="X447">
        <f t="shared" si="187"/>
        <v>2011</v>
      </c>
    </row>
    <row r="448" spans="1:24" ht="12" customHeight="1">
      <c r="A448" s="4">
        <v>7421</v>
      </c>
      <c r="B448" s="4">
        <v>52929</v>
      </c>
      <c r="C448" s="5">
        <f t="shared" si="211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212"/>
        <v>40642</v>
      </c>
      <c r="V448">
        <f t="shared" si="188"/>
        <v>9</v>
      </c>
      <c r="W448">
        <f t="shared" si="186"/>
        <v>4</v>
      </c>
      <c r="X448">
        <f t="shared" si="187"/>
        <v>2011</v>
      </c>
    </row>
    <row r="449" spans="1:24" ht="12" customHeight="1">
      <c r="A449" s="4">
        <v>7422</v>
      </c>
      <c r="B449" s="4">
        <v>52929</v>
      </c>
      <c r="C449" s="5">
        <f t="shared" si="211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212"/>
        <v>40642</v>
      </c>
      <c r="V449">
        <f t="shared" si="188"/>
        <v>9</v>
      </c>
      <c r="W449">
        <f t="shared" si="186"/>
        <v>4</v>
      </c>
      <c r="X449">
        <f t="shared" si="187"/>
        <v>2011</v>
      </c>
    </row>
    <row r="450" spans="1:24" ht="12" customHeight="1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212"/>
        <v>40269</v>
      </c>
      <c r="V450">
        <f t="shared" si="188"/>
        <v>1</v>
      </c>
      <c r="W450">
        <f t="shared" si="186"/>
        <v>4</v>
      </c>
      <c r="X450">
        <f t="shared" si="187"/>
        <v>2010</v>
      </c>
    </row>
    <row r="451" spans="1:24" ht="12" customHeight="1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212"/>
        <v>40979</v>
      </c>
      <c r="V451">
        <f t="shared" si="188"/>
        <v>11</v>
      </c>
      <c r="W451">
        <f t="shared" ref="W451:W514" si="213">MONTH(U451)</f>
        <v>3</v>
      </c>
      <c r="X451">
        <f t="shared" ref="X451:X514" si="214">YEAR(U451)</f>
        <v>2012</v>
      </c>
    </row>
    <row r="452" spans="1:24" ht="12" customHeight="1">
      <c r="A452" s="4">
        <v>7500</v>
      </c>
      <c r="B452" s="4">
        <v>53511</v>
      </c>
      <c r="C452" s="5">
        <f t="shared" ref="C452:C453" si="215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  <c r="V452">
        <f t="shared" ref="V452:V515" si="216">DAY(U452)</f>
        <v>22</v>
      </c>
      <c r="W452">
        <f t="shared" si="213"/>
        <v>2</v>
      </c>
      <c r="X452">
        <f t="shared" si="214"/>
        <v>2009</v>
      </c>
    </row>
    <row r="453" spans="1:24" ht="12" customHeight="1">
      <c r="A453" s="4">
        <v>7501</v>
      </c>
      <c r="B453" s="4">
        <v>53511</v>
      </c>
      <c r="C453" s="5">
        <f t="shared" si="215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  <c r="V453">
        <f t="shared" si="216"/>
        <v>21</v>
      </c>
      <c r="W453">
        <f t="shared" si="213"/>
        <v>2</v>
      </c>
      <c r="X453">
        <f t="shared" si="214"/>
        <v>2009</v>
      </c>
    </row>
    <row r="454" spans="1:24" ht="12" customHeight="1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  <c r="V454">
        <f t="shared" si="216"/>
        <v>1</v>
      </c>
      <c r="W454">
        <f t="shared" si="213"/>
        <v>10</v>
      </c>
      <c r="X454">
        <f t="shared" si="214"/>
        <v>2009</v>
      </c>
    </row>
    <row r="455" spans="1:24" ht="12" customHeight="1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  <c r="V455">
        <f t="shared" si="216"/>
        <v>2</v>
      </c>
      <c r="W455">
        <f t="shared" si="213"/>
        <v>11</v>
      </c>
      <c r="X455">
        <f t="shared" si="214"/>
        <v>2012</v>
      </c>
    </row>
    <row r="456" spans="1:24" ht="12" customHeight="1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217">C456+2</f>
        <v>40747</v>
      </c>
      <c r="V456">
        <f t="shared" si="216"/>
        <v>23</v>
      </c>
      <c r="W456">
        <f t="shared" si="213"/>
        <v>7</v>
      </c>
      <c r="X456">
        <f t="shared" si="214"/>
        <v>2011</v>
      </c>
    </row>
    <row r="457" spans="1:24" ht="12" customHeight="1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217"/>
        <v>40507</v>
      </c>
      <c r="V457">
        <f t="shared" si="216"/>
        <v>25</v>
      </c>
      <c r="W457">
        <f t="shared" si="213"/>
        <v>11</v>
      </c>
      <c r="X457">
        <f t="shared" si="214"/>
        <v>2010</v>
      </c>
    </row>
    <row r="458" spans="1:24" ht="12" customHeight="1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  <c r="V458">
        <f t="shared" si="216"/>
        <v>7</v>
      </c>
      <c r="W458">
        <f t="shared" si="213"/>
        <v>2</v>
      </c>
      <c r="X458">
        <f t="shared" si="214"/>
        <v>2010</v>
      </c>
    </row>
    <row r="459" spans="1:24" ht="12" customHeight="1">
      <c r="A459" s="4">
        <v>7620</v>
      </c>
      <c r="B459" s="4">
        <v>54528</v>
      </c>
      <c r="C459" s="5">
        <f t="shared" ref="C459:C460" si="218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219">C459+2</f>
        <v>40549</v>
      </c>
      <c r="V459">
        <f t="shared" si="216"/>
        <v>6</v>
      </c>
      <c r="W459">
        <f t="shared" si="213"/>
        <v>1</v>
      </c>
      <c r="X459">
        <f t="shared" si="214"/>
        <v>2011</v>
      </c>
    </row>
    <row r="460" spans="1:24" ht="12" customHeight="1">
      <c r="A460" s="4">
        <v>7621</v>
      </c>
      <c r="B460" s="4">
        <v>54528</v>
      </c>
      <c r="C460" s="5">
        <f t="shared" si="218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219"/>
        <v>40549</v>
      </c>
      <c r="V460">
        <f t="shared" si="216"/>
        <v>6</v>
      </c>
      <c r="W460">
        <f t="shared" si="213"/>
        <v>1</v>
      </c>
      <c r="X460">
        <f t="shared" si="214"/>
        <v>2011</v>
      </c>
    </row>
    <row r="461" spans="1:24" ht="12" customHeight="1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219"/>
        <v>40029</v>
      </c>
      <c r="V461">
        <f t="shared" si="216"/>
        <v>4</v>
      </c>
      <c r="W461">
        <f t="shared" si="213"/>
        <v>8</v>
      </c>
      <c r="X461">
        <f t="shared" si="214"/>
        <v>2009</v>
      </c>
    </row>
    <row r="462" spans="1:24" ht="12" customHeight="1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220">C462+1</f>
        <v>40335</v>
      </c>
      <c r="V462">
        <f t="shared" si="216"/>
        <v>6</v>
      </c>
      <c r="W462">
        <f t="shared" si="213"/>
        <v>6</v>
      </c>
      <c r="X462">
        <f t="shared" si="214"/>
        <v>2010</v>
      </c>
    </row>
    <row r="463" spans="1:24" ht="12" customHeight="1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220"/>
        <v>40028</v>
      </c>
      <c r="V463">
        <f t="shared" si="216"/>
        <v>3</v>
      </c>
      <c r="W463">
        <f t="shared" si="213"/>
        <v>8</v>
      </c>
      <c r="X463">
        <f t="shared" si="214"/>
        <v>2009</v>
      </c>
    </row>
    <row r="464" spans="1:24" ht="12" customHeight="1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  <c r="V464">
        <f t="shared" si="216"/>
        <v>30</v>
      </c>
      <c r="W464">
        <f t="shared" si="213"/>
        <v>12</v>
      </c>
      <c r="X464">
        <f t="shared" si="214"/>
        <v>2010</v>
      </c>
    </row>
    <row r="465" spans="1:24" ht="12" customHeight="1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  <c r="V465">
        <f t="shared" si="216"/>
        <v>11</v>
      </c>
      <c r="W465">
        <f t="shared" si="213"/>
        <v>10</v>
      </c>
      <c r="X465">
        <f t="shared" si="214"/>
        <v>2012</v>
      </c>
    </row>
    <row r="466" spans="1:24" ht="12" customHeight="1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  <c r="V466">
        <f t="shared" si="216"/>
        <v>4</v>
      </c>
      <c r="W466">
        <f t="shared" si="213"/>
        <v>4</v>
      </c>
      <c r="X466">
        <f t="shared" si="214"/>
        <v>2011</v>
      </c>
    </row>
    <row r="467" spans="1:24" ht="12" customHeight="1">
      <c r="A467" s="4">
        <v>7813</v>
      </c>
      <c r="B467" s="4">
        <v>55875</v>
      </c>
      <c r="C467" s="5">
        <f t="shared" ref="C467:C468" si="221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  <c r="V467">
        <f t="shared" si="216"/>
        <v>28</v>
      </c>
      <c r="W467">
        <f t="shared" si="213"/>
        <v>11</v>
      </c>
      <c r="X467">
        <f t="shared" si="214"/>
        <v>2009</v>
      </c>
    </row>
    <row r="468" spans="1:24" ht="12" customHeight="1">
      <c r="A468" s="4">
        <v>7814</v>
      </c>
      <c r="B468" s="4">
        <v>55875</v>
      </c>
      <c r="C468" s="5">
        <f t="shared" si="221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  <c r="V468">
        <f t="shared" si="216"/>
        <v>25</v>
      </c>
      <c r="W468">
        <f t="shared" si="213"/>
        <v>11</v>
      </c>
      <c r="X468">
        <f t="shared" si="214"/>
        <v>2009</v>
      </c>
    </row>
    <row r="469" spans="1:24" ht="12" customHeight="1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  <c r="V469">
        <f t="shared" si="216"/>
        <v>12</v>
      </c>
      <c r="W469">
        <f t="shared" si="213"/>
        <v>4</v>
      </c>
      <c r="X469">
        <f t="shared" si="214"/>
        <v>2012</v>
      </c>
    </row>
    <row r="470" spans="1:24" ht="12" customHeight="1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222">C470+2</f>
        <v>40227</v>
      </c>
      <c r="V470">
        <f t="shared" si="216"/>
        <v>18</v>
      </c>
      <c r="W470">
        <f t="shared" si="213"/>
        <v>2</v>
      </c>
      <c r="X470">
        <f t="shared" si="214"/>
        <v>2010</v>
      </c>
    </row>
    <row r="471" spans="1:24" ht="12" customHeight="1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222"/>
        <v>40447</v>
      </c>
      <c r="V471">
        <f t="shared" si="216"/>
        <v>26</v>
      </c>
      <c r="W471">
        <f t="shared" si="213"/>
        <v>9</v>
      </c>
      <c r="X471">
        <f t="shared" si="214"/>
        <v>2010</v>
      </c>
    </row>
    <row r="472" spans="1:24" ht="12" customHeight="1">
      <c r="A472" s="4">
        <v>8057</v>
      </c>
      <c r="B472" s="4">
        <v>57509</v>
      </c>
      <c r="C472" s="5">
        <f t="shared" ref="C472:C473" si="223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  <c r="V472">
        <f t="shared" si="216"/>
        <v>21</v>
      </c>
      <c r="W472">
        <f t="shared" si="213"/>
        <v>2</v>
      </c>
      <c r="X472">
        <f t="shared" si="214"/>
        <v>2009</v>
      </c>
    </row>
    <row r="473" spans="1:24" ht="12" customHeight="1">
      <c r="A473" s="4">
        <v>8058</v>
      </c>
      <c r="B473" s="4">
        <v>57509</v>
      </c>
      <c r="C473" s="5">
        <f t="shared" si="223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  <c r="V473">
        <f t="shared" si="216"/>
        <v>26</v>
      </c>
      <c r="W473">
        <f t="shared" si="213"/>
        <v>2</v>
      </c>
      <c r="X473">
        <f t="shared" si="214"/>
        <v>2009</v>
      </c>
    </row>
    <row r="474" spans="1:24" ht="12" customHeight="1">
      <c r="A474" s="4">
        <v>8073</v>
      </c>
      <c r="B474" s="4">
        <v>57600</v>
      </c>
      <c r="C474" s="5">
        <f t="shared" ref="C474:C476" si="224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25">C474+2</f>
        <v>41226</v>
      </c>
      <c r="V474">
        <f t="shared" si="216"/>
        <v>13</v>
      </c>
      <c r="W474">
        <f t="shared" si="213"/>
        <v>11</v>
      </c>
      <c r="X474">
        <f t="shared" si="214"/>
        <v>2012</v>
      </c>
    </row>
    <row r="475" spans="1:24" ht="12" customHeight="1">
      <c r="A475" s="4">
        <v>8074</v>
      </c>
      <c r="B475" s="4">
        <v>57600</v>
      </c>
      <c r="C475" s="5">
        <f t="shared" si="224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25"/>
        <v>41226</v>
      </c>
      <c r="V475">
        <f t="shared" si="216"/>
        <v>13</v>
      </c>
      <c r="W475">
        <f t="shared" si="213"/>
        <v>11</v>
      </c>
      <c r="X475">
        <f t="shared" si="214"/>
        <v>2012</v>
      </c>
    </row>
    <row r="476" spans="1:24" ht="12" customHeight="1">
      <c r="A476" s="4">
        <v>8075</v>
      </c>
      <c r="B476" s="4">
        <v>57600</v>
      </c>
      <c r="C476" s="5">
        <f t="shared" si="224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25"/>
        <v>41226</v>
      </c>
      <c r="V476">
        <f t="shared" si="216"/>
        <v>13</v>
      </c>
      <c r="W476">
        <f t="shared" si="213"/>
        <v>11</v>
      </c>
      <c r="X476">
        <f t="shared" si="214"/>
        <v>2012</v>
      </c>
    </row>
    <row r="477" spans="1:24" ht="12" customHeight="1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25"/>
        <v>40845</v>
      </c>
      <c r="V477">
        <f t="shared" si="216"/>
        <v>29</v>
      </c>
      <c r="W477">
        <f t="shared" si="213"/>
        <v>10</v>
      </c>
      <c r="X477">
        <f t="shared" si="214"/>
        <v>2011</v>
      </c>
    </row>
    <row r="478" spans="1:24" ht="12" customHeight="1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  <c r="V478">
        <f t="shared" si="216"/>
        <v>23</v>
      </c>
      <c r="W478">
        <f t="shared" si="213"/>
        <v>12</v>
      </c>
      <c r="X478">
        <f t="shared" si="214"/>
        <v>2009</v>
      </c>
    </row>
    <row r="479" spans="1:24" ht="12" customHeight="1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  <c r="V479">
        <f t="shared" si="216"/>
        <v>7</v>
      </c>
      <c r="W479">
        <f t="shared" si="213"/>
        <v>5</v>
      </c>
      <c r="X479">
        <f t="shared" si="214"/>
        <v>2010</v>
      </c>
    </row>
    <row r="480" spans="1:24" ht="12" customHeight="1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  <c r="V480">
        <f t="shared" si="216"/>
        <v>9</v>
      </c>
      <c r="W480">
        <f t="shared" si="213"/>
        <v>1</v>
      </c>
      <c r="X480">
        <f t="shared" si="214"/>
        <v>2011</v>
      </c>
    </row>
    <row r="481" spans="1:24" ht="12" customHeight="1">
      <c r="A481" s="4">
        <v>8162</v>
      </c>
      <c r="B481" s="4">
        <v>58368</v>
      </c>
      <c r="C481" s="5">
        <f t="shared" ref="C481:C483" si="226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  <c r="V481">
        <f t="shared" si="216"/>
        <v>11</v>
      </c>
      <c r="W481">
        <f t="shared" si="213"/>
        <v>7</v>
      </c>
      <c r="X481">
        <f t="shared" si="214"/>
        <v>2012</v>
      </c>
    </row>
    <row r="482" spans="1:24" ht="12" customHeight="1">
      <c r="A482" s="4">
        <v>8163</v>
      </c>
      <c r="B482" s="4">
        <v>58368</v>
      </c>
      <c r="C482" s="5">
        <f t="shared" si="226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  <c r="V482">
        <f t="shared" si="216"/>
        <v>10</v>
      </c>
      <c r="W482">
        <f t="shared" si="213"/>
        <v>7</v>
      </c>
      <c r="X482">
        <f t="shared" si="214"/>
        <v>2012</v>
      </c>
    </row>
    <row r="483" spans="1:24" ht="12" customHeight="1">
      <c r="A483" s="4">
        <v>8164</v>
      </c>
      <c r="B483" s="4">
        <v>58368</v>
      </c>
      <c r="C483" s="5">
        <f t="shared" si="226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  <c r="V483">
        <f t="shared" si="216"/>
        <v>9</v>
      </c>
      <c r="W483">
        <f t="shared" si="213"/>
        <v>7</v>
      </c>
      <c r="X483">
        <f t="shared" si="214"/>
        <v>2012</v>
      </c>
    </row>
    <row r="484" spans="1:24" ht="12" customHeight="1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  <c r="V484">
        <f t="shared" si="216"/>
        <v>10</v>
      </c>
      <c r="W484">
        <f t="shared" si="213"/>
        <v>3</v>
      </c>
      <c r="X484">
        <f t="shared" si="214"/>
        <v>2009</v>
      </c>
    </row>
    <row r="485" spans="1:24" ht="12" customHeight="1">
      <c r="A485" s="4">
        <v>8197</v>
      </c>
      <c r="B485" s="4">
        <v>58626</v>
      </c>
      <c r="C485" s="5">
        <f t="shared" ref="C485:C487" si="227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  <c r="V485">
        <f t="shared" si="216"/>
        <v>1</v>
      </c>
      <c r="W485">
        <f t="shared" si="213"/>
        <v>1</v>
      </c>
      <c r="X485">
        <f t="shared" si="214"/>
        <v>2012</v>
      </c>
    </row>
    <row r="486" spans="1:24" ht="12" customHeight="1">
      <c r="A486" s="4">
        <v>8198</v>
      </c>
      <c r="B486" s="4">
        <v>58626</v>
      </c>
      <c r="C486" s="5">
        <f t="shared" si="227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  <c r="V486">
        <f t="shared" si="216"/>
        <v>2</v>
      </c>
      <c r="W486">
        <f t="shared" si="213"/>
        <v>1</v>
      </c>
      <c r="X486">
        <f t="shared" si="214"/>
        <v>2012</v>
      </c>
    </row>
    <row r="487" spans="1:24" ht="12" customHeight="1">
      <c r="A487" s="4">
        <v>8199</v>
      </c>
      <c r="B487" s="4">
        <v>58626</v>
      </c>
      <c r="C487" s="5">
        <f t="shared" si="227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  <c r="V487">
        <f t="shared" si="216"/>
        <v>31</v>
      </c>
      <c r="W487">
        <f t="shared" si="213"/>
        <v>12</v>
      </c>
      <c r="X487">
        <f t="shared" si="214"/>
        <v>2011</v>
      </c>
    </row>
    <row r="488" spans="1:24" ht="12" customHeight="1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28">C488+2</f>
        <v>39903</v>
      </c>
      <c r="V488">
        <f t="shared" si="216"/>
        <v>31</v>
      </c>
      <c r="W488">
        <f t="shared" si="213"/>
        <v>3</v>
      </c>
      <c r="X488">
        <f t="shared" si="214"/>
        <v>2009</v>
      </c>
    </row>
    <row r="489" spans="1:24" ht="12" customHeight="1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28"/>
        <v>40589</v>
      </c>
      <c r="V489">
        <f t="shared" si="216"/>
        <v>15</v>
      </c>
      <c r="W489">
        <f t="shared" si="213"/>
        <v>2</v>
      </c>
      <c r="X489">
        <f t="shared" si="214"/>
        <v>2011</v>
      </c>
    </row>
    <row r="490" spans="1:24" ht="12" customHeight="1">
      <c r="A490" s="4">
        <v>8257</v>
      </c>
      <c r="B490" s="4">
        <v>59047</v>
      </c>
      <c r="C490" s="5">
        <f t="shared" ref="C490:C491" si="229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  <c r="V490">
        <f t="shared" si="216"/>
        <v>28</v>
      </c>
      <c r="W490">
        <f t="shared" si="213"/>
        <v>1</v>
      </c>
      <c r="X490">
        <f t="shared" si="214"/>
        <v>2011</v>
      </c>
    </row>
    <row r="491" spans="1:24" ht="12" customHeight="1">
      <c r="A491" s="4">
        <v>8258</v>
      </c>
      <c r="B491" s="4">
        <v>59047</v>
      </c>
      <c r="C491" s="5">
        <f t="shared" si="229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  <c r="V491">
        <f t="shared" si="216"/>
        <v>30</v>
      </c>
      <c r="W491">
        <f t="shared" si="213"/>
        <v>1</v>
      </c>
      <c r="X491">
        <f t="shared" si="214"/>
        <v>2011</v>
      </c>
    </row>
    <row r="492" spans="1:24" ht="12" customHeight="1">
      <c r="A492" s="4">
        <v>8282</v>
      </c>
      <c r="B492" s="4">
        <v>59202</v>
      </c>
      <c r="C492" s="5">
        <f t="shared" ref="C492:C493" si="230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  <c r="V492">
        <f t="shared" si="216"/>
        <v>8</v>
      </c>
      <c r="W492">
        <f t="shared" si="213"/>
        <v>9</v>
      </c>
      <c r="X492">
        <f t="shared" si="214"/>
        <v>2012</v>
      </c>
    </row>
    <row r="493" spans="1:24" ht="12" customHeight="1">
      <c r="A493" s="4">
        <v>8283</v>
      </c>
      <c r="B493" s="4">
        <v>59202</v>
      </c>
      <c r="C493" s="5">
        <f t="shared" si="230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  <c r="V493">
        <f t="shared" si="216"/>
        <v>9</v>
      </c>
      <c r="W493">
        <f t="shared" si="213"/>
        <v>9</v>
      </c>
      <c r="X493">
        <f t="shared" si="214"/>
        <v>2012</v>
      </c>
    </row>
    <row r="494" spans="1:24" ht="12" customHeight="1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  <c r="V494">
        <f t="shared" si="216"/>
        <v>18</v>
      </c>
      <c r="W494">
        <f t="shared" si="213"/>
        <v>5</v>
      </c>
      <c r="X494">
        <f t="shared" si="214"/>
        <v>2009</v>
      </c>
    </row>
    <row r="495" spans="1:24" ht="12" customHeight="1">
      <c r="A495" s="4">
        <v>8294</v>
      </c>
      <c r="B495" s="4">
        <v>59234</v>
      </c>
      <c r="C495" s="5">
        <f t="shared" ref="C495:C496" si="231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  <c r="V495">
        <f t="shared" si="216"/>
        <v>2</v>
      </c>
      <c r="W495">
        <f t="shared" si="213"/>
        <v>8</v>
      </c>
      <c r="X495">
        <f t="shared" si="214"/>
        <v>2012</v>
      </c>
    </row>
    <row r="496" spans="1:24" ht="12" customHeight="1">
      <c r="A496" s="4">
        <v>8295</v>
      </c>
      <c r="B496" s="4">
        <v>59234</v>
      </c>
      <c r="C496" s="5">
        <f t="shared" si="231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  <c r="V496">
        <f t="shared" si="216"/>
        <v>3</v>
      </c>
      <c r="W496">
        <f t="shared" si="213"/>
        <v>8</v>
      </c>
      <c r="X496">
        <f t="shared" si="214"/>
        <v>2012</v>
      </c>
    </row>
    <row r="497" spans="1:24" ht="12" customHeight="1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  <c r="V497">
        <f t="shared" si="216"/>
        <v>24</v>
      </c>
      <c r="W497">
        <f t="shared" si="213"/>
        <v>4</v>
      </c>
      <c r="X497">
        <f t="shared" si="214"/>
        <v>2012</v>
      </c>
    </row>
    <row r="498" spans="1:24" ht="12" customHeight="1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  <c r="V498">
        <f t="shared" si="216"/>
        <v>19</v>
      </c>
      <c r="W498">
        <f t="shared" si="213"/>
        <v>7</v>
      </c>
      <c r="X498">
        <f t="shared" si="214"/>
        <v>2012</v>
      </c>
    </row>
    <row r="499" spans="1:24" ht="12" customHeight="1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  <c r="V499">
        <f t="shared" si="216"/>
        <v>23</v>
      </c>
      <c r="W499">
        <f t="shared" si="213"/>
        <v>9</v>
      </c>
      <c r="X499">
        <f t="shared" si="214"/>
        <v>2012</v>
      </c>
    </row>
    <row r="500" spans="1:24" ht="12" customHeight="1">
      <c r="A500" s="4">
        <v>8344</v>
      </c>
      <c r="B500" s="4">
        <v>59651</v>
      </c>
      <c r="C500" s="5">
        <f t="shared" ref="C500:C501" si="232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33">C500+2</f>
        <v>40320</v>
      </c>
      <c r="V500">
        <f t="shared" si="216"/>
        <v>22</v>
      </c>
      <c r="W500">
        <f t="shared" si="213"/>
        <v>5</v>
      </c>
      <c r="X500">
        <f t="shared" si="214"/>
        <v>2010</v>
      </c>
    </row>
    <row r="501" spans="1:24" ht="12" customHeight="1">
      <c r="A501" s="4">
        <v>8345</v>
      </c>
      <c r="B501" s="4">
        <v>59651</v>
      </c>
      <c r="C501" s="5">
        <f t="shared" si="232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33"/>
        <v>40320</v>
      </c>
      <c r="V501">
        <f t="shared" si="216"/>
        <v>22</v>
      </c>
      <c r="W501">
        <f t="shared" si="213"/>
        <v>5</v>
      </c>
      <c r="X501">
        <f t="shared" si="214"/>
        <v>2010</v>
      </c>
    </row>
    <row r="502" spans="1:24" ht="12" customHeight="1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33"/>
        <v>40151</v>
      </c>
      <c r="V502">
        <f t="shared" si="216"/>
        <v>4</v>
      </c>
      <c r="W502">
        <f t="shared" si="213"/>
        <v>12</v>
      </c>
      <c r="X502">
        <f t="shared" si="214"/>
        <v>2009</v>
      </c>
    </row>
    <row r="503" spans="1:24" ht="12" customHeight="1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34">C503+1</f>
        <v>40331</v>
      </c>
      <c r="V503">
        <f t="shared" si="216"/>
        <v>2</v>
      </c>
      <c r="W503">
        <f t="shared" si="213"/>
        <v>6</v>
      </c>
      <c r="X503">
        <f t="shared" si="214"/>
        <v>2010</v>
      </c>
    </row>
    <row r="504" spans="1:24" ht="12" customHeight="1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34"/>
        <v>40447</v>
      </c>
      <c r="V504">
        <f t="shared" si="216"/>
        <v>26</v>
      </c>
      <c r="W504">
        <f t="shared" si="213"/>
        <v>9</v>
      </c>
      <c r="X504">
        <f t="shared" si="214"/>
        <v>2010</v>
      </c>
    </row>
    <row r="505" spans="1:24" ht="12" customHeight="1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34"/>
        <v>41233</v>
      </c>
      <c r="V505">
        <f t="shared" si="216"/>
        <v>20</v>
      </c>
      <c r="W505">
        <f t="shared" si="213"/>
        <v>11</v>
      </c>
      <c r="X505">
        <f t="shared" si="214"/>
        <v>2012</v>
      </c>
    </row>
    <row r="506" spans="1:24" ht="12" customHeight="1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35">C506+2</f>
        <v>40528</v>
      </c>
      <c r="V506">
        <f t="shared" si="216"/>
        <v>16</v>
      </c>
      <c r="W506">
        <f t="shared" si="213"/>
        <v>12</v>
      </c>
      <c r="X506">
        <f t="shared" si="214"/>
        <v>2010</v>
      </c>
    </row>
    <row r="507" spans="1:24" ht="12" customHeight="1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35"/>
        <v>41209</v>
      </c>
      <c r="V507">
        <f t="shared" si="216"/>
        <v>27</v>
      </c>
      <c r="W507">
        <f t="shared" si="213"/>
        <v>10</v>
      </c>
      <c r="X507">
        <f t="shared" si="214"/>
        <v>2012</v>
      </c>
    </row>
    <row r="508" spans="1:24" ht="12" customHeight="1">
      <c r="A508" s="4">
        <v>587</v>
      </c>
      <c r="B508" s="4">
        <v>4007</v>
      </c>
      <c r="C508" s="5">
        <f t="shared" ref="C508:C509" si="236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37">C508+1</f>
        <v>40347</v>
      </c>
      <c r="V508">
        <f t="shared" si="216"/>
        <v>18</v>
      </c>
      <c r="W508">
        <f t="shared" si="213"/>
        <v>6</v>
      </c>
      <c r="X508">
        <f t="shared" si="214"/>
        <v>2010</v>
      </c>
    </row>
    <row r="509" spans="1:24" ht="12" customHeight="1">
      <c r="A509" s="4">
        <v>588</v>
      </c>
      <c r="B509" s="4">
        <v>4007</v>
      </c>
      <c r="C509" s="5">
        <f t="shared" si="236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37"/>
        <v>40347</v>
      </c>
      <c r="V509">
        <f t="shared" si="216"/>
        <v>18</v>
      </c>
      <c r="W509">
        <f t="shared" si="213"/>
        <v>6</v>
      </c>
      <c r="X509">
        <f t="shared" si="214"/>
        <v>2010</v>
      </c>
    </row>
    <row r="510" spans="1:24" ht="12" customHeight="1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  <c r="V510">
        <f t="shared" si="216"/>
        <v>3</v>
      </c>
      <c r="W510">
        <f t="shared" si="213"/>
        <v>7</v>
      </c>
      <c r="X510">
        <f t="shared" si="214"/>
        <v>2012</v>
      </c>
    </row>
    <row r="511" spans="1:24" ht="12" customHeight="1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  <c r="V511">
        <f t="shared" si="216"/>
        <v>6</v>
      </c>
      <c r="W511">
        <f t="shared" si="213"/>
        <v>2</v>
      </c>
      <c r="X511">
        <f t="shared" si="214"/>
        <v>2009</v>
      </c>
    </row>
    <row r="512" spans="1:24" ht="12" customHeight="1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  <c r="V512">
        <f t="shared" si="216"/>
        <v>27</v>
      </c>
      <c r="W512">
        <f t="shared" si="213"/>
        <v>8</v>
      </c>
      <c r="X512">
        <f t="shared" si="214"/>
        <v>2011</v>
      </c>
    </row>
    <row r="513" spans="1:24" ht="12" customHeight="1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  <c r="V513">
        <f t="shared" si="216"/>
        <v>27</v>
      </c>
      <c r="W513">
        <f t="shared" si="213"/>
        <v>6</v>
      </c>
      <c r="X513">
        <f t="shared" si="214"/>
        <v>2009</v>
      </c>
    </row>
    <row r="514" spans="1:24" ht="12" customHeight="1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  <c r="V514">
        <f t="shared" si="216"/>
        <v>3</v>
      </c>
      <c r="W514">
        <f t="shared" si="213"/>
        <v>5</v>
      </c>
      <c r="X514">
        <f t="shared" si="214"/>
        <v>2010</v>
      </c>
    </row>
    <row r="515" spans="1:24" ht="12" customHeight="1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  <c r="V515">
        <f t="shared" si="216"/>
        <v>9</v>
      </c>
      <c r="W515">
        <f t="shared" ref="W515:W578" si="238">MONTH(U515)</f>
        <v>4</v>
      </c>
      <c r="X515">
        <f t="shared" ref="X515:X578" si="239">YEAR(U515)</f>
        <v>2009</v>
      </c>
    </row>
    <row r="516" spans="1:24" ht="12" customHeight="1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  <c r="V516">
        <f t="shared" ref="V516:V579" si="240">DAY(U516)</f>
        <v>11</v>
      </c>
      <c r="W516">
        <f t="shared" si="238"/>
        <v>9</v>
      </c>
      <c r="X516">
        <f t="shared" si="239"/>
        <v>2011</v>
      </c>
    </row>
    <row r="517" spans="1:24" ht="12" customHeight="1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41">C517+2</f>
        <v>40649</v>
      </c>
      <c r="V517">
        <f t="shared" si="240"/>
        <v>16</v>
      </c>
      <c r="W517">
        <f t="shared" si="238"/>
        <v>4</v>
      </c>
      <c r="X517">
        <f t="shared" si="239"/>
        <v>2011</v>
      </c>
    </row>
    <row r="518" spans="1:24" ht="12" customHeight="1">
      <c r="A518" s="4">
        <v>1302</v>
      </c>
      <c r="B518" s="4">
        <v>9537</v>
      </c>
      <c r="C518" s="5">
        <f t="shared" ref="C518:C519" si="242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41"/>
        <v>40589</v>
      </c>
      <c r="V518">
        <f t="shared" si="240"/>
        <v>15</v>
      </c>
      <c r="W518">
        <f t="shared" si="238"/>
        <v>2</v>
      </c>
      <c r="X518">
        <f t="shared" si="239"/>
        <v>2011</v>
      </c>
    </row>
    <row r="519" spans="1:24" ht="12" customHeight="1">
      <c r="A519" s="4">
        <v>1303</v>
      </c>
      <c r="B519" s="4">
        <v>9537</v>
      </c>
      <c r="C519" s="5">
        <f t="shared" si="242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41"/>
        <v>40589</v>
      </c>
      <c r="V519">
        <f t="shared" si="240"/>
        <v>15</v>
      </c>
      <c r="W519">
        <f t="shared" si="238"/>
        <v>2</v>
      </c>
      <c r="X519">
        <f t="shared" si="239"/>
        <v>2011</v>
      </c>
    </row>
    <row r="520" spans="1:24" ht="12" customHeight="1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  <c r="V520">
        <f t="shared" si="240"/>
        <v>31</v>
      </c>
      <c r="W520">
        <f t="shared" si="238"/>
        <v>7</v>
      </c>
      <c r="X520">
        <f t="shared" si="239"/>
        <v>2011</v>
      </c>
    </row>
    <row r="521" spans="1:24" ht="12" customHeight="1">
      <c r="A521" s="4">
        <v>1442</v>
      </c>
      <c r="B521" s="4">
        <v>10435</v>
      </c>
      <c r="C521" s="5">
        <f t="shared" ref="C521:C522" si="243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  <c r="V521">
        <f t="shared" si="240"/>
        <v>12</v>
      </c>
      <c r="W521">
        <f t="shared" si="238"/>
        <v>8</v>
      </c>
      <c r="X521">
        <f t="shared" si="239"/>
        <v>2010</v>
      </c>
    </row>
    <row r="522" spans="1:24" ht="12" customHeight="1">
      <c r="A522" s="4">
        <v>1443</v>
      </c>
      <c r="B522" s="4">
        <v>10435</v>
      </c>
      <c r="C522" s="5">
        <f t="shared" si="243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  <c r="V522">
        <f t="shared" si="240"/>
        <v>11</v>
      </c>
      <c r="W522">
        <f t="shared" si="238"/>
        <v>8</v>
      </c>
      <c r="X522">
        <f t="shared" si="239"/>
        <v>2010</v>
      </c>
    </row>
    <row r="523" spans="1:24" ht="12" customHeight="1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  <c r="V523">
        <f t="shared" si="240"/>
        <v>6</v>
      </c>
      <c r="W523">
        <f t="shared" si="238"/>
        <v>4</v>
      </c>
      <c r="X523">
        <f t="shared" si="239"/>
        <v>2009</v>
      </c>
    </row>
    <row r="524" spans="1:24" ht="12" customHeight="1">
      <c r="A524" s="4">
        <v>1503</v>
      </c>
      <c r="B524" s="4">
        <v>10852</v>
      </c>
      <c r="C524" s="5">
        <f t="shared" ref="C524:C525" si="244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  <c r="V524">
        <f t="shared" si="240"/>
        <v>28</v>
      </c>
      <c r="W524">
        <f t="shared" si="238"/>
        <v>10</v>
      </c>
      <c r="X524">
        <f t="shared" si="239"/>
        <v>2010</v>
      </c>
    </row>
    <row r="525" spans="1:24" ht="12" customHeight="1">
      <c r="A525" s="4">
        <v>1504</v>
      </c>
      <c r="B525" s="4">
        <v>10852</v>
      </c>
      <c r="C525" s="5">
        <f t="shared" si="244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  <c r="V525">
        <f t="shared" si="240"/>
        <v>27</v>
      </c>
      <c r="W525">
        <f t="shared" si="238"/>
        <v>10</v>
      </c>
      <c r="X525">
        <f t="shared" si="239"/>
        <v>2010</v>
      </c>
    </row>
    <row r="526" spans="1:24" ht="12" customHeight="1">
      <c r="A526" s="4">
        <v>1560</v>
      </c>
      <c r="B526" s="4">
        <v>11269</v>
      </c>
      <c r="C526" s="5">
        <f t="shared" ref="C526:C528" si="245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  <c r="V526">
        <f t="shared" si="240"/>
        <v>30</v>
      </c>
      <c r="W526">
        <f t="shared" si="238"/>
        <v>5</v>
      </c>
      <c r="X526">
        <f t="shared" si="239"/>
        <v>2012</v>
      </c>
    </row>
    <row r="527" spans="1:24" ht="12" customHeight="1">
      <c r="A527" s="4">
        <v>1561</v>
      </c>
      <c r="B527" s="4">
        <v>11269</v>
      </c>
      <c r="C527" s="5">
        <f t="shared" si="245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46">C527+7</f>
        <v>41062</v>
      </c>
      <c r="V527">
        <f t="shared" si="240"/>
        <v>2</v>
      </c>
      <c r="W527">
        <f t="shared" si="238"/>
        <v>6</v>
      </c>
      <c r="X527">
        <f t="shared" si="239"/>
        <v>2012</v>
      </c>
    </row>
    <row r="528" spans="1:24" ht="12" customHeight="1">
      <c r="A528" s="4">
        <v>1562</v>
      </c>
      <c r="B528" s="4">
        <v>11269</v>
      </c>
      <c r="C528" s="5">
        <f t="shared" si="245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46"/>
        <v>41062</v>
      </c>
      <c r="V528">
        <f t="shared" si="240"/>
        <v>2</v>
      </c>
      <c r="W528">
        <f t="shared" si="238"/>
        <v>6</v>
      </c>
      <c r="X528">
        <f t="shared" si="239"/>
        <v>2012</v>
      </c>
    </row>
    <row r="529" spans="1:24" ht="12" customHeight="1">
      <c r="A529" s="4">
        <v>1571</v>
      </c>
      <c r="B529" s="4">
        <v>11362</v>
      </c>
      <c r="C529" s="5">
        <f t="shared" ref="C529:C532" si="247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48">C529+2</f>
        <v>41164</v>
      </c>
      <c r="V529">
        <f t="shared" si="240"/>
        <v>12</v>
      </c>
      <c r="W529">
        <f t="shared" si="238"/>
        <v>9</v>
      </c>
      <c r="X529">
        <f t="shared" si="239"/>
        <v>2012</v>
      </c>
    </row>
    <row r="530" spans="1:24" ht="12" customHeight="1">
      <c r="A530" s="4">
        <v>1572</v>
      </c>
      <c r="B530" s="4">
        <v>11362</v>
      </c>
      <c r="C530" s="5">
        <f t="shared" si="247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48"/>
        <v>41164</v>
      </c>
      <c r="V530">
        <f t="shared" si="240"/>
        <v>12</v>
      </c>
      <c r="W530">
        <f t="shared" si="238"/>
        <v>9</v>
      </c>
      <c r="X530">
        <f t="shared" si="239"/>
        <v>2012</v>
      </c>
    </row>
    <row r="531" spans="1:24" ht="12" customHeight="1">
      <c r="A531" s="4">
        <v>1573</v>
      </c>
      <c r="B531" s="4">
        <v>11362</v>
      </c>
      <c r="C531" s="5">
        <f t="shared" si="247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  <c r="V531">
        <f t="shared" si="240"/>
        <v>15</v>
      </c>
      <c r="W531">
        <f t="shared" si="238"/>
        <v>9</v>
      </c>
      <c r="X531">
        <f t="shared" si="239"/>
        <v>2012</v>
      </c>
    </row>
    <row r="532" spans="1:24" ht="12" customHeight="1">
      <c r="A532" s="4">
        <v>1574</v>
      </c>
      <c r="B532" s="4">
        <v>11362</v>
      </c>
      <c r="C532" s="5">
        <f t="shared" si="247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  <c r="V532">
        <f t="shared" si="240"/>
        <v>14</v>
      </c>
      <c r="W532">
        <f t="shared" si="238"/>
        <v>9</v>
      </c>
      <c r="X532">
        <f t="shared" si="239"/>
        <v>2012</v>
      </c>
    </row>
    <row r="533" spans="1:24" ht="12" customHeight="1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  <c r="V533">
        <f t="shared" si="240"/>
        <v>16</v>
      </c>
      <c r="W533">
        <f t="shared" si="238"/>
        <v>3</v>
      </c>
      <c r="X533">
        <f t="shared" si="239"/>
        <v>2011</v>
      </c>
    </row>
    <row r="534" spans="1:24" ht="12" customHeight="1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  <c r="V534">
        <f t="shared" si="240"/>
        <v>19</v>
      </c>
      <c r="W534">
        <f t="shared" si="238"/>
        <v>6</v>
      </c>
      <c r="X534">
        <f t="shared" si="239"/>
        <v>2011</v>
      </c>
    </row>
    <row r="535" spans="1:24" ht="12" customHeight="1">
      <c r="A535" s="4">
        <v>1783</v>
      </c>
      <c r="B535" s="4">
        <v>12773</v>
      </c>
      <c r="C535" s="5">
        <f t="shared" ref="C535:C538" si="249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  <c r="V535">
        <f t="shared" si="240"/>
        <v>13</v>
      </c>
      <c r="W535">
        <f t="shared" si="238"/>
        <v>1</v>
      </c>
      <c r="X535">
        <f t="shared" si="239"/>
        <v>2011</v>
      </c>
    </row>
    <row r="536" spans="1:24" ht="12" customHeight="1">
      <c r="A536" s="4">
        <v>1784</v>
      </c>
      <c r="B536" s="4">
        <v>12773</v>
      </c>
      <c r="C536" s="5">
        <f t="shared" si="249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  <c r="V536">
        <f t="shared" si="240"/>
        <v>20</v>
      </c>
      <c r="W536">
        <f t="shared" si="238"/>
        <v>1</v>
      </c>
      <c r="X536">
        <f t="shared" si="239"/>
        <v>2011</v>
      </c>
    </row>
    <row r="537" spans="1:24" ht="12" customHeight="1">
      <c r="A537" s="4">
        <v>1785</v>
      </c>
      <c r="B537" s="4">
        <v>12773</v>
      </c>
      <c r="C537" s="5">
        <f t="shared" si="249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50">C537+5</f>
        <v>40559</v>
      </c>
      <c r="V537">
        <f t="shared" si="240"/>
        <v>16</v>
      </c>
      <c r="W537">
        <f t="shared" si="238"/>
        <v>1</v>
      </c>
      <c r="X537">
        <f t="shared" si="239"/>
        <v>2011</v>
      </c>
    </row>
    <row r="538" spans="1:24" ht="12" customHeight="1">
      <c r="A538" s="4">
        <v>1786</v>
      </c>
      <c r="B538" s="4">
        <v>12773</v>
      </c>
      <c r="C538" s="5">
        <f t="shared" si="249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50"/>
        <v>40559</v>
      </c>
      <c r="V538">
        <f t="shared" si="240"/>
        <v>16</v>
      </c>
      <c r="W538">
        <f t="shared" si="238"/>
        <v>1</v>
      </c>
      <c r="X538">
        <f t="shared" si="239"/>
        <v>2011</v>
      </c>
    </row>
    <row r="539" spans="1:24" ht="12" customHeight="1">
      <c r="A539" s="4">
        <v>1810</v>
      </c>
      <c r="B539" s="4">
        <v>12934</v>
      </c>
      <c r="C539" s="5">
        <f t="shared" ref="C539:C540" si="251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52">C539+1</f>
        <v>39878</v>
      </c>
      <c r="V539">
        <f t="shared" si="240"/>
        <v>6</v>
      </c>
      <c r="W539">
        <f t="shared" si="238"/>
        <v>3</v>
      </c>
      <c r="X539">
        <f t="shared" si="239"/>
        <v>2009</v>
      </c>
    </row>
    <row r="540" spans="1:24" ht="12" customHeight="1">
      <c r="A540" s="4">
        <v>1811</v>
      </c>
      <c r="B540" s="4">
        <v>12934</v>
      </c>
      <c r="C540" s="5">
        <f t="shared" si="251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52"/>
        <v>39878</v>
      </c>
      <c r="V540">
        <f t="shared" si="240"/>
        <v>6</v>
      </c>
      <c r="W540">
        <f t="shared" si="238"/>
        <v>3</v>
      </c>
      <c r="X540">
        <f t="shared" si="239"/>
        <v>2009</v>
      </c>
    </row>
    <row r="541" spans="1:24" ht="12" customHeight="1">
      <c r="A541" s="4">
        <v>1826</v>
      </c>
      <c r="B541" s="4">
        <v>13120</v>
      </c>
      <c r="C541" s="5">
        <f t="shared" ref="C541:C542" si="253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  <c r="V541">
        <f t="shared" si="240"/>
        <v>21</v>
      </c>
      <c r="W541">
        <f t="shared" si="238"/>
        <v>12</v>
      </c>
      <c r="X541">
        <f t="shared" si="239"/>
        <v>2009</v>
      </c>
    </row>
    <row r="542" spans="1:24" ht="12" customHeight="1">
      <c r="A542" s="4">
        <v>1827</v>
      </c>
      <c r="B542" s="4">
        <v>13120</v>
      </c>
      <c r="C542" s="5">
        <f t="shared" si="253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  <c r="V542">
        <f t="shared" si="240"/>
        <v>14</v>
      </c>
      <c r="W542">
        <f t="shared" si="238"/>
        <v>12</v>
      </c>
      <c r="X542">
        <f t="shared" si="239"/>
        <v>2009</v>
      </c>
    </row>
    <row r="543" spans="1:24" ht="12" customHeight="1">
      <c r="A543" s="4">
        <v>1896</v>
      </c>
      <c r="B543" s="4">
        <v>13604</v>
      </c>
      <c r="C543" s="5">
        <f t="shared" ref="C543:C544" si="254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  <c r="V543">
        <f t="shared" si="240"/>
        <v>4</v>
      </c>
      <c r="W543">
        <f t="shared" si="238"/>
        <v>2</v>
      </c>
      <c r="X543">
        <f t="shared" si="239"/>
        <v>2009</v>
      </c>
    </row>
    <row r="544" spans="1:24" ht="12" customHeight="1">
      <c r="A544" s="4">
        <v>1897</v>
      </c>
      <c r="B544" s="4">
        <v>13604</v>
      </c>
      <c r="C544" s="5">
        <f t="shared" si="254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  <c r="V544">
        <f t="shared" si="240"/>
        <v>5</v>
      </c>
      <c r="W544">
        <f t="shared" si="238"/>
        <v>2</v>
      </c>
      <c r="X544">
        <f t="shared" si="239"/>
        <v>2009</v>
      </c>
    </row>
    <row r="545" spans="1:24" ht="12" customHeight="1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  <c r="V545">
        <f t="shared" si="240"/>
        <v>2</v>
      </c>
      <c r="W545">
        <f t="shared" si="238"/>
        <v>9</v>
      </c>
      <c r="X545">
        <f t="shared" si="239"/>
        <v>2009</v>
      </c>
    </row>
    <row r="546" spans="1:24" ht="12" customHeight="1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  <c r="V546">
        <f t="shared" si="240"/>
        <v>10</v>
      </c>
      <c r="W546">
        <f t="shared" si="238"/>
        <v>3</v>
      </c>
      <c r="X546">
        <f t="shared" si="239"/>
        <v>2012</v>
      </c>
    </row>
    <row r="547" spans="1:24" ht="12" customHeight="1">
      <c r="A547" s="4">
        <v>2124</v>
      </c>
      <c r="B547" s="4">
        <v>15139</v>
      </c>
      <c r="C547" s="5">
        <f t="shared" ref="C547:C548" si="255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  <c r="V547">
        <f t="shared" si="240"/>
        <v>21</v>
      </c>
      <c r="W547">
        <f t="shared" si="238"/>
        <v>11</v>
      </c>
      <c r="X547">
        <f t="shared" si="239"/>
        <v>2009</v>
      </c>
    </row>
    <row r="548" spans="1:24" ht="12" customHeight="1">
      <c r="A548" s="4">
        <v>2125</v>
      </c>
      <c r="B548" s="4">
        <v>15139</v>
      </c>
      <c r="C548" s="5">
        <f t="shared" si="255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  <c r="V548">
        <f t="shared" si="240"/>
        <v>19</v>
      </c>
      <c r="W548">
        <f t="shared" si="238"/>
        <v>11</v>
      </c>
      <c r="X548">
        <f t="shared" si="239"/>
        <v>2009</v>
      </c>
    </row>
    <row r="549" spans="1:24" ht="12" customHeight="1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  <c r="V549">
        <f t="shared" si="240"/>
        <v>26</v>
      </c>
      <c r="W549">
        <f t="shared" si="238"/>
        <v>7</v>
      </c>
      <c r="X549">
        <f t="shared" si="239"/>
        <v>2010</v>
      </c>
    </row>
    <row r="550" spans="1:24" ht="12" customHeight="1">
      <c r="A550" s="4">
        <v>2164</v>
      </c>
      <c r="B550" s="4">
        <v>15618</v>
      </c>
      <c r="C550" s="5">
        <f t="shared" ref="C550:C552" si="256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  <c r="V550">
        <f t="shared" si="240"/>
        <v>7</v>
      </c>
      <c r="W550">
        <f t="shared" si="238"/>
        <v>8</v>
      </c>
      <c r="X550">
        <f t="shared" si="239"/>
        <v>2010</v>
      </c>
    </row>
    <row r="551" spans="1:24" ht="12" customHeight="1">
      <c r="A551" s="4">
        <v>2165</v>
      </c>
      <c r="B551" s="4">
        <v>15618</v>
      </c>
      <c r="C551" s="5">
        <f t="shared" si="256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57">C551+2</f>
        <v>40396</v>
      </c>
      <c r="V551">
        <f t="shared" si="240"/>
        <v>6</v>
      </c>
      <c r="W551">
        <f t="shared" si="238"/>
        <v>8</v>
      </c>
      <c r="X551">
        <f t="shared" si="239"/>
        <v>2010</v>
      </c>
    </row>
    <row r="552" spans="1:24" ht="12" customHeight="1">
      <c r="A552" s="4">
        <v>2166</v>
      </c>
      <c r="B552" s="4">
        <v>15618</v>
      </c>
      <c r="C552" s="5">
        <f t="shared" si="256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57"/>
        <v>40396</v>
      </c>
      <c r="V552">
        <f t="shared" si="240"/>
        <v>6</v>
      </c>
      <c r="W552">
        <f t="shared" si="238"/>
        <v>8</v>
      </c>
      <c r="X552">
        <f t="shared" si="239"/>
        <v>2010</v>
      </c>
    </row>
    <row r="553" spans="1:24" ht="12" customHeight="1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  <c r="V553">
        <f t="shared" si="240"/>
        <v>8</v>
      </c>
      <c r="W553">
        <f t="shared" si="238"/>
        <v>3</v>
      </c>
      <c r="X553">
        <f t="shared" si="239"/>
        <v>2011</v>
      </c>
    </row>
    <row r="554" spans="1:24" ht="12" customHeight="1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  <c r="V554">
        <f t="shared" si="240"/>
        <v>22</v>
      </c>
      <c r="W554">
        <f t="shared" si="238"/>
        <v>10</v>
      </c>
      <c r="X554">
        <f t="shared" si="239"/>
        <v>2011</v>
      </c>
    </row>
    <row r="555" spans="1:24" ht="12" customHeight="1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  <c r="V555">
        <f t="shared" si="240"/>
        <v>5</v>
      </c>
      <c r="W555">
        <f t="shared" si="238"/>
        <v>8</v>
      </c>
      <c r="X555">
        <f t="shared" si="239"/>
        <v>2009</v>
      </c>
    </row>
    <row r="556" spans="1:24" ht="12" customHeight="1">
      <c r="A556" s="4">
        <v>2362</v>
      </c>
      <c r="B556" s="4">
        <v>17090</v>
      </c>
      <c r="C556" s="5">
        <f t="shared" ref="C556:C557" si="258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  <c r="V556">
        <f t="shared" si="240"/>
        <v>30</v>
      </c>
      <c r="W556">
        <f t="shared" si="238"/>
        <v>4</v>
      </c>
      <c r="X556">
        <f t="shared" si="239"/>
        <v>2010</v>
      </c>
    </row>
    <row r="557" spans="1:24" ht="12" customHeight="1">
      <c r="A557" s="4">
        <v>2363</v>
      </c>
      <c r="B557" s="4">
        <v>17090</v>
      </c>
      <c r="C557" s="5">
        <f t="shared" si="258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  <c r="V557">
        <f t="shared" si="240"/>
        <v>3</v>
      </c>
      <c r="W557">
        <f t="shared" si="238"/>
        <v>5</v>
      </c>
      <c r="X557">
        <f t="shared" si="239"/>
        <v>2010</v>
      </c>
    </row>
    <row r="558" spans="1:24" ht="12" customHeight="1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  <c r="V558">
        <f t="shared" si="240"/>
        <v>26</v>
      </c>
      <c r="W558">
        <f t="shared" si="238"/>
        <v>4</v>
      </c>
      <c r="X558">
        <f t="shared" si="239"/>
        <v>2009</v>
      </c>
    </row>
    <row r="559" spans="1:24" ht="12" customHeight="1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  <c r="V559">
        <f t="shared" si="240"/>
        <v>6</v>
      </c>
      <c r="W559">
        <f t="shared" si="238"/>
        <v>12</v>
      </c>
      <c r="X559">
        <f t="shared" si="239"/>
        <v>2011</v>
      </c>
    </row>
    <row r="560" spans="1:24" ht="12" customHeight="1">
      <c r="A560" s="4">
        <v>2506</v>
      </c>
      <c r="B560" s="4">
        <v>18210</v>
      </c>
      <c r="C560" s="5">
        <f t="shared" ref="C560:C561" si="259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60">C560+1</f>
        <v>40397</v>
      </c>
      <c r="V560">
        <f t="shared" si="240"/>
        <v>7</v>
      </c>
      <c r="W560">
        <f t="shared" si="238"/>
        <v>8</v>
      </c>
      <c r="X560">
        <f t="shared" si="239"/>
        <v>2010</v>
      </c>
    </row>
    <row r="561" spans="1:24" ht="12" customHeight="1">
      <c r="A561" s="4">
        <v>2507</v>
      </c>
      <c r="B561" s="4">
        <v>18210</v>
      </c>
      <c r="C561" s="5">
        <f t="shared" si="259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60"/>
        <v>40397</v>
      </c>
      <c r="V561">
        <f t="shared" si="240"/>
        <v>7</v>
      </c>
      <c r="W561">
        <f t="shared" si="238"/>
        <v>8</v>
      </c>
      <c r="X561">
        <f t="shared" si="239"/>
        <v>2010</v>
      </c>
    </row>
    <row r="562" spans="1:24" ht="12" customHeight="1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  <c r="V562">
        <f t="shared" si="240"/>
        <v>17</v>
      </c>
      <c r="W562">
        <f t="shared" si="238"/>
        <v>9</v>
      </c>
      <c r="X562">
        <f t="shared" si="239"/>
        <v>2011</v>
      </c>
    </row>
    <row r="563" spans="1:24" ht="12" customHeight="1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61">C563+1</f>
        <v>40089</v>
      </c>
      <c r="V563">
        <f t="shared" si="240"/>
        <v>3</v>
      </c>
      <c r="W563">
        <f t="shared" si="238"/>
        <v>10</v>
      </c>
      <c r="X563">
        <f t="shared" si="239"/>
        <v>2009</v>
      </c>
    </row>
    <row r="564" spans="1:24" ht="12" customHeight="1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61"/>
        <v>39874</v>
      </c>
      <c r="V564">
        <f t="shared" si="240"/>
        <v>2</v>
      </c>
      <c r="W564">
        <f t="shared" si="238"/>
        <v>3</v>
      </c>
      <c r="X564">
        <f t="shared" si="239"/>
        <v>2009</v>
      </c>
    </row>
    <row r="565" spans="1:24" ht="12" customHeight="1">
      <c r="A565" s="4">
        <v>2633</v>
      </c>
      <c r="B565" s="4">
        <v>19073</v>
      </c>
      <c r="C565" s="5">
        <f t="shared" ref="C565:C566" si="262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61"/>
        <v>39989</v>
      </c>
      <c r="V565">
        <f t="shared" si="240"/>
        <v>25</v>
      </c>
      <c r="W565">
        <f t="shared" si="238"/>
        <v>6</v>
      </c>
      <c r="X565">
        <f t="shared" si="239"/>
        <v>2009</v>
      </c>
    </row>
    <row r="566" spans="1:24" ht="12" customHeight="1">
      <c r="A566" s="4">
        <v>2634</v>
      </c>
      <c r="B566" s="4">
        <v>19073</v>
      </c>
      <c r="C566" s="5">
        <f t="shared" si="262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  <c r="V566">
        <f t="shared" si="240"/>
        <v>26</v>
      </c>
      <c r="W566">
        <f t="shared" si="238"/>
        <v>6</v>
      </c>
      <c r="X566">
        <f t="shared" si="239"/>
        <v>2009</v>
      </c>
    </row>
    <row r="567" spans="1:24" ht="12" customHeight="1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  <c r="V567">
        <f t="shared" si="240"/>
        <v>17</v>
      </c>
      <c r="W567">
        <f t="shared" si="238"/>
        <v>1</v>
      </c>
      <c r="X567">
        <f t="shared" si="239"/>
        <v>2011</v>
      </c>
    </row>
    <row r="568" spans="1:24" ht="12" customHeight="1">
      <c r="A568" s="4">
        <v>2716</v>
      </c>
      <c r="B568" s="4">
        <v>19617</v>
      </c>
      <c r="C568" s="5">
        <f t="shared" ref="C568:C569" si="263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  <c r="V568">
        <f t="shared" si="240"/>
        <v>22</v>
      </c>
      <c r="W568">
        <f t="shared" si="238"/>
        <v>1</v>
      </c>
      <c r="X568">
        <f t="shared" si="239"/>
        <v>2012</v>
      </c>
    </row>
    <row r="569" spans="1:24" ht="12" customHeight="1">
      <c r="A569" s="4">
        <v>2717</v>
      </c>
      <c r="B569" s="4">
        <v>19617</v>
      </c>
      <c r="C569" s="5">
        <f t="shared" si="263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  <c r="V569">
        <f t="shared" si="240"/>
        <v>20</v>
      </c>
      <c r="W569">
        <f t="shared" si="238"/>
        <v>1</v>
      </c>
      <c r="X569">
        <f t="shared" si="239"/>
        <v>2012</v>
      </c>
    </row>
    <row r="570" spans="1:24" ht="12" customHeight="1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  <c r="V570">
        <f t="shared" si="240"/>
        <v>23</v>
      </c>
      <c r="W570">
        <f t="shared" si="238"/>
        <v>5</v>
      </c>
      <c r="X570">
        <f t="shared" si="239"/>
        <v>2010</v>
      </c>
    </row>
    <row r="571" spans="1:24" ht="12" customHeight="1">
      <c r="A571" s="4">
        <v>2930</v>
      </c>
      <c r="B571" s="4">
        <v>21223</v>
      </c>
      <c r="C571" s="5">
        <f t="shared" ref="C571:C572" si="264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65">C571+1</f>
        <v>40984</v>
      </c>
      <c r="V571">
        <f t="shared" si="240"/>
        <v>16</v>
      </c>
      <c r="W571">
        <f t="shared" si="238"/>
        <v>3</v>
      </c>
      <c r="X571">
        <f t="shared" si="239"/>
        <v>2012</v>
      </c>
    </row>
    <row r="572" spans="1:24" ht="12" customHeight="1">
      <c r="A572" s="4">
        <v>2931</v>
      </c>
      <c r="B572" s="4">
        <v>21223</v>
      </c>
      <c r="C572" s="5">
        <f t="shared" si="264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65"/>
        <v>40984</v>
      </c>
      <c r="V572">
        <f t="shared" si="240"/>
        <v>16</v>
      </c>
      <c r="W572">
        <f t="shared" si="238"/>
        <v>3</v>
      </c>
      <c r="X572">
        <f t="shared" si="239"/>
        <v>2012</v>
      </c>
    </row>
    <row r="573" spans="1:24" ht="12" customHeight="1">
      <c r="A573" s="4">
        <v>2950</v>
      </c>
      <c r="B573" s="4">
        <v>21378</v>
      </c>
      <c r="C573" s="5">
        <f t="shared" ref="C573:C574" si="266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65"/>
        <v>40763</v>
      </c>
      <c r="V573">
        <f t="shared" si="240"/>
        <v>8</v>
      </c>
      <c r="W573">
        <f t="shared" si="238"/>
        <v>8</v>
      </c>
      <c r="X573">
        <f t="shared" si="239"/>
        <v>2011</v>
      </c>
    </row>
    <row r="574" spans="1:24" ht="12" customHeight="1">
      <c r="A574" s="4">
        <v>2951</v>
      </c>
      <c r="B574" s="4">
        <v>21378</v>
      </c>
      <c r="C574" s="5">
        <f t="shared" si="266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  <c r="V574">
        <f t="shared" si="240"/>
        <v>10</v>
      </c>
      <c r="W574">
        <f t="shared" si="238"/>
        <v>8</v>
      </c>
      <c r="X574">
        <f t="shared" si="239"/>
        <v>2011</v>
      </c>
    </row>
    <row r="575" spans="1:24" ht="12" customHeight="1">
      <c r="A575" s="4">
        <v>2984</v>
      </c>
      <c r="B575" s="4">
        <v>21542</v>
      </c>
      <c r="C575" s="5">
        <f t="shared" ref="C575:C576" si="267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68">C575+1</f>
        <v>40685</v>
      </c>
      <c r="V575">
        <f t="shared" si="240"/>
        <v>22</v>
      </c>
      <c r="W575">
        <f t="shared" si="238"/>
        <v>5</v>
      </c>
      <c r="X575">
        <f t="shared" si="239"/>
        <v>2011</v>
      </c>
    </row>
    <row r="576" spans="1:24" ht="12" customHeight="1">
      <c r="A576" s="4">
        <v>2985</v>
      </c>
      <c r="B576" s="4">
        <v>21542</v>
      </c>
      <c r="C576" s="5">
        <f t="shared" si="267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68"/>
        <v>40685</v>
      </c>
      <c r="V576">
        <f t="shared" si="240"/>
        <v>22</v>
      </c>
      <c r="W576">
        <f t="shared" si="238"/>
        <v>5</v>
      </c>
      <c r="X576">
        <f t="shared" si="239"/>
        <v>2011</v>
      </c>
    </row>
    <row r="577" spans="1:24" ht="12" customHeight="1">
      <c r="A577" s="4">
        <v>3133</v>
      </c>
      <c r="B577" s="4">
        <v>22469</v>
      </c>
      <c r="C577" s="5">
        <f t="shared" ref="C577:C578" si="269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70">C577+2</f>
        <v>40464</v>
      </c>
      <c r="V577">
        <f t="shared" si="240"/>
        <v>13</v>
      </c>
      <c r="W577">
        <f t="shared" si="238"/>
        <v>10</v>
      </c>
      <c r="X577">
        <f t="shared" si="239"/>
        <v>2010</v>
      </c>
    </row>
    <row r="578" spans="1:24" ht="12" customHeight="1">
      <c r="A578" s="4">
        <v>3134</v>
      </c>
      <c r="B578" s="4">
        <v>22469</v>
      </c>
      <c r="C578" s="5">
        <f t="shared" si="269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70"/>
        <v>40464</v>
      </c>
      <c r="V578">
        <f t="shared" si="240"/>
        <v>13</v>
      </c>
      <c r="W578">
        <f t="shared" si="238"/>
        <v>10</v>
      </c>
      <c r="X578">
        <f t="shared" si="239"/>
        <v>2010</v>
      </c>
    </row>
    <row r="579" spans="1:24" ht="12" customHeight="1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70"/>
        <v>40536</v>
      </c>
      <c r="V579">
        <f t="shared" si="240"/>
        <v>24</v>
      </c>
      <c r="W579">
        <f t="shared" ref="W579:W642" si="271">MONTH(U579)</f>
        <v>12</v>
      </c>
      <c r="X579">
        <f t="shared" ref="X579:X642" si="272">YEAR(U579)</f>
        <v>2010</v>
      </c>
    </row>
    <row r="580" spans="1:24" ht="12" customHeight="1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  <c r="V580">
        <f t="shared" ref="V580:V643" si="273">DAY(U580)</f>
        <v>8</v>
      </c>
      <c r="W580">
        <f t="shared" si="271"/>
        <v>7</v>
      </c>
      <c r="X580">
        <f t="shared" si="272"/>
        <v>2009</v>
      </c>
    </row>
    <row r="581" spans="1:24" ht="12" customHeight="1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  <c r="V581">
        <f t="shared" si="273"/>
        <v>28</v>
      </c>
      <c r="W581">
        <f t="shared" si="271"/>
        <v>5</v>
      </c>
      <c r="X581">
        <f t="shared" si="272"/>
        <v>2009</v>
      </c>
    </row>
    <row r="582" spans="1:24" ht="12" customHeight="1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  <c r="V582">
        <f t="shared" si="273"/>
        <v>22</v>
      </c>
      <c r="W582">
        <f t="shared" si="271"/>
        <v>6</v>
      </c>
      <c r="X582">
        <f t="shared" si="272"/>
        <v>2011</v>
      </c>
    </row>
    <row r="583" spans="1:24" ht="12" customHeight="1">
      <c r="A583" s="4">
        <v>3365</v>
      </c>
      <c r="B583" s="4">
        <v>24067</v>
      </c>
      <c r="C583" s="5">
        <f t="shared" ref="C583:C584" si="27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75">C583+1</f>
        <v>41144</v>
      </c>
      <c r="V583">
        <f t="shared" si="273"/>
        <v>23</v>
      </c>
      <c r="W583">
        <f t="shared" si="271"/>
        <v>8</v>
      </c>
      <c r="X583">
        <f t="shared" si="272"/>
        <v>2012</v>
      </c>
    </row>
    <row r="584" spans="1:24" ht="12" customHeight="1">
      <c r="A584" s="4">
        <v>3366</v>
      </c>
      <c r="B584" s="4">
        <v>24067</v>
      </c>
      <c r="C584" s="5">
        <f t="shared" si="27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75"/>
        <v>41144</v>
      </c>
      <c r="V584">
        <f t="shared" si="273"/>
        <v>23</v>
      </c>
      <c r="W584">
        <f t="shared" si="271"/>
        <v>8</v>
      </c>
      <c r="X584">
        <f t="shared" si="272"/>
        <v>2012</v>
      </c>
    </row>
    <row r="585" spans="1:24" ht="12" customHeight="1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75"/>
        <v>40570</v>
      </c>
      <c r="V585">
        <f t="shared" si="273"/>
        <v>27</v>
      </c>
      <c r="W585">
        <f t="shared" si="271"/>
        <v>1</v>
      </c>
      <c r="X585">
        <f t="shared" si="272"/>
        <v>2011</v>
      </c>
    </row>
    <row r="586" spans="1:24" ht="12" customHeight="1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75"/>
        <v>41247</v>
      </c>
      <c r="V586">
        <f t="shared" si="273"/>
        <v>4</v>
      </c>
      <c r="W586">
        <f t="shared" si="271"/>
        <v>12</v>
      </c>
      <c r="X586">
        <f t="shared" si="272"/>
        <v>2012</v>
      </c>
    </row>
    <row r="587" spans="1:24" ht="12" customHeight="1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  <c r="V587">
        <f t="shared" si="273"/>
        <v>8</v>
      </c>
      <c r="W587">
        <f t="shared" si="271"/>
        <v>9</v>
      </c>
      <c r="X587">
        <f t="shared" si="272"/>
        <v>2010</v>
      </c>
    </row>
    <row r="588" spans="1:24" ht="12" customHeight="1">
      <c r="A588" s="4">
        <v>3505</v>
      </c>
      <c r="B588" s="4">
        <v>24965</v>
      </c>
      <c r="C588" s="5">
        <f t="shared" ref="C588:C589" si="27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  <c r="V588">
        <f t="shared" si="273"/>
        <v>3</v>
      </c>
      <c r="W588">
        <f t="shared" si="271"/>
        <v>4</v>
      </c>
      <c r="X588">
        <f t="shared" si="272"/>
        <v>2011</v>
      </c>
    </row>
    <row r="589" spans="1:24" ht="12" customHeight="1">
      <c r="A589" s="4">
        <v>3506</v>
      </c>
      <c r="B589" s="4">
        <v>24965</v>
      </c>
      <c r="C589" s="5">
        <f t="shared" si="27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  <c r="V589">
        <f t="shared" si="273"/>
        <v>29</v>
      </c>
      <c r="W589">
        <f t="shared" si="271"/>
        <v>3</v>
      </c>
      <c r="X589">
        <f t="shared" si="272"/>
        <v>2011</v>
      </c>
    </row>
    <row r="590" spans="1:24" ht="12" customHeight="1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  <c r="V590">
        <f t="shared" si="273"/>
        <v>21</v>
      </c>
      <c r="W590">
        <f t="shared" si="271"/>
        <v>8</v>
      </c>
      <c r="X590">
        <f t="shared" si="272"/>
        <v>2010</v>
      </c>
    </row>
    <row r="591" spans="1:24" ht="12" customHeight="1">
      <c r="A591" s="4">
        <v>3549</v>
      </c>
      <c r="B591" s="4">
        <v>25315</v>
      </c>
      <c r="C591" s="5">
        <f t="shared" ref="C591:C593" si="27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78">C591+0</f>
        <v>40514</v>
      </c>
      <c r="V591">
        <f t="shared" si="273"/>
        <v>2</v>
      </c>
      <c r="W591">
        <f t="shared" si="271"/>
        <v>12</v>
      </c>
      <c r="X591">
        <f t="shared" si="272"/>
        <v>2010</v>
      </c>
    </row>
    <row r="592" spans="1:24" ht="12" customHeight="1">
      <c r="A592" s="4">
        <v>3550</v>
      </c>
      <c r="B592" s="4">
        <v>25315</v>
      </c>
      <c r="C592" s="5">
        <f t="shared" si="27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78"/>
        <v>40514</v>
      </c>
      <c r="V592">
        <f t="shared" si="273"/>
        <v>2</v>
      </c>
      <c r="W592">
        <f t="shared" si="271"/>
        <v>12</v>
      </c>
      <c r="X592">
        <f t="shared" si="272"/>
        <v>2010</v>
      </c>
    </row>
    <row r="593" spans="1:24" ht="12" customHeight="1">
      <c r="A593" s="4">
        <v>3551</v>
      </c>
      <c r="B593" s="4">
        <v>25315</v>
      </c>
      <c r="C593" s="5">
        <f t="shared" si="27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  <c r="V593">
        <f t="shared" si="273"/>
        <v>4</v>
      </c>
      <c r="W593">
        <f t="shared" si="271"/>
        <v>12</v>
      </c>
      <c r="X593">
        <f t="shared" si="272"/>
        <v>2010</v>
      </c>
    </row>
    <row r="594" spans="1:24" ht="12" customHeight="1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  <c r="V594">
        <f t="shared" si="273"/>
        <v>27</v>
      </c>
      <c r="W594">
        <f t="shared" si="271"/>
        <v>3</v>
      </c>
      <c r="X594">
        <f t="shared" si="272"/>
        <v>2011</v>
      </c>
    </row>
    <row r="595" spans="1:24" ht="12" customHeight="1">
      <c r="A595" s="4">
        <v>3662</v>
      </c>
      <c r="B595" s="4">
        <v>26240</v>
      </c>
      <c r="C595" s="5">
        <f t="shared" ref="C595:C596" si="27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  <c r="V595">
        <f t="shared" si="273"/>
        <v>22</v>
      </c>
      <c r="W595">
        <f t="shared" si="271"/>
        <v>12</v>
      </c>
      <c r="X595">
        <f t="shared" si="272"/>
        <v>2009</v>
      </c>
    </row>
    <row r="596" spans="1:24" ht="12" customHeight="1">
      <c r="A596" s="4">
        <v>3663</v>
      </c>
      <c r="B596" s="4">
        <v>26240</v>
      </c>
      <c r="C596" s="5">
        <f t="shared" si="27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  <c r="V596">
        <f t="shared" si="273"/>
        <v>20</v>
      </c>
      <c r="W596">
        <f t="shared" si="271"/>
        <v>12</v>
      </c>
      <c r="X596">
        <f t="shared" si="272"/>
        <v>2009</v>
      </c>
    </row>
    <row r="597" spans="1:24" ht="12" customHeight="1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  <c r="V597">
        <f t="shared" si="273"/>
        <v>6</v>
      </c>
      <c r="W597">
        <f t="shared" si="271"/>
        <v>5</v>
      </c>
      <c r="X597">
        <f t="shared" si="272"/>
        <v>2011</v>
      </c>
    </row>
    <row r="598" spans="1:24" ht="12" customHeight="1">
      <c r="A598" s="4">
        <v>4042</v>
      </c>
      <c r="B598" s="4">
        <v>28836</v>
      </c>
      <c r="C598" s="5">
        <f t="shared" ref="C598:C599" si="28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  <c r="V598">
        <f t="shared" si="273"/>
        <v>25</v>
      </c>
      <c r="W598">
        <f t="shared" si="271"/>
        <v>10</v>
      </c>
      <c r="X598">
        <f t="shared" si="272"/>
        <v>2010</v>
      </c>
    </row>
    <row r="599" spans="1:24" ht="12" customHeight="1">
      <c r="A599" s="4">
        <v>4043</v>
      </c>
      <c r="B599" s="4">
        <v>28836</v>
      </c>
      <c r="C599" s="5">
        <f t="shared" si="28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  <c r="V599">
        <f t="shared" si="273"/>
        <v>26</v>
      </c>
      <c r="W599">
        <f t="shared" si="271"/>
        <v>10</v>
      </c>
      <c r="X599">
        <f t="shared" si="272"/>
        <v>2010</v>
      </c>
    </row>
    <row r="600" spans="1:24" ht="12" customHeight="1">
      <c r="A600" s="4">
        <v>4071</v>
      </c>
      <c r="B600" s="4">
        <v>28995</v>
      </c>
      <c r="C600" s="5">
        <f t="shared" ref="C600:C601" si="28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82">C600+1</f>
        <v>40311</v>
      </c>
      <c r="V600">
        <f t="shared" si="273"/>
        <v>13</v>
      </c>
      <c r="W600">
        <f t="shared" si="271"/>
        <v>5</v>
      </c>
      <c r="X600">
        <f t="shared" si="272"/>
        <v>2010</v>
      </c>
    </row>
    <row r="601" spans="1:24" ht="12" customHeight="1">
      <c r="A601" s="4">
        <v>4072</v>
      </c>
      <c r="B601" s="4">
        <v>28995</v>
      </c>
      <c r="C601" s="5">
        <f t="shared" si="28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82"/>
        <v>40311</v>
      </c>
      <c r="V601">
        <f t="shared" si="273"/>
        <v>13</v>
      </c>
      <c r="W601">
        <f t="shared" si="271"/>
        <v>5</v>
      </c>
      <c r="X601">
        <f t="shared" si="272"/>
        <v>2010</v>
      </c>
    </row>
    <row r="602" spans="1:24" ht="12" customHeight="1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83">C602+2</f>
        <v>40281</v>
      </c>
      <c r="V602">
        <f t="shared" si="273"/>
        <v>13</v>
      </c>
      <c r="W602">
        <f t="shared" si="271"/>
        <v>4</v>
      </c>
      <c r="X602">
        <f t="shared" si="272"/>
        <v>2010</v>
      </c>
    </row>
    <row r="603" spans="1:24" ht="12" customHeight="1">
      <c r="A603" s="4">
        <v>4125</v>
      </c>
      <c r="B603" s="4">
        <v>29319</v>
      </c>
      <c r="C603" s="5">
        <f t="shared" ref="C603:C604" si="28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83"/>
        <v>39839</v>
      </c>
      <c r="V603">
        <f t="shared" si="273"/>
        <v>26</v>
      </c>
      <c r="W603">
        <f t="shared" si="271"/>
        <v>1</v>
      </c>
      <c r="X603">
        <f t="shared" si="272"/>
        <v>2009</v>
      </c>
    </row>
    <row r="604" spans="1:24" ht="12" customHeight="1">
      <c r="A604" s="4">
        <v>4126</v>
      </c>
      <c r="B604" s="4">
        <v>29319</v>
      </c>
      <c r="C604" s="5">
        <f t="shared" si="28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83"/>
        <v>39839</v>
      </c>
      <c r="V604">
        <f t="shared" si="273"/>
        <v>26</v>
      </c>
      <c r="W604">
        <f t="shared" si="271"/>
        <v>1</v>
      </c>
      <c r="X604">
        <f t="shared" si="272"/>
        <v>2009</v>
      </c>
    </row>
    <row r="605" spans="1:24" ht="12" customHeight="1">
      <c r="A605" s="4">
        <v>4137</v>
      </c>
      <c r="B605" s="4">
        <v>29382</v>
      </c>
      <c r="C605" s="5">
        <f t="shared" ref="C605:C606" si="28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  <c r="V605">
        <f t="shared" si="273"/>
        <v>20</v>
      </c>
      <c r="W605">
        <f t="shared" si="271"/>
        <v>11</v>
      </c>
      <c r="X605">
        <f t="shared" si="272"/>
        <v>2010</v>
      </c>
    </row>
    <row r="606" spans="1:24" ht="12" customHeight="1">
      <c r="A606" s="4">
        <v>4138</v>
      </c>
      <c r="B606" s="4">
        <v>29382</v>
      </c>
      <c r="C606" s="5">
        <f t="shared" si="28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86">C606+2</f>
        <v>40501</v>
      </c>
      <c r="V606">
        <f t="shared" si="273"/>
        <v>19</v>
      </c>
      <c r="W606">
        <f t="shared" si="271"/>
        <v>11</v>
      </c>
      <c r="X606">
        <f t="shared" si="272"/>
        <v>2010</v>
      </c>
    </row>
    <row r="607" spans="1:24" ht="12" customHeight="1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86"/>
        <v>40452</v>
      </c>
      <c r="V607">
        <f t="shared" si="273"/>
        <v>1</v>
      </c>
      <c r="W607">
        <f t="shared" si="271"/>
        <v>10</v>
      </c>
      <c r="X607">
        <f t="shared" si="272"/>
        <v>2010</v>
      </c>
    </row>
    <row r="608" spans="1:24" ht="12" customHeight="1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86"/>
        <v>40395</v>
      </c>
      <c r="V608">
        <f t="shared" si="273"/>
        <v>5</v>
      </c>
      <c r="W608">
        <f t="shared" si="271"/>
        <v>8</v>
      </c>
      <c r="X608">
        <f t="shared" si="272"/>
        <v>2010</v>
      </c>
    </row>
    <row r="609" spans="1:24" ht="12" customHeight="1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86"/>
        <v>40709</v>
      </c>
      <c r="V609">
        <f t="shared" si="273"/>
        <v>15</v>
      </c>
      <c r="W609">
        <f t="shared" si="271"/>
        <v>6</v>
      </c>
      <c r="X609">
        <f t="shared" si="272"/>
        <v>2011</v>
      </c>
    </row>
    <row r="610" spans="1:24" ht="12" customHeight="1">
      <c r="A610" s="4">
        <v>4249</v>
      </c>
      <c r="B610" s="4">
        <v>30243</v>
      </c>
      <c r="C610" s="5">
        <f t="shared" ref="C610:C611" si="28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86"/>
        <v>40305</v>
      </c>
      <c r="V610">
        <f t="shared" si="273"/>
        <v>7</v>
      </c>
      <c r="W610">
        <f t="shared" si="271"/>
        <v>5</v>
      </c>
      <c r="X610">
        <f t="shared" si="272"/>
        <v>2010</v>
      </c>
    </row>
    <row r="611" spans="1:24" ht="12" customHeight="1">
      <c r="A611" s="4">
        <v>4250</v>
      </c>
      <c r="B611" s="4">
        <v>30243</v>
      </c>
      <c r="C611" s="5">
        <f t="shared" si="28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86"/>
        <v>40305</v>
      </c>
      <c r="V611">
        <f t="shared" si="273"/>
        <v>7</v>
      </c>
      <c r="W611">
        <f t="shared" si="271"/>
        <v>5</v>
      </c>
      <c r="X611">
        <f t="shared" si="272"/>
        <v>2010</v>
      </c>
    </row>
    <row r="612" spans="1:24" ht="12" customHeight="1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86"/>
        <v>40422</v>
      </c>
      <c r="V612">
        <f t="shared" si="273"/>
        <v>1</v>
      </c>
      <c r="W612">
        <f t="shared" si="271"/>
        <v>9</v>
      </c>
      <c r="X612">
        <f t="shared" si="272"/>
        <v>2010</v>
      </c>
    </row>
    <row r="613" spans="1:24" ht="12" customHeight="1">
      <c r="A613" s="4">
        <v>4282</v>
      </c>
      <c r="B613" s="4">
        <v>30499</v>
      </c>
      <c r="C613" s="5">
        <f t="shared" ref="C613:C614" si="28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86"/>
        <v>41214</v>
      </c>
      <c r="V613">
        <f t="shared" si="273"/>
        <v>1</v>
      </c>
      <c r="W613">
        <f t="shared" si="271"/>
        <v>11</v>
      </c>
      <c r="X613">
        <f t="shared" si="272"/>
        <v>2012</v>
      </c>
    </row>
    <row r="614" spans="1:24" ht="12" customHeight="1">
      <c r="A614" s="4">
        <v>4283</v>
      </c>
      <c r="B614" s="4">
        <v>30499</v>
      </c>
      <c r="C614" s="5">
        <f t="shared" si="28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86"/>
        <v>41214</v>
      </c>
      <c r="V614">
        <f t="shared" si="273"/>
        <v>1</v>
      </c>
      <c r="W614">
        <f t="shared" si="271"/>
        <v>11</v>
      </c>
      <c r="X614">
        <f t="shared" si="272"/>
        <v>2012</v>
      </c>
    </row>
    <row r="615" spans="1:24" ht="12" customHeight="1">
      <c r="A615" s="4">
        <v>4528</v>
      </c>
      <c r="B615" s="4">
        <v>32199</v>
      </c>
      <c r="C615" s="5">
        <f t="shared" ref="C615:C617" si="28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90">C615+1</f>
        <v>40010</v>
      </c>
      <c r="V615">
        <f t="shared" si="273"/>
        <v>16</v>
      </c>
      <c r="W615">
        <f t="shared" si="271"/>
        <v>7</v>
      </c>
      <c r="X615">
        <f t="shared" si="272"/>
        <v>2009</v>
      </c>
    </row>
    <row r="616" spans="1:24" ht="12" customHeight="1">
      <c r="A616" s="4">
        <v>4529</v>
      </c>
      <c r="B616" s="4">
        <v>32199</v>
      </c>
      <c r="C616" s="5">
        <f t="shared" si="28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90"/>
        <v>40010</v>
      </c>
      <c r="V616">
        <f t="shared" si="273"/>
        <v>16</v>
      </c>
      <c r="W616">
        <f t="shared" si="271"/>
        <v>7</v>
      </c>
      <c r="X616">
        <f t="shared" si="272"/>
        <v>2009</v>
      </c>
    </row>
    <row r="617" spans="1:24" ht="12" customHeight="1">
      <c r="A617" s="4">
        <v>4530</v>
      </c>
      <c r="B617" s="4">
        <v>32199</v>
      </c>
      <c r="C617" s="5">
        <f t="shared" si="28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  <c r="V617">
        <f t="shared" si="273"/>
        <v>17</v>
      </c>
      <c r="W617">
        <f t="shared" si="271"/>
        <v>7</v>
      </c>
      <c r="X617">
        <f t="shared" si="272"/>
        <v>2009</v>
      </c>
    </row>
    <row r="618" spans="1:24" ht="12" customHeight="1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  <c r="V618">
        <f t="shared" si="273"/>
        <v>14</v>
      </c>
      <c r="W618">
        <f t="shared" si="271"/>
        <v>8</v>
      </c>
      <c r="X618">
        <f t="shared" si="272"/>
        <v>2012</v>
      </c>
    </row>
    <row r="619" spans="1:24" ht="12" customHeight="1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  <c r="V619">
        <f t="shared" si="273"/>
        <v>4</v>
      </c>
      <c r="W619">
        <f t="shared" si="271"/>
        <v>2</v>
      </c>
      <c r="X619">
        <f t="shared" si="272"/>
        <v>2009</v>
      </c>
    </row>
    <row r="620" spans="1:24" ht="12" customHeight="1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  <c r="V620">
        <f t="shared" si="273"/>
        <v>9</v>
      </c>
      <c r="W620">
        <f t="shared" si="271"/>
        <v>7</v>
      </c>
      <c r="X620">
        <f t="shared" si="272"/>
        <v>2012</v>
      </c>
    </row>
    <row r="621" spans="1:24" ht="12" customHeight="1">
      <c r="A621" s="4">
        <v>4613</v>
      </c>
      <c r="B621" s="4">
        <v>32869</v>
      </c>
      <c r="C621" s="5">
        <f t="shared" ref="C621:C624" si="29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92">C621+1</f>
        <v>39900</v>
      </c>
      <c r="V621">
        <f t="shared" si="273"/>
        <v>28</v>
      </c>
      <c r="W621">
        <f t="shared" si="271"/>
        <v>3</v>
      </c>
      <c r="X621">
        <f t="shared" si="272"/>
        <v>2009</v>
      </c>
    </row>
    <row r="622" spans="1:24" ht="12" customHeight="1">
      <c r="A622" s="4">
        <v>4614</v>
      </c>
      <c r="B622" s="4">
        <v>32869</v>
      </c>
      <c r="C622" s="5">
        <f t="shared" si="29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92"/>
        <v>39900</v>
      </c>
      <c r="V622">
        <f t="shared" si="273"/>
        <v>28</v>
      </c>
      <c r="W622">
        <f t="shared" si="271"/>
        <v>3</v>
      </c>
      <c r="X622">
        <f t="shared" si="272"/>
        <v>2009</v>
      </c>
    </row>
    <row r="623" spans="1:24" ht="12" customHeight="1">
      <c r="A623" s="4">
        <v>4615</v>
      </c>
      <c r="B623" s="4">
        <v>32869</v>
      </c>
      <c r="C623" s="5">
        <f t="shared" si="29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92"/>
        <v>39900</v>
      </c>
      <c r="V623">
        <f t="shared" si="273"/>
        <v>28</v>
      </c>
      <c r="W623">
        <f t="shared" si="271"/>
        <v>3</v>
      </c>
      <c r="X623">
        <f t="shared" si="272"/>
        <v>2009</v>
      </c>
    </row>
    <row r="624" spans="1:24" ht="12" customHeight="1">
      <c r="A624" s="4">
        <v>4616</v>
      </c>
      <c r="B624" s="4">
        <v>32869</v>
      </c>
      <c r="C624" s="5">
        <f t="shared" si="29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92"/>
        <v>39900</v>
      </c>
      <c r="V624">
        <f t="shared" si="273"/>
        <v>28</v>
      </c>
      <c r="W624">
        <f t="shared" si="271"/>
        <v>3</v>
      </c>
      <c r="X624">
        <f t="shared" si="272"/>
        <v>2009</v>
      </c>
    </row>
    <row r="625" spans="1:24" ht="12" customHeight="1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93">C625+2</f>
        <v>40446</v>
      </c>
      <c r="V625">
        <f t="shared" si="273"/>
        <v>25</v>
      </c>
      <c r="W625">
        <f t="shared" si="271"/>
        <v>9</v>
      </c>
      <c r="X625">
        <f t="shared" si="272"/>
        <v>2010</v>
      </c>
    </row>
    <row r="626" spans="1:24" ht="12" customHeight="1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93"/>
        <v>40632</v>
      </c>
      <c r="V626">
        <f t="shared" si="273"/>
        <v>30</v>
      </c>
      <c r="W626">
        <f t="shared" si="271"/>
        <v>3</v>
      </c>
      <c r="X626">
        <f t="shared" si="272"/>
        <v>2011</v>
      </c>
    </row>
    <row r="627" spans="1:24" ht="12" customHeight="1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93"/>
        <v>39997</v>
      </c>
      <c r="V627">
        <f t="shared" si="273"/>
        <v>3</v>
      </c>
      <c r="W627">
        <f t="shared" si="271"/>
        <v>7</v>
      </c>
      <c r="X627">
        <f t="shared" si="272"/>
        <v>2009</v>
      </c>
    </row>
    <row r="628" spans="1:24" ht="12" customHeight="1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94">C628+1</f>
        <v>40524</v>
      </c>
      <c r="V628">
        <f t="shared" si="273"/>
        <v>12</v>
      </c>
      <c r="W628">
        <f t="shared" si="271"/>
        <v>12</v>
      </c>
      <c r="X628">
        <f t="shared" si="272"/>
        <v>2010</v>
      </c>
    </row>
    <row r="629" spans="1:24" ht="12" customHeight="1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94"/>
        <v>40073</v>
      </c>
      <c r="V629">
        <f t="shared" si="273"/>
        <v>17</v>
      </c>
      <c r="W629">
        <f t="shared" si="271"/>
        <v>9</v>
      </c>
      <c r="X629">
        <f t="shared" si="272"/>
        <v>2009</v>
      </c>
    </row>
    <row r="630" spans="1:24" ht="12" customHeight="1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  <c r="V630">
        <f t="shared" si="273"/>
        <v>6</v>
      </c>
      <c r="W630">
        <f t="shared" si="271"/>
        <v>2</v>
      </c>
      <c r="X630">
        <f t="shared" si="272"/>
        <v>2011</v>
      </c>
    </row>
    <row r="631" spans="1:24" ht="12" customHeight="1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95">C631+1</f>
        <v>40433</v>
      </c>
      <c r="V631">
        <f t="shared" si="273"/>
        <v>12</v>
      </c>
      <c r="W631">
        <f t="shared" si="271"/>
        <v>9</v>
      </c>
      <c r="X631">
        <f t="shared" si="272"/>
        <v>2010</v>
      </c>
    </row>
    <row r="632" spans="1:24" ht="12" customHeight="1">
      <c r="A632" s="4">
        <v>4962</v>
      </c>
      <c r="B632" s="4">
        <v>35300</v>
      </c>
      <c r="C632" s="5">
        <f t="shared" ref="C632:C634" si="29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95"/>
        <v>40240</v>
      </c>
      <c r="V632">
        <f t="shared" si="273"/>
        <v>3</v>
      </c>
      <c r="W632">
        <f t="shared" si="271"/>
        <v>3</v>
      </c>
      <c r="X632">
        <f t="shared" si="272"/>
        <v>2010</v>
      </c>
    </row>
    <row r="633" spans="1:24" ht="12" customHeight="1">
      <c r="A633" s="4">
        <v>4963</v>
      </c>
      <c r="B633" s="4">
        <v>35300</v>
      </c>
      <c r="C633" s="5">
        <f t="shared" si="29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  <c r="V633">
        <f t="shared" si="273"/>
        <v>5</v>
      </c>
      <c r="W633">
        <f t="shared" si="271"/>
        <v>3</v>
      </c>
      <c r="X633">
        <f t="shared" si="272"/>
        <v>2010</v>
      </c>
    </row>
    <row r="634" spans="1:24" ht="12" customHeight="1">
      <c r="A634" s="4">
        <v>4964</v>
      </c>
      <c r="B634" s="4">
        <v>35300</v>
      </c>
      <c r="C634" s="5">
        <f t="shared" si="29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  <c r="V634">
        <f t="shared" si="273"/>
        <v>3</v>
      </c>
      <c r="W634">
        <f t="shared" si="271"/>
        <v>3</v>
      </c>
      <c r="X634">
        <f t="shared" si="272"/>
        <v>2010</v>
      </c>
    </row>
    <row r="635" spans="1:24" ht="12" customHeight="1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  <c r="V635">
        <f t="shared" si="273"/>
        <v>17</v>
      </c>
      <c r="W635">
        <f t="shared" si="271"/>
        <v>9</v>
      </c>
      <c r="X635">
        <f t="shared" si="272"/>
        <v>2009</v>
      </c>
    </row>
    <row r="636" spans="1:24" ht="12" customHeight="1">
      <c r="A636" s="4">
        <v>5091</v>
      </c>
      <c r="B636" s="4">
        <v>36293</v>
      </c>
      <c r="C636" s="5">
        <f t="shared" ref="C636:C637" si="29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  <c r="V636">
        <f t="shared" si="273"/>
        <v>10</v>
      </c>
      <c r="W636">
        <f t="shared" si="271"/>
        <v>1</v>
      </c>
      <c r="X636">
        <f t="shared" si="272"/>
        <v>2011</v>
      </c>
    </row>
    <row r="637" spans="1:24" ht="12" customHeight="1">
      <c r="A637" s="4">
        <v>5092</v>
      </c>
      <c r="B637" s="4">
        <v>36293</v>
      </c>
      <c r="C637" s="5">
        <f t="shared" si="29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  <c r="V637">
        <f t="shared" si="273"/>
        <v>14</v>
      </c>
      <c r="W637">
        <f t="shared" si="271"/>
        <v>1</v>
      </c>
      <c r="X637">
        <f t="shared" si="272"/>
        <v>2011</v>
      </c>
    </row>
    <row r="638" spans="1:24" ht="12" customHeight="1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  <c r="V638">
        <f t="shared" si="273"/>
        <v>28</v>
      </c>
      <c r="W638">
        <f t="shared" si="271"/>
        <v>7</v>
      </c>
      <c r="X638">
        <f t="shared" si="272"/>
        <v>2011</v>
      </c>
    </row>
    <row r="639" spans="1:24" ht="12" customHeight="1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  <c r="V639">
        <f t="shared" si="273"/>
        <v>25</v>
      </c>
      <c r="W639">
        <f t="shared" si="271"/>
        <v>12</v>
      </c>
      <c r="X639">
        <f t="shared" si="272"/>
        <v>2009</v>
      </c>
    </row>
    <row r="640" spans="1:24" ht="12" customHeight="1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  <c r="V640">
        <f t="shared" si="273"/>
        <v>1</v>
      </c>
      <c r="W640">
        <f t="shared" si="271"/>
        <v>11</v>
      </c>
      <c r="X640">
        <f t="shared" si="272"/>
        <v>2012</v>
      </c>
    </row>
    <row r="641" spans="1:24" ht="12" customHeight="1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  <c r="V641">
        <f t="shared" si="273"/>
        <v>24</v>
      </c>
      <c r="W641">
        <f t="shared" si="271"/>
        <v>12</v>
      </c>
      <c r="X641">
        <f t="shared" si="272"/>
        <v>2009</v>
      </c>
    </row>
    <row r="642" spans="1:24" ht="12" customHeight="1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  <c r="V642">
        <f t="shared" si="273"/>
        <v>17</v>
      </c>
      <c r="W642">
        <f t="shared" si="271"/>
        <v>4</v>
      </c>
      <c r="X642">
        <f t="shared" si="272"/>
        <v>2012</v>
      </c>
    </row>
    <row r="643" spans="1:24" ht="12" customHeight="1">
      <c r="A643" s="4">
        <v>5702</v>
      </c>
      <c r="B643" s="4">
        <v>40327</v>
      </c>
      <c r="C643" s="5">
        <f t="shared" ref="C643:C644" si="29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99">C643+2</f>
        <v>40678</v>
      </c>
      <c r="V643">
        <f t="shared" si="273"/>
        <v>15</v>
      </c>
      <c r="W643">
        <f t="shared" ref="W643:W706" si="300">MONTH(U643)</f>
        <v>5</v>
      </c>
      <c r="X643">
        <f t="shared" ref="X643:X706" si="301">YEAR(U643)</f>
        <v>2011</v>
      </c>
    </row>
    <row r="644" spans="1:24" ht="12" customHeight="1">
      <c r="A644" s="4">
        <v>5703</v>
      </c>
      <c r="B644" s="4">
        <v>40327</v>
      </c>
      <c r="C644" s="5">
        <f t="shared" si="29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99"/>
        <v>40678</v>
      </c>
      <c r="V644">
        <f t="shared" ref="V644:V707" si="302">DAY(U644)</f>
        <v>15</v>
      </c>
      <c r="W644">
        <f t="shared" si="300"/>
        <v>5</v>
      </c>
      <c r="X644">
        <f t="shared" si="301"/>
        <v>2011</v>
      </c>
    </row>
    <row r="645" spans="1:24" ht="12" customHeight="1">
      <c r="A645" s="4">
        <v>5714</v>
      </c>
      <c r="B645" s="4">
        <v>40480</v>
      </c>
      <c r="C645" s="5">
        <f t="shared" ref="C645:C646" si="303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  <c r="V645">
        <f t="shared" si="302"/>
        <v>7</v>
      </c>
      <c r="W645">
        <f t="shared" si="300"/>
        <v>12</v>
      </c>
      <c r="X645">
        <f t="shared" si="301"/>
        <v>2011</v>
      </c>
    </row>
    <row r="646" spans="1:24" ht="12" customHeight="1">
      <c r="A646" s="4">
        <v>5715</v>
      </c>
      <c r="B646" s="4">
        <v>40480</v>
      </c>
      <c r="C646" s="5">
        <f t="shared" si="303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304">C646+2</f>
        <v>40886</v>
      </c>
      <c r="V646">
        <f t="shared" si="302"/>
        <v>9</v>
      </c>
      <c r="W646">
        <f t="shared" si="300"/>
        <v>12</v>
      </c>
      <c r="X646">
        <f t="shared" si="301"/>
        <v>2011</v>
      </c>
    </row>
    <row r="647" spans="1:24" ht="12" customHeight="1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304"/>
        <v>40518</v>
      </c>
      <c r="V647">
        <f t="shared" si="302"/>
        <v>6</v>
      </c>
      <c r="W647">
        <f t="shared" si="300"/>
        <v>12</v>
      </c>
      <c r="X647">
        <f t="shared" si="301"/>
        <v>2010</v>
      </c>
    </row>
    <row r="648" spans="1:24" ht="12" customHeight="1">
      <c r="A648" s="4">
        <v>5750</v>
      </c>
      <c r="B648" s="4">
        <v>40835</v>
      </c>
      <c r="C648" s="5">
        <f t="shared" ref="C648:C650" si="305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304"/>
        <v>40143</v>
      </c>
      <c r="V648">
        <f t="shared" si="302"/>
        <v>26</v>
      </c>
      <c r="W648">
        <f t="shared" si="300"/>
        <v>11</v>
      </c>
      <c r="X648">
        <f t="shared" si="301"/>
        <v>2009</v>
      </c>
    </row>
    <row r="649" spans="1:24" ht="12" customHeight="1">
      <c r="A649" s="4">
        <v>5751</v>
      </c>
      <c r="B649" s="4">
        <v>40835</v>
      </c>
      <c r="C649" s="5">
        <f t="shared" si="305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304"/>
        <v>40143</v>
      </c>
      <c r="V649">
        <f t="shared" si="302"/>
        <v>26</v>
      </c>
      <c r="W649">
        <f t="shared" si="300"/>
        <v>11</v>
      </c>
      <c r="X649">
        <f t="shared" si="301"/>
        <v>2009</v>
      </c>
    </row>
    <row r="650" spans="1:24" ht="12" customHeight="1">
      <c r="A650" s="4">
        <v>5752</v>
      </c>
      <c r="B650" s="4">
        <v>40835</v>
      </c>
      <c r="C650" s="5">
        <f t="shared" si="305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  <c r="V650">
        <f t="shared" si="302"/>
        <v>25</v>
      </c>
      <c r="W650">
        <f t="shared" si="300"/>
        <v>11</v>
      </c>
      <c r="X650">
        <f t="shared" si="301"/>
        <v>2009</v>
      </c>
    </row>
    <row r="651" spans="1:24" ht="12" customHeight="1">
      <c r="A651" s="4">
        <v>5759</v>
      </c>
      <c r="B651" s="4">
        <v>40871</v>
      </c>
      <c r="C651" s="5">
        <f t="shared" ref="C651:C652" si="306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307">C651+2</f>
        <v>40801</v>
      </c>
      <c r="V651">
        <f t="shared" si="302"/>
        <v>15</v>
      </c>
      <c r="W651">
        <f t="shared" si="300"/>
        <v>9</v>
      </c>
      <c r="X651">
        <f t="shared" si="301"/>
        <v>2011</v>
      </c>
    </row>
    <row r="652" spans="1:24" ht="12" customHeight="1">
      <c r="A652" s="4">
        <v>5760</v>
      </c>
      <c r="B652" s="4">
        <v>40871</v>
      </c>
      <c r="C652" s="5">
        <f t="shared" si="306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307"/>
        <v>40801</v>
      </c>
      <c r="V652">
        <f t="shared" si="302"/>
        <v>15</v>
      </c>
      <c r="W652">
        <f t="shared" si="300"/>
        <v>9</v>
      </c>
      <c r="X652">
        <f t="shared" si="301"/>
        <v>2011</v>
      </c>
    </row>
    <row r="653" spans="1:24" ht="12" customHeight="1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307"/>
        <v>40517</v>
      </c>
      <c r="V653">
        <f t="shared" si="302"/>
        <v>5</v>
      </c>
      <c r="W653">
        <f t="shared" si="300"/>
        <v>12</v>
      </c>
      <c r="X653">
        <f t="shared" si="301"/>
        <v>2010</v>
      </c>
    </row>
    <row r="654" spans="1:24" ht="12" customHeight="1">
      <c r="A654" s="4">
        <v>5922</v>
      </c>
      <c r="B654" s="4">
        <v>41991</v>
      </c>
      <c r="C654" s="5">
        <f t="shared" ref="C654:C656" si="308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  <c r="V654">
        <f t="shared" si="302"/>
        <v>23</v>
      </c>
      <c r="W654">
        <f t="shared" si="300"/>
        <v>12</v>
      </c>
      <c r="X654">
        <f t="shared" si="301"/>
        <v>2011</v>
      </c>
    </row>
    <row r="655" spans="1:24" ht="12" customHeight="1">
      <c r="A655" s="4">
        <v>5923</v>
      </c>
      <c r="B655" s="4">
        <v>41991</v>
      </c>
      <c r="C655" s="5">
        <f t="shared" si="308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309">C655+4</f>
        <v>40899</v>
      </c>
      <c r="V655">
        <f t="shared" si="302"/>
        <v>22</v>
      </c>
      <c r="W655">
        <f t="shared" si="300"/>
        <v>12</v>
      </c>
      <c r="X655">
        <f t="shared" si="301"/>
        <v>2011</v>
      </c>
    </row>
    <row r="656" spans="1:24" ht="12" customHeight="1">
      <c r="A656" s="4">
        <v>5924</v>
      </c>
      <c r="B656" s="4">
        <v>41991</v>
      </c>
      <c r="C656" s="5">
        <f t="shared" si="308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309"/>
        <v>40899</v>
      </c>
      <c r="V656">
        <f t="shared" si="302"/>
        <v>22</v>
      </c>
      <c r="W656">
        <f t="shared" si="300"/>
        <v>12</v>
      </c>
      <c r="X656">
        <f t="shared" si="301"/>
        <v>2011</v>
      </c>
    </row>
    <row r="657" spans="1:24" ht="12" customHeight="1">
      <c r="A657" s="4">
        <v>5981</v>
      </c>
      <c r="B657" s="4">
        <v>42400</v>
      </c>
      <c r="C657" s="5">
        <f t="shared" ref="C657:C658" si="310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  <c r="V657">
        <f t="shared" si="302"/>
        <v>11</v>
      </c>
      <c r="W657">
        <f t="shared" si="300"/>
        <v>8</v>
      </c>
      <c r="X657">
        <f t="shared" si="301"/>
        <v>2012</v>
      </c>
    </row>
    <row r="658" spans="1:24" ht="12" customHeight="1">
      <c r="A658" s="4">
        <v>5982</v>
      </c>
      <c r="B658" s="4">
        <v>42400</v>
      </c>
      <c r="C658" s="5">
        <f t="shared" si="310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  <c r="V658">
        <f t="shared" si="302"/>
        <v>14</v>
      </c>
      <c r="W658">
        <f t="shared" si="300"/>
        <v>8</v>
      </c>
      <c r="X658">
        <f t="shared" si="301"/>
        <v>2012</v>
      </c>
    </row>
    <row r="659" spans="1:24" ht="12" customHeight="1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  <c r="V659">
        <f t="shared" si="302"/>
        <v>25</v>
      </c>
      <c r="W659">
        <f t="shared" si="300"/>
        <v>8</v>
      </c>
      <c r="X659">
        <f t="shared" si="301"/>
        <v>2010</v>
      </c>
    </row>
    <row r="660" spans="1:24" ht="12" customHeight="1">
      <c r="A660" s="4">
        <v>6055</v>
      </c>
      <c r="B660" s="4">
        <v>42918</v>
      </c>
      <c r="C660" s="5">
        <f t="shared" ref="C660:C661" si="311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312">C660+2</f>
        <v>40687</v>
      </c>
      <c r="V660">
        <f t="shared" si="302"/>
        <v>24</v>
      </c>
      <c r="W660">
        <f t="shared" si="300"/>
        <v>5</v>
      </c>
      <c r="X660">
        <f t="shared" si="301"/>
        <v>2011</v>
      </c>
    </row>
    <row r="661" spans="1:24" ht="12" customHeight="1">
      <c r="A661" s="4">
        <v>6056</v>
      </c>
      <c r="B661" s="4">
        <v>42918</v>
      </c>
      <c r="C661" s="5">
        <f t="shared" si="311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312"/>
        <v>40687</v>
      </c>
      <c r="V661">
        <f t="shared" si="302"/>
        <v>24</v>
      </c>
      <c r="W661">
        <f t="shared" si="300"/>
        <v>5</v>
      </c>
      <c r="X661">
        <f t="shared" si="301"/>
        <v>2011</v>
      </c>
    </row>
    <row r="662" spans="1:24" ht="12" customHeight="1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  <c r="V662">
        <f t="shared" si="302"/>
        <v>19</v>
      </c>
      <c r="W662">
        <f t="shared" si="300"/>
        <v>11</v>
      </c>
      <c r="X662">
        <f t="shared" si="301"/>
        <v>2012</v>
      </c>
    </row>
    <row r="663" spans="1:24" ht="12" customHeight="1">
      <c r="A663" s="4">
        <v>6219</v>
      </c>
      <c r="B663" s="4">
        <v>44037</v>
      </c>
      <c r="C663" s="5">
        <f t="shared" ref="C663:C664" si="313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314">C663+2</f>
        <v>41090</v>
      </c>
      <c r="V663">
        <f t="shared" si="302"/>
        <v>30</v>
      </c>
      <c r="W663">
        <f t="shared" si="300"/>
        <v>6</v>
      </c>
      <c r="X663">
        <f t="shared" si="301"/>
        <v>2012</v>
      </c>
    </row>
    <row r="664" spans="1:24" ht="12" customHeight="1">
      <c r="A664" s="4">
        <v>6220</v>
      </c>
      <c r="B664" s="4">
        <v>44037</v>
      </c>
      <c r="C664" s="5">
        <f t="shared" si="313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314"/>
        <v>41090</v>
      </c>
      <c r="V664">
        <f t="shared" si="302"/>
        <v>30</v>
      </c>
      <c r="W664">
        <f t="shared" si="300"/>
        <v>6</v>
      </c>
      <c r="X664">
        <f t="shared" si="301"/>
        <v>2012</v>
      </c>
    </row>
    <row r="665" spans="1:24" ht="12" customHeight="1">
      <c r="A665" s="4">
        <v>6270</v>
      </c>
      <c r="B665" s="4">
        <v>44387</v>
      </c>
      <c r="C665" s="5">
        <f t="shared" ref="C665:C666" si="315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  <c r="V665">
        <f t="shared" si="302"/>
        <v>9</v>
      </c>
      <c r="W665">
        <f t="shared" si="300"/>
        <v>2</v>
      </c>
      <c r="X665">
        <f t="shared" si="301"/>
        <v>2009</v>
      </c>
    </row>
    <row r="666" spans="1:24" ht="12" customHeight="1">
      <c r="A666" s="4">
        <v>6271</v>
      </c>
      <c r="B666" s="4">
        <v>44387</v>
      </c>
      <c r="C666" s="5">
        <f t="shared" si="315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  <c r="V666">
        <f t="shared" si="302"/>
        <v>8</v>
      </c>
      <c r="W666">
        <f t="shared" si="300"/>
        <v>2</v>
      </c>
      <c r="X666">
        <f t="shared" si="301"/>
        <v>2009</v>
      </c>
    </row>
    <row r="667" spans="1:24" ht="12" customHeight="1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  <c r="V667">
        <f t="shared" si="302"/>
        <v>26</v>
      </c>
      <c r="W667">
        <f t="shared" si="300"/>
        <v>12</v>
      </c>
      <c r="X667">
        <f t="shared" si="301"/>
        <v>2009</v>
      </c>
    </row>
    <row r="668" spans="1:24" ht="12" customHeight="1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316">C668+2</f>
        <v>40814</v>
      </c>
      <c r="V668">
        <f t="shared" si="302"/>
        <v>28</v>
      </c>
      <c r="W668">
        <f t="shared" si="300"/>
        <v>9</v>
      </c>
      <c r="X668">
        <f t="shared" si="301"/>
        <v>2011</v>
      </c>
    </row>
    <row r="669" spans="1:24" ht="12" customHeight="1">
      <c r="A669" s="4">
        <v>6419</v>
      </c>
      <c r="B669" s="4">
        <v>45606</v>
      </c>
      <c r="C669" s="5">
        <f t="shared" ref="C669:C670" si="317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316"/>
        <v>40810</v>
      </c>
      <c r="V669">
        <f t="shared" si="302"/>
        <v>24</v>
      </c>
      <c r="W669">
        <f t="shared" si="300"/>
        <v>9</v>
      </c>
      <c r="X669">
        <f t="shared" si="301"/>
        <v>2011</v>
      </c>
    </row>
    <row r="670" spans="1:24" ht="12" customHeight="1">
      <c r="A670" s="4">
        <v>6420</v>
      </c>
      <c r="B670" s="4">
        <v>45606</v>
      </c>
      <c r="C670" s="5">
        <f t="shared" si="317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  <c r="V670">
        <f t="shared" si="302"/>
        <v>23</v>
      </c>
      <c r="W670">
        <f t="shared" si="300"/>
        <v>9</v>
      </c>
      <c r="X670">
        <f t="shared" si="301"/>
        <v>2011</v>
      </c>
    </row>
    <row r="671" spans="1:24" ht="12" customHeight="1">
      <c r="A671" s="4">
        <v>6480</v>
      </c>
      <c r="B671" s="4">
        <v>46119</v>
      </c>
      <c r="C671" s="5">
        <f t="shared" ref="C671:C673" si="318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319">C671+2</f>
        <v>39861</v>
      </c>
      <c r="V671">
        <f t="shared" si="302"/>
        <v>17</v>
      </c>
      <c r="W671">
        <f t="shared" si="300"/>
        <v>2</v>
      </c>
      <c r="X671">
        <f t="shared" si="301"/>
        <v>2009</v>
      </c>
    </row>
    <row r="672" spans="1:24" ht="12" customHeight="1">
      <c r="A672" s="4">
        <v>6481</v>
      </c>
      <c r="B672" s="4">
        <v>46119</v>
      </c>
      <c r="C672" s="5">
        <f t="shared" si="318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319"/>
        <v>39861</v>
      </c>
      <c r="V672">
        <f t="shared" si="302"/>
        <v>17</v>
      </c>
      <c r="W672">
        <f t="shared" si="300"/>
        <v>2</v>
      </c>
      <c r="X672">
        <f t="shared" si="301"/>
        <v>2009</v>
      </c>
    </row>
    <row r="673" spans="1:24" ht="12" customHeight="1">
      <c r="A673" s="4">
        <v>6482</v>
      </c>
      <c r="B673" s="4">
        <v>46119</v>
      </c>
      <c r="C673" s="5">
        <f t="shared" si="318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  <c r="V673">
        <f t="shared" si="302"/>
        <v>16</v>
      </c>
      <c r="W673">
        <f t="shared" si="300"/>
        <v>2</v>
      </c>
      <c r="X673">
        <f t="shared" si="301"/>
        <v>2009</v>
      </c>
    </row>
    <row r="674" spans="1:24" ht="12" customHeight="1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  <c r="V674">
        <f t="shared" si="302"/>
        <v>13</v>
      </c>
      <c r="W674">
        <f t="shared" si="300"/>
        <v>10</v>
      </c>
      <c r="X674">
        <f t="shared" si="301"/>
        <v>2009</v>
      </c>
    </row>
    <row r="675" spans="1:24" ht="12" customHeight="1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  <c r="V675">
        <f t="shared" si="302"/>
        <v>11</v>
      </c>
      <c r="W675">
        <f t="shared" si="300"/>
        <v>3</v>
      </c>
      <c r="X675">
        <f t="shared" si="301"/>
        <v>2011</v>
      </c>
    </row>
    <row r="676" spans="1:24" ht="12" customHeight="1">
      <c r="A676" s="4">
        <v>6715</v>
      </c>
      <c r="B676" s="4">
        <v>47846</v>
      </c>
      <c r="C676" s="5">
        <f t="shared" ref="C676:C679" si="320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321">C676+2</f>
        <v>41134</v>
      </c>
      <c r="V676">
        <f t="shared" si="302"/>
        <v>13</v>
      </c>
      <c r="W676">
        <f t="shared" si="300"/>
        <v>8</v>
      </c>
      <c r="X676">
        <f t="shared" si="301"/>
        <v>2012</v>
      </c>
    </row>
    <row r="677" spans="1:24" ht="12" customHeight="1">
      <c r="A677" s="4">
        <v>6716</v>
      </c>
      <c r="B677" s="4">
        <v>47846</v>
      </c>
      <c r="C677" s="5">
        <f t="shared" si="320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321"/>
        <v>41134</v>
      </c>
      <c r="V677">
        <f t="shared" si="302"/>
        <v>13</v>
      </c>
      <c r="W677">
        <f t="shared" si="300"/>
        <v>8</v>
      </c>
      <c r="X677">
        <f t="shared" si="301"/>
        <v>2012</v>
      </c>
    </row>
    <row r="678" spans="1:24" ht="12" customHeight="1">
      <c r="A678" s="4">
        <v>6717</v>
      </c>
      <c r="B678" s="4">
        <v>47846</v>
      </c>
      <c r="C678" s="5">
        <f t="shared" si="320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322">C678+1</f>
        <v>41133</v>
      </c>
      <c r="V678">
        <f t="shared" si="302"/>
        <v>12</v>
      </c>
      <c r="W678">
        <f t="shared" si="300"/>
        <v>8</v>
      </c>
      <c r="X678">
        <f t="shared" si="301"/>
        <v>2012</v>
      </c>
    </row>
    <row r="679" spans="1:24" ht="12" customHeight="1">
      <c r="A679" s="4">
        <v>6718</v>
      </c>
      <c r="B679" s="4">
        <v>47846</v>
      </c>
      <c r="C679" s="5">
        <f t="shared" si="320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322"/>
        <v>41133</v>
      </c>
      <c r="V679">
        <f t="shared" si="302"/>
        <v>12</v>
      </c>
      <c r="W679">
        <f t="shared" si="300"/>
        <v>8</v>
      </c>
      <c r="X679">
        <f t="shared" si="301"/>
        <v>2012</v>
      </c>
    </row>
    <row r="680" spans="1:24" ht="12" customHeight="1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323">C680+2</f>
        <v>40174</v>
      </c>
      <c r="V680">
        <f t="shared" si="302"/>
        <v>27</v>
      </c>
      <c r="W680">
        <f t="shared" si="300"/>
        <v>12</v>
      </c>
      <c r="X680">
        <f t="shared" si="301"/>
        <v>2009</v>
      </c>
    </row>
    <row r="681" spans="1:24" ht="12" customHeight="1">
      <c r="A681" s="4">
        <v>6749</v>
      </c>
      <c r="B681" s="4">
        <v>48067</v>
      </c>
      <c r="C681" s="5">
        <f t="shared" ref="C681:C682" si="324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323"/>
        <v>41091</v>
      </c>
      <c r="V681">
        <f t="shared" si="302"/>
        <v>1</v>
      </c>
      <c r="W681">
        <f t="shared" si="300"/>
        <v>7</v>
      </c>
      <c r="X681">
        <f t="shared" si="301"/>
        <v>2012</v>
      </c>
    </row>
    <row r="682" spans="1:24" ht="12" customHeight="1">
      <c r="A682" s="4">
        <v>6750</v>
      </c>
      <c r="B682" s="4">
        <v>48067</v>
      </c>
      <c r="C682" s="5">
        <f t="shared" si="324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  <c r="V682">
        <f t="shared" si="302"/>
        <v>29</v>
      </c>
      <c r="W682">
        <f t="shared" si="300"/>
        <v>6</v>
      </c>
      <c r="X682">
        <f t="shared" si="301"/>
        <v>2012</v>
      </c>
    </row>
    <row r="683" spans="1:24" ht="12" customHeight="1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  <c r="V683">
        <f t="shared" si="302"/>
        <v>21</v>
      </c>
      <c r="W683">
        <f t="shared" si="300"/>
        <v>1</v>
      </c>
      <c r="X683">
        <f t="shared" si="301"/>
        <v>2009</v>
      </c>
    </row>
    <row r="684" spans="1:24" ht="12" customHeight="1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  <c r="V684">
        <f t="shared" si="302"/>
        <v>22</v>
      </c>
      <c r="W684">
        <f t="shared" si="300"/>
        <v>5</v>
      </c>
      <c r="X684">
        <f t="shared" si="301"/>
        <v>2012</v>
      </c>
    </row>
    <row r="685" spans="1:24" ht="12" customHeight="1">
      <c r="A685" s="4">
        <v>6899</v>
      </c>
      <c r="B685" s="4">
        <v>49216</v>
      </c>
      <c r="C685" s="5">
        <f t="shared" ref="C685:C687" si="325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326">C685+0</f>
        <v>39891</v>
      </c>
      <c r="V685">
        <f t="shared" si="302"/>
        <v>19</v>
      </c>
      <c r="W685">
        <f t="shared" si="300"/>
        <v>3</v>
      </c>
      <c r="X685">
        <f t="shared" si="301"/>
        <v>2009</v>
      </c>
    </row>
    <row r="686" spans="1:24" ht="12" customHeight="1">
      <c r="A686" s="4">
        <v>6900</v>
      </c>
      <c r="B686" s="4">
        <v>49216</v>
      </c>
      <c r="C686" s="5">
        <f t="shared" si="325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326"/>
        <v>39891</v>
      </c>
      <c r="V686">
        <f t="shared" si="302"/>
        <v>19</v>
      </c>
      <c r="W686">
        <f t="shared" si="300"/>
        <v>3</v>
      </c>
      <c r="X686">
        <f t="shared" si="301"/>
        <v>2009</v>
      </c>
    </row>
    <row r="687" spans="1:24" ht="12" customHeight="1">
      <c r="A687" s="4">
        <v>6901</v>
      </c>
      <c r="B687" s="4">
        <v>49216</v>
      </c>
      <c r="C687" s="5">
        <f t="shared" si="325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  <c r="V687">
        <f t="shared" si="302"/>
        <v>20</v>
      </c>
      <c r="W687">
        <f t="shared" si="300"/>
        <v>3</v>
      </c>
      <c r="X687">
        <f t="shared" si="301"/>
        <v>2009</v>
      </c>
    </row>
    <row r="688" spans="1:24" ht="12" customHeight="1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  <c r="V688">
        <f t="shared" si="302"/>
        <v>5</v>
      </c>
      <c r="W688">
        <f t="shared" si="300"/>
        <v>9</v>
      </c>
      <c r="X688">
        <f t="shared" si="301"/>
        <v>2009</v>
      </c>
    </row>
    <row r="689" spans="1:24" ht="12" customHeight="1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327">C689+1</f>
        <v>40121</v>
      </c>
      <c r="V689">
        <f t="shared" si="302"/>
        <v>4</v>
      </c>
      <c r="W689">
        <f t="shared" si="300"/>
        <v>11</v>
      </c>
      <c r="X689">
        <f t="shared" si="301"/>
        <v>2009</v>
      </c>
    </row>
    <row r="690" spans="1:24" ht="12" customHeight="1">
      <c r="A690" s="4">
        <v>7063</v>
      </c>
      <c r="B690" s="4">
        <v>50404</v>
      </c>
      <c r="C690" s="5">
        <f t="shared" ref="C690:C691" si="328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327"/>
        <v>40629</v>
      </c>
      <c r="V690">
        <f t="shared" si="302"/>
        <v>27</v>
      </c>
      <c r="W690">
        <f t="shared" si="300"/>
        <v>3</v>
      </c>
      <c r="X690">
        <f t="shared" si="301"/>
        <v>2011</v>
      </c>
    </row>
    <row r="691" spans="1:24" ht="12" customHeight="1">
      <c r="A691" s="4">
        <v>7064</v>
      </c>
      <c r="B691" s="4">
        <v>50404</v>
      </c>
      <c r="C691" s="5">
        <f t="shared" si="328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  <c r="V691">
        <f t="shared" si="302"/>
        <v>28</v>
      </c>
      <c r="W691">
        <f t="shared" si="300"/>
        <v>3</v>
      </c>
      <c r="X691">
        <f t="shared" si="301"/>
        <v>2011</v>
      </c>
    </row>
    <row r="692" spans="1:24" ht="12" customHeight="1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  <c r="V692">
        <f t="shared" si="302"/>
        <v>11</v>
      </c>
      <c r="W692">
        <f t="shared" si="300"/>
        <v>2</v>
      </c>
      <c r="X692">
        <f t="shared" si="301"/>
        <v>2012</v>
      </c>
    </row>
    <row r="693" spans="1:24" ht="12" customHeight="1">
      <c r="A693" s="4">
        <v>7128</v>
      </c>
      <c r="B693" s="4">
        <v>50850</v>
      </c>
      <c r="C693" s="5">
        <f t="shared" ref="C693:C694" si="329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  <c r="V693">
        <f t="shared" si="302"/>
        <v>8</v>
      </c>
      <c r="W693">
        <f t="shared" si="300"/>
        <v>5</v>
      </c>
      <c r="X693">
        <f t="shared" si="301"/>
        <v>2009</v>
      </c>
    </row>
    <row r="694" spans="1:24" ht="12" customHeight="1">
      <c r="A694" s="4">
        <v>7129</v>
      </c>
      <c r="B694" s="4">
        <v>50850</v>
      </c>
      <c r="C694" s="5">
        <f t="shared" si="329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  <c r="V694">
        <f t="shared" si="302"/>
        <v>7</v>
      </c>
      <c r="W694">
        <f t="shared" si="300"/>
        <v>5</v>
      </c>
      <c r="X694">
        <f t="shared" si="301"/>
        <v>2009</v>
      </c>
    </row>
    <row r="695" spans="1:24" ht="12" customHeight="1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330">C695+2</f>
        <v>40507</v>
      </c>
      <c r="V695">
        <f t="shared" si="302"/>
        <v>25</v>
      </c>
      <c r="W695">
        <f t="shared" si="300"/>
        <v>11</v>
      </c>
      <c r="X695">
        <f t="shared" si="301"/>
        <v>2010</v>
      </c>
    </row>
    <row r="696" spans="1:24" ht="12" customHeight="1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330"/>
        <v>40586</v>
      </c>
      <c r="V696">
        <f t="shared" si="302"/>
        <v>12</v>
      </c>
      <c r="W696">
        <f t="shared" si="300"/>
        <v>2</v>
      </c>
      <c r="X696">
        <f t="shared" si="301"/>
        <v>2011</v>
      </c>
    </row>
    <row r="697" spans="1:24" ht="12" customHeight="1">
      <c r="A697" s="4">
        <v>7232</v>
      </c>
      <c r="B697" s="4">
        <v>51558</v>
      </c>
      <c r="C697" s="5">
        <f t="shared" ref="C697:C698" si="331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332">C697+0</f>
        <v>40266</v>
      </c>
      <c r="V697">
        <f t="shared" si="302"/>
        <v>29</v>
      </c>
      <c r="W697">
        <f t="shared" si="300"/>
        <v>3</v>
      </c>
      <c r="X697">
        <f t="shared" si="301"/>
        <v>2010</v>
      </c>
    </row>
    <row r="698" spans="1:24" ht="12" customHeight="1">
      <c r="A698" s="4">
        <v>7233</v>
      </c>
      <c r="B698" s="4">
        <v>51558</v>
      </c>
      <c r="C698" s="5">
        <f t="shared" si="331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332"/>
        <v>40266</v>
      </c>
      <c r="V698">
        <f t="shared" si="302"/>
        <v>29</v>
      </c>
      <c r="W698">
        <f t="shared" si="300"/>
        <v>3</v>
      </c>
      <c r="X698">
        <f t="shared" si="301"/>
        <v>2010</v>
      </c>
    </row>
    <row r="699" spans="1:24" ht="12" customHeight="1">
      <c r="A699" s="4">
        <v>7310</v>
      </c>
      <c r="B699" s="4">
        <v>52130</v>
      </c>
      <c r="C699" s="5">
        <f t="shared" ref="C699:C700" si="333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34">C699+2</f>
        <v>41159</v>
      </c>
      <c r="V699">
        <f t="shared" si="302"/>
        <v>7</v>
      </c>
      <c r="W699">
        <f t="shared" si="300"/>
        <v>9</v>
      </c>
      <c r="X699">
        <f t="shared" si="301"/>
        <v>2012</v>
      </c>
    </row>
    <row r="700" spans="1:24" ht="12" customHeight="1">
      <c r="A700" s="4">
        <v>7311</v>
      </c>
      <c r="B700" s="4">
        <v>52130</v>
      </c>
      <c r="C700" s="5">
        <f t="shared" si="333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34"/>
        <v>41159</v>
      </c>
      <c r="V700">
        <f t="shared" si="302"/>
        <v>7</v>
      </c>
      <c r="W700">
        <f t="shared" si="300"/>
        <v>9</v>
      </c>
      <c r="X700">
        <f t="shared" si="301"/>
        <v>2012</v>
      </c>
    </row>
    <row r="701" spans="1:24" ht="12" customHeight="1">
      <c r="A701" s="4">
        <v>7363</v>
      </c>
      <c r="B701" s="4">
        <v>52482</v>
      </c>
      <c r="C701" s="5">
        <f t="shared" ref="C701:C702" si="335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  <c r="V701">
        <f t="shared" si="302"/>
        <v>31</v>
      </c>
      <c r="W701">
        <f t="shared" si="300"/>
        <v>1</v>
      </c>
      <c r="X701">
        <f t="shared" si="301"/>
        <v>2011</v>
      </c>
    </row>
    <row r="702" spans="1:24" ht="12" customHeight="1">
      <c r="A702" s="4">
        <v>7364</v>
      </c>
      <c r="B702" s="4">
        <v>52482</v>
      </c>
      <c r="C702" s="5">
        <f t="shared" si="335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36">C702+2</f>
        <v>40576</v>
      </c>
      <c r="V702">
        <f t="shared" si="302"/>
        <v>2</v>
      </c>
      <c r="W702">
        <f t="shared" si="300"/>
        <v>2</v>
      </c>
      <c r="X702">
        <f t="shared" si="301"/>
        <v>2011</v>
      </c>
    </row>
    <row r="703" spans="1:24" ht="12" customHeight="1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36"/>
        <v>40034</v>
      </c>
      <c r="V703">
        <f t="shared" si="302"/>
        <v>9</v>
      </c>
      <c r="W703">
        <f t="shared" si="300"/>
        <v>8</v>
      </c>
      <c r="X703">
        <f t="shared" si="301"/>
        <v>2009</v>
      </c>
    </row>
    <row r="704" spans="1:24" ht="12" customHeight="1">
      <c r="A704" s="4">
        <v>7493</v>
      </c>
      <c r="B704" s="4">
        <v>53477</v>
      </c>
      <c r="C704" s="5">
        <f t="shared" ref="C704:C707" si="337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36"/>
        <v>41036</v>
      </c>
      <c r="V704">
        <f t="shared" si="302"/>
        <v>7</v>
      </c>
      <c r="W704">
        <f t="shared" si="300"/>
        <v>5</v>
      </c>
      <c r="X704">
        <f t="shared" si="301"/>
        <v>2012</v>
      </c>
    </row>
    <row r="705" spans="1:24" ht="12" customHeight="1">
      <c r="A705" s="4">
        <v>7494</v>
      </c>
      <c r="B705" s="4">
        <v>53477</v>
      </c>
      <c r="C705" s="5">
        <f t="shared" si="337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  <c r="V705">
        <f t="shared" si="302"/>
        <v>6</v>
      </c>
      <c r="W705">
        <f t="shared" si="300"/>
        <v>5</v>
      </c>
      <c r="X705">
        <f t="shared" si="301"/>
        <v>2012</v>
      </c>
    </row>
    <row r="706" spans="1:24" ht="12" customHeight="1">
      <c r="A706" s="4">
        <v>7495</v>
      </c>
      <c r="B706" s="4">
        <v>53477</v>
      </c>
      <c r="C706" s="5">
        <f t="shared" si="337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38">C706+2</f>
        <v>41036</v>
      </c>
      <c r="V706">
        <f t="shared" si="302"/>
        <v>7</v>
      </c>
      <c r="W706">
        <f t="shared" si="300"/>
        <v>5</v>
      </c>
      <c r="X706">
        <f t="shared" si="301"/>
        <v>2012</v>
      </c>
    </row>
    <row r="707" spans="1:24" ht="12" customHeight="1">
      <c r="A707" s="4">
        <v>7496</v>
      </c>
      <c r="B707" s="4">
        <v>53477</v>
      </c>
      <c r="C707" s="5">
        <f t="shared" si="337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38"/>
        <v>41036</v>
      </c>
      <c r="V707">
        <f t="shared" si="302"/>
        <v>7</v>
      </c>
      <c r="W707">
        <f t="shared" ref="W707:W770" si="339">MONTH(U707)</f>
        <v>5</v>
      </c>
      <c r="X707">
        <f t="shared" ref="X707:X770" si="340">YEAR(U707)</f>
        <v>2012</v>
      </c>
    </row>
    <row r="708" spans="1:24" ht="12" customHeight="1">
      <c r="A708" s="4">
        <v>7497</v>
      </c>
      <c r="B708" s="4">
        <v>53508</v>
      </c>
      <c r="C708" s="5">
        <f t="shared" ref="C708:C710" si="341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38"/>
        <v>40129</v>
      </c>
      <c r="V708">
        <f t="shared" ref="V708:V771" si="342">DAY(U708)</f>
        <v>12</v>
      </c>
      <c r="W708">
        <f t="shared" si="339"/>
        <v>11</v>
      </c>
      <c r="X708">
        <f t="shared" si="340"/>
        <v>2009</v>
      </c>
    </row>
    <row r="709" spans="1:24" ht="12" customHeight="1">
      <c r="A709" s="4">
        <v>7498</v>
      </c>
      <c r="B709" s="4">
        <v>53508</v>
      </c>
      <c r="C709" s="5">
        <f t="shared" si="341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38"/>
        <v>40129</v>
      </c>
      <c r="V709">
        <f t="shared" si="342"/>
        <v>12</v>
      </c>
      <c r="W709">
        <f t="shared" si="339"/>
        <v>11</v>
      </c>
      <c r="X709">
        <f t="shared" si="340"/>
        <v>2009</v>
      </c>
    </row>
    <row r="710" spans="1:24" ht="12" customHeight="1">
      <c r="A710" s="4">
        <v>7499</v>
      </c>
      <c r="B710" s="4">
        <v>53508</v>
      </c>
      <c r="C710" s="5">
        <f t="shared" si="341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  <c r="V710">
        <f t="shared" si="342"/>
        <v>10</v>
      </c>
      <c r="W710">
        <f t="shared" si="339"/>
        <v>11</v>
      </c>
      <c r="X710">
        <f t="shared" si="340"/>
        <v>2009</v>
      </c>
    </row>
    <row r="711" spans="1:24" ht="12" customHeight="1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  <c r="V711">
        <f t="shared" si="342"/>
        <v>15</v>
      </c>
      <c r="W711">
        <f t="shared" si="339"/>
        <v>6</v>
      </c>
      <c r="X711">
        <f t="shared" si="340"/>
        <v>2010</v>
      </c>
    </row>
    <row r="712" spans="1:24" ht="12" customHeight="1">
      <c r="A712" s="4">
        <v>7562</v>
      </c>
      <c r="B712" s="4">
        <v>54115</v>
      </c>
      <c r="C712" s="5">
        <f t="shared" ref="C712:C713" si="343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44">C712+5</f>
        <v>40920</v>
      </c>
      <c r="V712">
        <f t="shared" si="342"/>
        <v>12</v>
      </c>
      <c r="W712">
        <f t="shared" si="339"/>
        <v>1</v>
      </c>
      <c r="X712">
        <f t="shared" si="340"/>
        <v>2012</v>
      </c>
    </row>
    <row r="713" spans="1:24" ht="12" customHeight="1">
      <c r="A713" s="4">
        <v>7563</v>
      </c>
      <c r="B713" s="4">
        <v>54115</v>
      </c>
      <c r="C713" s="5">
        <f t="shared" si="343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44"/>
        <v>40920</v>
      </c>
      <c r="V713">
        <f t="shared" si="342"/>
        <v>12</v>
      </c>
      <c r="W713">
        <f t="shared" si="339"/>
        <v>1</v>
      </c>
      <c r="X713">
        <f t="shared" si="340"/>
        <v>2012</v>
      </c>
    </row>
    <row r="714" spans="1:24" ht="12" customHeight="1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  <c r="V714">
        <f t="shared" si="342"/>
        <v>19</v>
      </c>
      <c r="W714">
        <f t="shared" si="339"/>
        <v>12</v>
      </c>
      <c r="X714">
        <f t="shared" si="340"/>
        <v>2010</v>
      </c>
    </row>
    <row r="715" spans="1:24" ht="12" customHeight="1">
      <c r="A715" s="4">
        <v>7616</v>
      </c>
      <c r="B715" s="4">
        <v>54501</v>
      </c>
      <c r="C715" s="5">
        <f t="shared" ref="C715:C717" si="345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  <c r="V715">
        <f t="shared" si="342"/>
        <v>30</v>
      </c>
      <c r="W715">
        <f t="shared" si="339"/>
        <v>11</v>
      </c>
      <c r="X715">
        <f t="shared" si="340"/>
        <v>2012</v>
      </c>
    </row>
    <row r="716" spans="1:24" ht="12" customHeight="1">
      <c r="A716" s="4">
        <v>7617</v>
      </c>
      <c r="B716" s="4">
        <v>54501</v>
      </c>
      <c r="C716" s="5">
        <f t="shared" si="345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46">C716+2</f>
        <v>41244</v>
      </c>
      <c r="V716">
        <f t="shared" si="342"/>
        <v>1</v>
      </c>
      <c r="W716">
        <f t="shared" si="339"/>
        <v>12</v>
      </c>
      <c r="X716">
        <f t="shared" si="340"/>
        <v>2012</v>
      </c>
    </row>
    <row r="717" spans="1:24" ht="12" customHeight="1">
      <c r="A717" s="4">
        <v>7618</v>
      </c>
      <c r="B717" s="4">
        <v>54501</v>
      </c>
      <c r="C717" s="5">
        <f t="shared" si="345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46"/>
        <v>41244</v>
      </c>
      <c r="V717">
        <f t="shared" si="342"/>
        <v>1</v>
      </c>
      <c r="W717">
        <f t="shared" si="339"/>
        <v>12</v>
      </c>
      <c r="X717">
        <f t="shared" si="340"/>
        <v>2012</v>
      </c>
    </row>
    <row r="718" spans="1:24" ht="12" customHeight="1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47">C718+1</f>
        <v>39922</v>
      </c>
      <c r="V718">
        <f t="shared" si="342"/>
        <v>19</v>
      </c>
      <c r="W718">
        <f t="shared" si="339"/>
        <v>4</v>
      </c>
      <c r="X718">
        <f t="shared" si="340"/>
        <v>2009</v>
      </c>
    </row>
    <row r="719" spans="1:24" ht="12" customHeight="1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47"/>
        <v>40081</v>
      </c>
      <c r="V719">
        <f t="shared" si="342"/>
        <v>25</v>
      </c>
      <c r="W719">
        <f t="shared" si="339"/>
        <v>9</v>
      </c>
      <c r="X719">
        <f t="shared" si="340"/>
        <v>2009</v>
      </c>
    </row>
    <row r="720" spans="1:24" ht="12" customHeight="1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48">C720+2</f>
        <v>40615</v>
      </c>
      <c r="V720">
        <f t="shared" si="342"/>
        <v>13</v>
      </c>
      <c r="W720">
        <f t="shared" si="339"/>
        <v>3</v>
      </c>
      <c r="X720">
        <f t="shared" si="340"/>
        <v>2011</v>
      </c>
    </row>
    <row r="721" spans="1:24" ht="12" customHeight="1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48"/>
        <v>40527</v>
      </c>
      <c r="V721">
        <f t="shared" si="342"/>
        <v>15</v>
      </c>
      <c r="W721">
        <f t="shared" si="339"/>
        <v>12</v>
      </c>
      <c r="X721">
        <f t="shared" si="340"/>
        <v>2010</v>
      </c>
    </row>
    <row r="722" spans="1:24" ht="12" customHeight="1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  <c r="V722">
        <f t="shared" si="342"/>
        <v>22</v>
      </c>
      <c r="W722">
        <f t="shared" si="339"/>
        <v>1</v>
      </c>
      <c r="X722">
        <f t="shared" si="340"/>
        <v>2012</v>
      </c>
    </row>
    <row r="723" spans="1:24" ht="12" customHeight="1">
      <c r="A723" s="4">
        <v>7924</v>
      </c>
      <c r="B723" s="4">
        <v>56645</v>
      </c>
      <c r="C723" s="5">
        <f t="shared" ref="C723:C724" si="349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  <c r="V723">
        <f t="shared" si="342"/>
        <v>6</v>
      </c>
      <c r="W723">
        <f t="shared" si="339"/>
        <v>1</v>
      </c>
      <c r="X723">
        <f t="shared" si="340"/>
        <v>2012</v>
      </c>
    </row>
    <row r="724" spans="1:24" ht="12" customHeight="1">
      <c r="A724" s="4">
        <v>7925</v>
      </c>
      <c r="B724" s="4">
        <v>56645</v>
      </c>
      <c r="C724" s="5">
        <f t="shared" si="349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  <c r="V724">
        <f t="shared" si="342"/>
        <v>8</v>
      </c>
      <c r="W724">
        <f t="shared" si="339"/>
        <v>1</v>
      </c>
      <c r="X724">
        <f t="shared" si="340"/>
        <v>2012</v>
      </c>
    </row>
    <row r="725" spans="1:24" ht="12" customHeight="1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  <c r="V725">
        <f t="shared" si="342"/>
        <v>10</v>
      </c>
      <c r="W725">
        <f t="shared" si="339"/>
        <v>12</v>
      </c>
      <c r="X725">
        <f t="shared" si="340"/>
        <v>2009</v>
      </c>
    </row>
    <row r="726" spans="1:24" ht="12" customHeight="1">
      <c r="A726" s="4">
        <v>8001</v>
      </c>
      <c r="B726" s="4">
        <v>57159</v>
      </c>
      <c r="C726" s="5">
        <f t="shared" ref="C726:C727" si="350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  <c r="V726">
        <f t="shared" si="342"/>
        <v>13</v>
      </c>
      <c r="W726">
        <f t="shared" si="339"/>
        <v>2</v>
      </c>
      <c r="X726">
        <f t="shared" si="340"/>
        <v>2010</v>
      </c>
    </row>
    <row r="727" spans="1:24" ht="12" customHeight="1">
      <c r="A727" s="4">
        <v>8002</v>
      </c>
      <c r="B727" s="4">
        <v>57159</v>
      </c>
      <c r="C727" s="5">
        <f t="shared" si="350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  <c r="V727">
        <f t="shared" si="342"/>
        <v>12</v>
      </c>
      <c r="W727">
        <f t="shared" si="339"/>
        <v>2</v>
      </c>
      <c r="X727">
        <f t="shared" si="340"/>
        <v>2010</v>
      </c>
    </row>
    <row r="728" spans="1:24" ht="12" customHeight="1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  <c r="V728">
        <f t="shared" si="342"/>
        <v>29</v>
      </c>
      <c r="W728">
        <f t="shared" si="339"/>
        <v>6</v>
      </c>
      <c r="X728">
        <f t="shared" si="340"/>
        <v>2009</v>
      </c>
    </row>
    <row r="729" spans="1:24" ht="12" customHeight="1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  <c r="V729">
        <f t="shared" si="342"/>
        <v>8</v>
      </c>
      <c r="W729">
        <f t="shared" si="339"/>
        <v>2</v>
      </c>
      <c r="X729">
        <f t="shared" si="340"/>
        <v>2011</v>
      </c>
    </row>
    <row r="730" spans="1:24" ht="12" customHeight="1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  <c r="V730">
        <f t="shared" si="342"/>
        <v>21</v>
      </c>
      <c r="W730">
        <f t="shared" si="339"/>
        <v>2</v>
      </c>
      <c r="X730">
        <f t="shared" si="340"/>
        <v>2011</v>
      </c>
    </row>
    <row r="731" spans="1:24" ht="12" customHeight="1">
      <c r="A731" s="4">
        <v>8149</v>
      </c>
      <c r="B731" s="4">
        <v>58278</v>
      </c>
      <c r="C731" s="5">
        <f t="shared" ref="C731:C732" si="351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  <c r="V731">
        <f t="shared" si="342"/>
        <v>12</v>
      </c>
      <c r="W731">
        <f t="shared" si="339"/>
        <v>9</v>
      </c>
      <c r="X731">
        <f t="shared" si="340"/>
        <v>2012</v>
      </c>
    </row>
    <row r="732" spans="1:24" ht="12" customHeight="1">
      <c r="A732" s="4">
        <v>8150</v>
      </c>
      <c r="B732" s="4">
        <v>58278</v>
      </c>
      <c r="C732" s="5">
        <f t="shared" si="351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  <c r="V732">
        <f t="shared" si="342"/>
        <v>13</v>
      </c>
      <c r="W732">
        <f t="shared" si="339"/>
        <v>9</v>
      </c>
      <c r="X732">
        <f t="shared" si="340"/>
        <v>2012</v>
      </c>
    </row>
    <row r="733" spans="1:24" ht="12" customHeight="1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52">C733+2</f>
        <v>40223</v>
      </c>
      <c r="V733">
        <f t="shared" si="342"/>
        <v>14</v>
      </c>
      <c r="W733">
        <f t="shared" si="339"/>
        <v>2</v>
      </c>
      <c r="X733">
        <f t="shared" si="340"/>
        <v>2010</v>
      </c>
    </row>
    <row r="734" spans="1:24" ht="12" customHeight="1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52"/>
        <v>40212</v>
      </c>
      <c r="V734">
        <f t="shared" si="342"/>
        <v>3</v>
      </c>
      <c r="W734">
        <f t="shared" si="339"/>
        <v>2</v>
      </c>
      <c r="X734">
        <f t="shared" si="340"/>
        <v>2010</v>
      </c>
    </row>
    <row r="735" spans="1:24" ht="12" customHeight="1">
      <c r="A735" s="4">
        <v>8245</v>
      </c>
      <c r="B735" s="4">
        <v>58947</v>
      </c>
      <c r="C735" s="5">
        <f t="shared" ref="C735:C736" si="353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  <c r="V735">
        <f t="shared" si="342"/>
        <v>26</v>
      </c>
      <c r="W735">
        <f t="shared" si="339"/>
        <v>9</v>
      </c>
      <c r="X735">
        <f t="shared" si="340"/>
        <v>2011</v>
      </c>
    </row>
    <row r="736" spans="1:24" ht="12" customHeight="1">
      <c r="A736" s="4">
        <v>8246</v>
      </c>
      <c r="B736" s="4">
        <v>58947</v>
      </c>
      <c r="C736" s="5">
        <f t="shared" si="353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  <c r="V736">
        <f t="shared" si="342"/>
        <v>27</v>
      </c>
      <c r="W736">
        <f t="shared" si="339"/>
        <v>9</v>
      </c>
      <c r="X736">
        <f t="shared" si="340"/>
        <v>2011</v>
      </c>
    </row>
    <row r="737" spans="1:24" ht="12" customHeight="1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54">C737+2</f>
        <v>40404</v>
      </c>
      <c r="V737">
        <f t="shared" si="342"/>
        <v>14</v>
      </c>
      <c r="W737">
        <f t="shared" si="339"/>
        <v>8</v>
      </c>
      <c r="X737">
        <f t="shared" si="340"/>
        <v>2010</v>
      </c>
    </row>
    <row r="738" spans="1:24" ht="12" customHeight="1">
      <c r="A738" s="4">
        <v>8292</v>
      </c>
      <c r="B738" s="4">
        <v>59233</v>
      </c>
      <c r="C738" s="5">
        <f t="shared" ref="C738:C739" si="355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54"/>
        <v>40412</v>
      </c>
      <c r="V738">
        <f t="shared" si="342"/>
        <v>22</v>
      </c>
      <c r="W738">
        <f t="shared" si="339"/>
        <v>8</v>
      </c>
      <c r="X738">
        <f t="shared" si="340"/>
        <v>2010</v>
      </c>
    </row>
    <row r="739" spans="1:24" ht="12" customHeight="1">
      <c r="A739" s="4">
        <v>8293</v>
      </c>
      <c r="B739" s="4">
        <v>59233</v>
      </c>
      <c r="C739" s="5">
        <f t="shared" si="355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  <c r="V739">
        <f t="shared" si="342"/>
        <v>20</v>
      </c>
      <c r="W739">
        <f t="shared" si="339"/>
        <v>8</v>
      </c>
      <c r="X739">
        <f t="shared" si="340"/>
        <v>2010</v>
      </c>
    </row>
    <row r="740" spans="1:24" ht="12" customHeight="1">
      <c r="A740" s="4">
        <v>8316</v>
      </c>
      <c r="B740" s="4">
        <v>59425</v>
      </c>
      <c r="C740" s="5">
        <f t="shared" ref="C740:C741" si="356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  <c r="V740">
        <f t="shared" si="342"/>
        <v>19</v>
      </c>
      <c r="W740">
        <f t="shared" si="339"/>
        <v>5</v>
      </c>
      <c r="X740">
        <f t="shared" si="340"/>
        <v>2012</v>
      </c>
    </row>
    <row r="741" spans="1:24" ht="12" customHeight="1">
      <c r="A741" s="4">
        <v>8317</v>
      </c>
      <c r="B741" s="4">
        <v>59425</v>
      </c>
      <c r="C741" s="5">
        <f t="shared" si="356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  <c r="V741">
        <f t="shared" si="342"/>
        <v>20</v>
      </c>
      <c r="W741">
        <f t="shared" si="339"/>
        <v>5</v>
      </c>
      <c r="X741">
        <f t="shared" si="340"/>
        <v>2012</v>
      </c>
    </row>
    <row r="742" spans="1:24" ht="12" customHeight="1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  <c r="V742">
        <f t="shared" si="342"/>
        <v>13</v>
      </c>
      <c r="W742">
        <f t="shared" si="339"/>
        <v>7</v>
      </c>
      <c r="X742">
        <f t="shared" si="340"/>
        <v>2010</v>
      </c>
    </row>
    <row r="743" spans="1:24" ht="12" customHeight="1">
      <c r="A743" s="4">
        <v>7</v>
      </c>
      <c r="B743" s="4">
        <v>35</v>
      </c>
      <c r="C743" s="5">
        <f t="shared" ref="C743:C744" si="357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  <c r="V743">
        <f t="shared" si="342"/>
        <v>23</v>
      </c>
      <c r="W743">
        <f t="shared" si="339"/>
        <v>10</v>
      </c>
      <c r="X743">
        <f t="shared" si="340"/>
        <v>2011</v>
      </c>
    </row>
    <row r="744" spans="1:24" ht="12" customHeight="1">
      <c r="A744" s="4">
        <v>8</v>
      </c>
      <c r="B744" s="4">
        <v>35</v>
      </c>
      <c r="C744" s="5">
        <f t="shared" si="357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  <c r="V744">
        <f t="shared" si="342"/>
        <v>24</v>
      </c>
      <c r="W744">
        <f t="shared" si="339"/>
        <v>10</v>
      </c>
      <c r="X744">
        <f t="shared" si="340"/>
        <v>2011</v>
      </c>
    </row>
    <row r="745" spans="1:24" ht="12" customHeight="1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58">C745+1</f>
        <v>40375</v>
      </c>
      <c r="V745">
        <f t="shared" si="342"/>
        <v>16</v>
      </c>
      <c r="W745">
        <f t="shared" si="339"/>
        <v>7</v>
      </c>
      <c r="X745">
        <f t="shared" si="340"/>
        <v>2010</v>
      </c>
    </row>
    <row r="746" spans="1:24" ht="12" customHeight="1">
      <c r="A746" s="4">
        <v>76</v>
      </c>
      <c r="B746" s="4">
        <v>450</v>
      </c>
      <c r="C746" s="5">
        <f t="shared" ref="C746:C747" si="359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58"/>
        <v>40607</v>
      </c>
      <c r="V746">
        <f t="shared" si="342"/>
        <v>5</v>
      </c>
      <c r="W746">
        <f t="shared" si="339"/>
        <v>3</v>
      </c>
      <c r="X746">
        <f t="shared" si="340"/>
        <v>2011</v>
      </c>
    </row>
    <row r="747" spans="1:24" ht="12" customHeight="1">
      <c r="A747" s="4">
        <v>77</v>
      </c>
      <c r="B747" s="4">
        <v>450</v>
      </c>
      <c r="C747" s="5">
        <f t="shared" si="359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  <c r="V747">
        <f t="shared" si="342"/>
        <v>6</v>
      </c>
      <c r="W747">
        <f t="shared" si="339"/>
        <v>3</v>
      </c>
      <c r="X747">
        <f t="shared" si="340"/>
        <v>2011</v>
      </c>
    </row>
    <row r="748" spans="1:24" ht="12" customHeight="1">
      <c r="A748" s="4">
        <v>164</v>
      </c>
      <c r="B748" s="4">
        <v>1028</v>
      </c>
      <c r="C748" s="5">
        <f t="shared" ref="C748:C749" si="360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  <c r="V748">
        <f t="shared" si="342"/>
        <v>6</v>
      </c>
      <c r="W748">
        <f t="shared" si="339"/>
        <v>1</v>
      </c>
      <c r="X748">
        <f t="shared" si="340"/>
        <v>2009</v>
      </c>
    </row>
    <row r="749" spans="1:24" ht="12" customHeight="1">
      <c r="A749" s="4">
        <v>165</v>
      </c>
      <c r="B749" s="4">
        <v>1028</v>
      </c>
      <c r="C749" s="5">
        <f t="shared" si="360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61">C749+2</f>
        <v>39820</v>
      </c>
      <c r="V749">
        <f t="shared" si="342"/>
        <v>7</v>
      </c>
      <c r="W749">
        <f t="shared" si="339"/>
        <v>1</v>
      </c>
      <c r="X749">
        <f t="shared" si="340"/>
        <v>2009</v>
      </c>
    </row>
    <row r="750" spans="1:24" ht="12" customHeight="1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61"/>
        <v>39947</v>
      </c>
      <c r="V750">
        <f t="shared" si="342"/>
        <v>14</v>
      </c>
      <c r="W750">
        <f t="shared" si="339"/>
        <v>5</v>
      </c>
      <c r="X750">
        <f t="shared" si="340"/>
        <v>2009</v>
      </c>
    </row>
    <row r="751" spans="1:24" ht="12" customHeight="1">
      <c r="A751" s="4">
        <v>333</v>
      </c>
      <c r="B751" s="4">
        <v>2279</v>
      </c>
      <c r="C751" s="5">
        <f t="shared" ref="C751:C752" si="362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  <c r="V751">
        <f t="shared" si="342"/>
        <v>23</v>
      </c>
      <c r="W751">
        <f t="shared" si="339"/>
        <v>2</v>
      </c>
      <c r="X751">
        <f t="shared" si="340"/>
        <v>2010</v>
      </c>
    </row>
    <row r="752" spans="1:24" ht="12" customHeight="1">
      <c r="A752" s="4">
        <v>334</v>
      </c>
      <c r="B752" s="4">
        <v>2279</v>
      </c>
      <c r="C752" s="5">
        <f t="shared" si="362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63">C752+2</f>
        <v>40233</v>
      </c>
      <c r="V752">
        <f t="shared" si="342"/>
        <v>24</v>
      </c>
      <c r="W752">
        <f t="shared" si="339"/>
        <v>2</v>
      </c>
      <c r="X752">
        <f t="shared" si="340"/>
        <v>2010</v>
      </c>
    </row>
    <row r="753" spans="1:24" ht="12" customHeight="1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63"/>
        <v>40719</v>
      </c>
      <c r="V753">
        <f t="shared" si="342"/>
        <v>25</v>
      </c>
      <c r="W753">
        <f t="shared" si="339"/>
        <v>6</v>
      </c>
      <c r="X753">
        <f t="shared" si="340"/>
        <v>2011</v>
      </c>
    </row>
    <row r="754" spans="1:24" ht="12" customHeight="1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63"/>
        <v>39894</v>
      </c>
      <c r="V754">
        <f t="shared" si="342"/>
        <v>22</v>
      </c>
      <c r="W754">
        <f t="shared" si="339"/>
        <v>3</v>
      </c>
      <c r="X754">
        <f t="shared" si="340"/>
        <v>2009</v>
      </c>
    </row>
    <row r="755" spans="1:24" ht="12" customHeight="1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63"/>
        <v>40567</v>
      </c>
      <c r="V755">
        <f t="shared" si="342"/>
        <v>24</v>
      </c>
      <c r="W755">
        <f t="shared" si="339"/>
        <v>1</v>
      </c>
      <c r="X755">
        <f t="shared" si="340"/>
        <v>2011</v>
      </c>
    </row>
    <row r="756" spans="1:24" ht="12" customHeight="1">
      <c r="A756" s="4">
        <v>485</v>
      </c>
      <c r="B756" s="4">
        <v>3362</v>
      </c>
      <c r="C756" s="5">
        <f t="shared" ref="C756:C757" si="364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  <c r="V756">
        <f t="shared" si="342"/>
        <v>1</v>
      </c>
      <c r="W756">
        <f t="shared" si="339"/>
        <v>8</v>
      </c>
      <c r="X756">
        <f t="shared" si="340"/>
        <v>2011</v>
      </c>
    </row>
    <row r="757" spans="1:24" ht="12" customHeight="1">
      <c r="A757" s="4">
        <v>486</v>
      </c>
      <c r="B757" s="4">
        <v>3362</v>
      </c>
      <c r="C757" s="5">
        <f t="shared" si="364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  <c r="V757">
        <f t="shared" si="342"/>
        <v>6</v>
      </c>
      <c r="W757">
        <f t="shared" si="339"/>
        <v>8</v>
      </c>
      <c r="X757">
        <f t="shared" si="340"/>
        <v>2011</v>
      </c>
    </row>
    <row r="758" spans="1:24" ht="12" customHeight="1">
      <c r="A758" s="4">
        <v>739</v>
      </c>
      <c r="B758" s="4">
        <v>5318</v>
      </c>
      <c r="C758" s="5">
        <f t="shared" ref="C758:C759" si="365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  <c r="V758">
        <f t="shared" si="342"/>
        <v>5</v>
      </c>
      <c r="W758">
        <f t="shared" si="339"/>
        <v>4</v>
      </c>
      <c r="X758">
        <f t="shared" si="340"/>
        <v>2010</v>
      </c>
    </row>
    <row r="759" spans="1:24" ht="12" customHeight="1">
      <c r="A759" s="4">
        <v>740</v>
      </c>
      <c r="B759" s="4">
        <v>5318</v>
      </c>
      <c r="C759" s="5">
        <f t="shared" si="365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66">C759+1</f>
        <v>40272</v>
      </c>
      <c r="V759">
        <f t="shared" si="342"/>
        <v>4</v>
      </c>
      <c r="W759">
        <f t="shared" si="339"/>
        <v>4</v>
      </c>
      <c r="X759">
        <f t="shared" si="340"/>
        <v>2010</v>
      </c>
    </row>
    <row r="760" spans="1:24" ht="12" customHeight="1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66"/>
        <v>40504</v>
      </c>
      <c r="V760">
        <f t="shared" si="342"/>
        <v>22</v>
      </c>
      <c r="W760">
        <f t="shared" si="339"/>
        <v>11</v>
      </c>
      <c r="X760">
        <f t="shared" si="340"/>
        <v>2010</v>
      </c>
    </row>
    <row r="761" spans="1:24" ht="12" customHeight="1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66"/>
        <v>40433</v>
      </c>
      <c r="V761">
        <f t="shared" si="342"/>
        <v>12</v>
      </c>
      <c r="W761">
        <f t="shared" si="339"/>
        <v>9</v>
      </c>
      <c r="X761">
        <f t="shared" si="340"/>
        <v>2010</v>
      </c>
    </row>
    <row r="762" spans="1:24" ht="12" customHeight="1">
      <c r="A762" s="4">
        <v>882</v>
      </c>
      <c r="B762" s="4">
        <v>6337</v>
      </c>
      <c r="C762" s="5">
        <f t="shared" ref="C762:C763" si="367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  <c r="V762">
        <f t="shared" si="342"/>
        <v>2</v>
      </c>
      <c r="W762">
        <f t="shared" si="339"/>
        <v>9</v>
      </c>
      <c r="X762">
        <f t="shared" si="340"/>
        <v>2011</v>
      </c>
    </row>
    <row r="763" spans="1:24" ht="12" customHeight="1">
      <c r="A763" s="4">
        <v>883</v>
      </c>
      <c r="B763" s="4">
        <v>6337</v>
      </c>
      <c r="C763" s="5">
        <f t="shared" si="367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  <c r="V763">
        <f t="shared" si="342"/>
        <v>1</v>
      </c>
      <c r="W763">
        <f t="shared" si="339"/>
        <v>9</v>
      </c>
      <c r="X763">
        <f t="shared" si="340"/>
        <v>2011</v>
      </c>
    </row>
    <row r="764" spans="1:24" ht="12" customHeight="1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  <c r="V764">
        <f t="shared" si="342"/>
        <v>7</v>
      </c>
      <c r="W764">
        <f t="shared" si="339"/>
        <v>6</v>
      </c>
      <c r="X764">
        <f t="shared" si="340"/>
        <v>2009</v>
      </c>
    </row>
    <row r="765" spans="1:24" ht="12" customHeight="1">
      <c r="A765" s="4">
        <v>989</v>
      </c>
      <c r="B765" s="4">
        <v>7136</v>
      </c>
      <c r="C765" s="5">
        <f t="shared" ref="C765:C766" si="368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69">C765+2</f>
        <v>39896</v>
      </c>
      <c r="V765">
        <f t="shared" si="342"/>
        <v>24</v>
      </c>
      <c r="W765">
        <f t="shared" si="339"/>
        <v>3</v>
      </c>
      <c r="X765">
        <f t="shared" si="340"/>
        <v>2009</v>
      </c>
    </row>
    <row r="766" spans="1:24" ht="12" customHeight="1">
      <c r="A766" s="4">
        <v>990</v>
      </c>
      <c r="B766" s="4">
        <v>7136</v>
      </c>
      <c r="C766" s="5">
        <f t="shared" si="368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69"/>
        <v>39896</v>
      </c>
      <c r="V766">
        <f t="shared" si="342"/>
        <v>24</v>
      </c>
      <c r="W766">
        <f t="shared" si="339"/>
        <v>3</v>
      </c>
      <c r="X766">
        <f t="shared" si="340"/>
        <v>2009</v>
      </c>
    </row>
    <row r="767" spans="1:24" ht="12" customHeight="1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  <c r="V767">
        <f t="shared" si="342"/>
        <v>3</v>
      </c>
      <c r="W767">
        <f t="shared" si="339"/>
        <v>10</v>
      </c>
      <c r="X767">
        <f t="shared" si="340"/>
        <v>2010</v>
      </c>
    </row>
    <row r="768" spans="1:24" ht="12" customHeight="1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  <c r="V768">
        <f t="shared" si="342"/>
        <v>15</v>
      </c>
      <c r="W768">
        <f t="shared" si="339"/>
        <v>9</v>
      </c>
      <c r="X768">
        <f t="shared" si="340"/>
        <v>2010</v>
      </c>
    </row>
    <row r="769" spans="1:24" ht="12" customHeight="1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70">C769+1</f>
        <v>40189</v>
      </c>
      <c r="V769">
        <f t="shared" si="342"/>
        <v>11</v>
      </c>
      <c r="W769">
        <f t="shared" si="339"/>
        <v>1</v>
      </c>
      <c r="X769">
        <f t="shared" si="340"/>
        <v>2010</v>
      </c>
    </row>
    <row r="770" spans="1:24" ht="12" customHeight="1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70"/>
        <v>40356</v>
      </c>
      <c r="V770">
        <f t="shared" si="342"/>
        <v>27</v>
      </c>
      <c r="W770">
        <f t="shared" si="339"/>
        <v>6</v>
      </c>
      <c r="X770">
        <f t="shared" si="340"/>
        <v>2010</v>
      </c>
    </row>
    <row r="771" spans="1:24" ht="12" customHeight="1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  <c r="V771">
        <f t="shared" si="342"/>
        <v>23</v>
      </c>
      <c r="W771">
        <f t="shared" ref="W771:W834" si="371">MONTH(U771)</f>
        <v>7</v>
      </c>
      <c r="X771">
        <f t="shared" ref="X771:X834" si="372">YEAR(U771)</f>
        <v>2011</v>
      </c>
    </row>
    <row r="772" spans="1:24" ht="12" customHeight="1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  <c r="V772">
        <f t="shared" ref="V772:V835" si="373">DAY(U772)</f>
        <v>11</v>
      </c>
      <c r="W772">
        <f t="shared" si="371"/>
        <v>10</v>
      </c>
      <c r="X772">
        <f t="shared" si="372"/>
        <v>2010</v>
      </c>
    </row>
    <row r="773" spans="1:24" ht="12" customHeight="1">
      <c r="A773" s="4">
        <v>1423</v>
      </c>
      <c r="B773" s="4">
        <v>10310</v>
      </c>
      <c r="C773" s="5">
        <f t="shared" ref="C773:C774" si="374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  <c r="V773">
        <f t="shared" si="373"/>
        <v>9</v>
      </c>
      <c r="W773">
        <f t="shared" si="371"/>
        <v>2</v>
      </c>
      <c r="X773">
        <f t="shared" si="372"/>
        <v>2009</v>
      </c>
    </row>
    <row r="774" spans="1:24" ht="12" customHeight="1">
      <c r="A774" s="4">
        <v>1424</v>
      </c>
      <c r="B774" s="4">
        <v>10310</v>
      </c>
      <c r="C774" s="5">
        <f t="shared" si="374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  <c r="V774">
        <f t="shared" si="373"/>
        <v>12</v>
      </c>
      <c r="W774">
        <f t="shared" si="371"/>
        <v>2</v>
      </c>
      <c r="X774">
        <f t="shared" si="372"/>
        <v>2009</v>
      </c>
    </row>
    <row r="775" spans="1:24" ht="12" customHeight="1">
      <c r="A775" s="4">
        <v>1436</v>
      </c>
      <c r="B775" s="4">
        <v>10369</v>
      </c>
      <c r="C775" s="5">
        <f t="shared" ref="C775:C776" si="375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  <c r="V775">
        <f t="shared" si="373"/>
        <v>11</v>
      </c>
      <c r="W775">
        <f t="shared" si="371"/>
        <v>11</v>
      </c>
      <c r="X775">
        <f t="shared" si="372"/>
        <v>2011</v>
      </c>
    </row>
    <row r="776" spans="1:24" ht="12" customHeight="1">
      <c r="A776" s="4">
        <v>1437</v>
      </c>
      <c r="B776" s="4">
        <v>10369</v>
      </c>
      <c r="C776" s="5">
        <f t="shared" si="375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  <c r="V776">
        <f t="shared" si="373"/>
        <v>14</v>
      </c>
      <c r="W776">
        <f t="shared" si="371"/>
        <v>11</v>
      </c>
      <c r="X776">
        <f t="shared" si="372"/>
        <v>2011</v>
      </c>
    </row>
    <row r="777" spans="1:24" ht="12" customHeight="1">
      <c r="A777" s="4">
        <v>1486</v>
      </c>
      <c r="B777" s="4">
        <v>10692</v>
      </c>
      <c r="C777" s="5">
        <f t="shared" ref="C777:C779" si="376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  <c r="V777">
        <f t="shared" si="373"/>
        <v>28</v>
      </c>
      <c r="W777">
        <f t="shared" si="371"/>
        <v>7</v>
      </c>
      <c r="X777">
        <f t="shared" si="372"/>
        <v>2009</v>
      </c>
    </row>
    <row r="778" spans="1:24" ht="12" customHeight="1">
      <c r="A778" s="4">
        <v>1487</v>
      </c>
      <c r="B778" s="4">
        <v>10692</v>
      </c>
      <c r="C778" s="5">
        <f t="shared" si="376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  <c r="V778">
        <f t="shared" si="373"/>
        <v>30</v>
      </c>
      <c r="W778">
        <f t="shared" si="371"/>
        <v>7</v>
      </c>
      <c r="X778">
        <f t="shared" si="372"/>
        <v>2009</v>
      </c>
    </row>
    <row r="779" spans="1:24" ht="12" customHeight="1">
      <c r="A779" s="4">
        <v>1488</v>
      </c>
      <c r="B779" s="4">
        <v>10692</v>
      </c>
      <c r="C779" s="5">
        <f t="shared" si="376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  <c r="V779">
        <f t="shared" si="373"/>
        <v>26</v>
      </c>
      <c r="W779">
        <f t="shared" si="371"/>
        <v>7</v>
      </c>
      <c r="X779">
        <f t="shared" si="372"/>
        <v>2009</v>
      </c>
    </row>
    <row r="780" spans="1:24" ht="12" customHeight="1">
      <c r="A780" s="4">
        <v>1596</v>
      </c>
      <c r="B780" s="4">
        <v>11553</v>
      </c>
      <c r="C780" s="5">
        <f t="shared" ref="C780:C782" si="377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  <c r="V780">
        <f t="shared" si="373"/>
        <v>19</v>
      </c>
      <c r="W780">
        <f t="shared" si="371"/>
        <v>4</v>
      </c>
      <c r="X780">
        <f t="shared" si="372"/>
        <v>2009</v>
      </c>
    </row>
    <row r="781" spans="1:24" ht="12" customHeight="1">
      <c r="A781" s="4">
        <v>1597</v>
      </c>
      <c r="B781" s="4">
        <v>11553</v>
      </c>
      <c r="C781" s="5">
        <f t="shared" si="377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  <c r="V781">
        <f t="shared" si="373"/>
        <v>21</v>
      </c>
      <c r="W781">
        <f t="shared" si="371"/>
        <v>4</v>
      </c>
      <c r="X781">
        <f t="shared" si="372"/>
        <v>2009</v>
      </c>
    </row>
    <row r="782" spans="1:24" ht="12" customHeight="1">
      <c r="A782" s="4">
        <v>1598</v>
      </c>
      <c r="B782" s="4">
        <v>11553</v>
      </c>
      <c r="C782" s="5">
        <f t="shared" si="377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  <c r="V782">
        <f t="shared" si="373"/>
        <v>20</v>
      </c>
      <c r="W782">
        <f t="shared" si="371"/>
        <v>4</v>
      </c>
      <c r="X782">
        <f t="shared" si="372"/>
        <v>2009</v>
      </c>
    </row>
    <row r="783" spans="1:24" ht="12" customHeight="1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  <c r="V783">
        <f t="shared" si="373"/>
        <v>24</v>
      </c>
      <c r="W783">
        <f t="shared" si="371"/>
        <v>2</v>
      </c>
      <c r="X783">
        <f t="shared" si="372"/>
        <v>2012</v>
      </c>
    </row>
    <row r="784" spans="1:24" ht="12" customHeight="1">
      <c r="A784" s="4">
        <v>1631</v>
      </c>
      <c r="B784" s="4">
        <v>11782</v>
      </c>
      <c r="C784" s="5">
        <f t="shared" ref="C784:C785" si="378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  <c r="V784">
        <f t="shared" si="373"/>
        <v>2</v>
      </c>
      <c r="W784">
        <f t="shared" si="371"/>
        <v>8</v>
      </c>
      <c r="X784">
        <f t="shared" si="372"/>
        <v>2012</v>
      </c>
    </row>
    <row r="785" spans="1:24" ht="12" customHeight="1">
      <c r="A785" s="4">
        <v>1632</v>
      </c>
      <c r="B785" s="4">
        <v>11782</v>
      </c>
      <c r="C785" s="5">
        <f t="shared" si="378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  <c r="V785">
        <f t="shared" si="373"/>
        <v>4</v>
      </c>
      <c r="W785">
        <f t="shared" si="371"/>
        <v>8</v>
      </c>
      <c r="X785">
        <f t="shared" si="372"/>
        <v>2012</v>
      </c>
    </row>
    <row r="786" spans="1:24" ht="12" customHeight="1">
      <c r="A786" s="4">
        <v>1690</v>
      </c>
      <c r="B786" s="4">
        <v>12199</v>
      </c>
      <c r="C786" s="5">
        <f t="shared" ref="C786:C787" si="379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  <c r="V786">
        <f t="shared" si="373"/>
        <v>19</v>
      </c>
      <c r="W786">
        <f t="shared" si="371"/>
        <v>12</v>
      </c>
      <c r="X786">
        <f t="shared" si="372"/>
        <v>2011</v>
      </c>
    </row>
    <row r="787" spans="1:24" ht="12" customHeight="1">
      <c r="A787" s="4">
        <v>1691</v>
      </c>
      <c r="B787" s="4">
        <v>12199</v>
      </c>
      <c r="C787" s="5">
        <f t="shared" si="379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  <c r="V787">
        <f t="shared" si="373"/>
        <v>18</v>
      </c>
      <c r="W787">
        <f t="shared" si="371"/>
        <v>12</v>
      </c>
      <c r="X787">
        <f t="shared" si="372"/>
        <v>2011</v>
      </c>
    </row>
    <row r="788" spans="1:24" ht="12" customHeight="1">
      <c r="A788" s="4">
        <v>2004</v>
      </c>
      <c r="B788" s="4">
        <v>14275</v>
      </c>
      <c r="C788" s="5">
        <f t="shared" ref="C788:C789" si="380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81">C788+2</f>
        <v>40344</v>
      </c>
      <c r="V788">
        <f t="shared" si="373"/>
        <v>15</v>
      </c>
      <c r="W788">
        <f t="shared" si="371"/>
        <v>6</v>
      </c>
      <c r="X788">
        <f t="shared" si="372"/>
        <v>2010</v>
      </c>
    </row>
    <row r="789" spans="1:24" ht="12" customHeight="1">
      <c r="A789" s="4">
        <v>2005</v>
      </c>
      <c r="B789" s="4">
        <v>14275</v>
      </c>
      <c r="C789" s="5">
        <f t="shared" si="380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81"/>
        <v>40344</v>
      </c>
      <c r="V789">
        <f t="shared" si="373"/>
        <v>15</v>
      </c>
      <c r="W789">
        <f t="shared" si="371"/>
        <v>6</v>
      </c>
      <c r="X789">
        <f t="shared" si="372"/>
        <v>2010</v>
      </c>
    </row>
    <row r="790" spans="1:24" ht="12" customHeight="1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  <c r="V790">
        <f t="shared" si="373"/>
        <v>2</v>
      </c>
      <c r="W790">
        <f t="shared" si="371"/>
        <v>10</v>
      </c>
      <c r="X790">
        <f t="shared" si="372"/>
        <v>2010</v>
      </c>
    </row>
    <row r="791" spans="1:24" ht="12" customHeight="1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  <c r="V791">
        <f t="shared" si="373"/>
        <v>27</v>
      </c>
      <c r="W791">
        <f t="shared" si="371"/>
        <v>4</v>
      </c>
      <c r="X791">
        <f t="shared" si="372"/>
        <v>2012</v>
      </c>
    </row>
    <row r="792" spans="1:24" ht="12" customHeight="1">
      <c r="A792" s="4">
        <v>2169</v>
      </c>
      <c r="B792" s="4">
        <v>15621</v>
      </c>
      <c r="C792" s="5">
        <f t="shared" ref="C792:C793" si="382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  <c r="V792">
        <f t="shared" si="373"/>
        <v>25</v>
      </c>
      <c r="W792">
        <f t="shared" si="371"/>
        <v>9</v>
      </c>
      <c r="X792">
        <f t="shared" si="372"/>
        <v>2011</v>
      </c>
    </row>
    <row r="793" spans="1:24" ht="12" customHeight="1">
      <c r="A793" s="4">
        <v>2170</v>
      </c>
      <c r="B793" s="4">
        <v>15621</v>
      </c>
      <c r="C793" s="5">
        <f t="shared" si="382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  <c r="V793">
        <f t="shared" si="373"/>
        <v>24</v>
      </c>
      <c r="W793">
        <f t="shared" si="371"/>
        <v>9</v>
      </c>
      <c r="X793">
        <f t="shared" si="372"/>
        <v>2011</v>
      </c>
    </row>
    <row r="794" spans="1:24" ht="12" customHeight="1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  <c r="V794">
        <f t="shared" si="373"/>
        <v>1</v>
      </c>
      <c r="W794">
        <f t="shared" si="371"/>
        <v>7</v>
      </c>
      <c r="X794">
        <f t="shared" si="372"/>
        <v>2012</v>
      </c>
    </row>
    <row r="795" spans="1:24" ht="12" customHeight="1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  <c r="V795">
        <f t="shared" si="373"/>
        <v>12</v>
      </c>
      <c r="W795">
        <f t="shared" si="371"/>
        <v>11</v>
      </c>
      <c r="X795">
        <f t="shared" si="372"/>
        <v>2011</v>
      </c>
    </row>
    <row r="796" spans="1:24" ht="12" customHeight="1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83">C796+1</f>
        <v>40123</v>
      </c>
      <c r="V796">
        <f t="shared" si="373"/>
        <v>6</v>
      </c>
      <c r="W796">
        <f t="shared" si="371"/>
        <v>11</v>
      </c>
      <c r="X796">
        <f t="shared" si="372"/>
        <v>2009</v>
      </c>
    </row>
    <row r="797" spans="1:24" ht="12" customHeight="1">
      <c r="A797" s="4">
        <v>2551</v>
      </c>
      <c r="B797" s="4">
        <v>18471</v>
      </c>
      <c r="C797" s="5">
        <f t="shared" ref="C797:C799" si="384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83"/>
        <v>39864</v>
      </c>
      <c r="V797">
        <f t="shared" si="373"/>
        <v>20</v>
      </c>
      <c r="W797">
        <f t="shared" si="371"/>
        <v>2</v>
      </c>
      <c r="X797">
        <f t="shared" si="372"/>
        <v>2009</v>
      </c>
    </row>
    <row r="798" spans="1:24" ht="12" customHeight="1">
      <c r="A798" s="4">
        <v>2552</v>
      </c>
      <c r="B798" s="4">
        <v>18471</v>
      </c>
      <c r="C798" s="5">
        <f t="shared" si="384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83"/>
        <v>39864</v>
      </c>
      <c r="V798">
        <f t="shared" si="373"/>
        <v>20</v>
      </c>
      <c r="W798">
        <f t="shared" si="371"/>
        <v>2</v>
      </c>
      <c r="X798">
        <f t="shared" si="372"/>
        <v>2009</v>
      </c>
    </row>
    <row r="799" spans="1:24" ht="12" customHeight="1">
      <c r="A799" s="4">
        <v>2553</v>
      </c>
      <c r="B799" s="4">
        <v>18471</v>
      </c>
      <c r="C799" s="5">
        <f t="shared" si="384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83"/>
        <v>39864</v>
      </c>
      <c r="V799">
        <f t="shared" si="373"/>
        <v>20</v>
      </c>
      <c r="W799">
        <f t="shared" si="371"/>
        <v>2</v>
      </c>
      <c r="X799">
        <f t="shared" si="372"/>
        <v>2009</v>
      </c>
    </row>
    <row r="800" spans="1:24" ht="12" customHeight="1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83"/>
        <v>40240</v>
      </c>
      <c r="V800">
        <f t="shared" si="373"/>
        <v>3</v>
      </c>
      <c r="W800">
        <f t="shared" si="371"/>
        <v>3</v>
      </c>
      <c r="X800">
        <f t="shared" si="372"/>
        <v>2010</v>
      </c>
    </row>
    <row r="801" spans="1:24" ht="12" customHeight="1">
      <c r="A801" s="4">
        <v>2815</v>
      </c>
      <c r="B801" s="4">
        <v>20322</v>
      </c>
      <c r="C801" s="5">
        <f t="shared" ref="C801:C803" si="385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  <c r="V801">
        <f t="shared" si="373"/>
        <v>30</v>
      </c>
      <c r="W801">
        <f t="shared" si="371"/>
        <v>6</v>
      </c>
      <c r="X801">
        <f t="shared" si="372"/>
        <v>2009</v>
      </c>
    </row>
    <row r="802" spans="1:24" ht="12" customHeight="1">
      <c r="A802" s="4">
        <v>2816</v>
      </c>
      <c r="B802" s="4">
        <v>20322</v>
      </c>
      <c r="C802" s="5">
        <f t="shared" si="385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86">C802+0</f>
        <v>39992</v>
      </c>
      <c r="V802">
        <f t="shared" si="373"/>
        <v>28</v>
      </c>
      <c r="W802">
        <f t="shared" si="371"/>
        <v>6</v>
      </c>
      <c r="X802">
        <f t="shared" si="372"/>
        <v>2009</v>
      </c>
    </row>
    <row r="803" spans="1:24" ht="12" customHeight="1">
      <c r="A803" s="4">
        <v>2817</v>
      </c>
      <c r="B803" s="4">
        <v>20322</v>
      </c>
      <c r="C803" s="5">
        <f t="shared" si="385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86"/>
        <v>39992</v>
      </c>
      <c r="V803">
        <f t="shared" si="373"/>
        <v>28</v>
      </c>
      <c r="W803">
        <f t="shared" si="371"/>
        <v>6</v>
      </c>
      <c r="X803">
        <f t="shared" si="372"/>
        <v>2009</v>
      </c>
    </row>
    <row r="804" spans="1:24" ht="12" customHeight="1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87">C804+1</f>
        <v>39840</v>
      </c>
      <c r="V804">
        <f t="shared" si="373"/>
        <v>27</v>
      </c>
      <c r="W804">
        <f t="shared" si="371"/>
        <v>1</v>
      </c>
      <c r="X804">
        <f t="shared" si="372"/>
        <v>2009</v>
      </c>
    </row>
    <row r="805" spans="1:24" ht="12" customHeight="1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87"/>
        <v>40758</v>
      </c>
      <c r="V805">
        <f t="shared" si="373"/>
        <v>3</v>
      </c>
      <c r="W805">
        <f t="shared" si="371"/>
        <v>8</v>
      </c>
      <c r="X805">
        <f t="shared" si="372"/>
        <v>2011</v>
      </c>
    </row>
    <row r="806" spans="1:24" ht="12" customHeight="1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  <c r="V806">
        <f t="shared" si="373"/>
        <v>6</v>
      </c>
      <c r="W806">
        <f t="shared" si="371"/>
        <v>7</v>
      </c>
      <c r="X806">
        <f t="shared" si="372"/>
        <v>2010</v>
      </c>
    </row>
    <row r="807" spans="1:24" ht="12" customHeight="1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  <c r="V807">
        <f t="shared" si="373"/>
        <v>2</v>
      </c>
      <c r="W807">
        <f t="shared" si="371"/>
        <v>10</v>
      </c>
      <c r="X807">
        <f t="shared" si="372"/>
        <v>2012</v>
      </c>
    </row>
    <row r="808" spans="1:24" ht="12" customHeight="1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  <c r="V808">
        <f t="shared" si="373"/>
        <v>14</v>
      </c>
      <c r="W808">
        <f t="shared" si="371"/>
        <v>7</v>
      </c>
      <c r="X808">
        <f t="shared" si="372"/>
        <v>2011</v>
      </c>
    </row>
    <row r="809" spans="1:24" ht="12" customHeight="1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  <c r="V809">
        <f t="shared" si="373"/>
        <v>28</v>
      </c>
      <c r="W809">
        <f t="shared" si="371"/>
        <v>7</v>
      </c>
      <c r="X809">
        <f t="shared" si="372"/>
        <v>2010</v>
      </c>
    </row>
    <row r="810" spans="1:24" ht="12" customHeight="1">
      <c r="A810" s="4">
        <v>3382</v>
      </c>
      <c r="B810" s="4">
        <v>24132</v>
      </c>
      <c r="C810" s="5">
        <f t="shared" ref="C810:C815" si="388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  <c r="V810">
        <f t="shared" si="373"/>
        <v>11</v>
      </c>
      <c r="W810">
        <f t="shared" si="371"/>
        <v>7</v>
      </c>
      <c r="X810">
        <f t="shared" si="372"/>
        <v>2009</v>
      </c>
    </row>
    <row r="811" spans="1:24" ht="12" customHeight="1">
      <c r="A811" s="4">
        <v>3383</v>
      </c>
      <c r="B811" s="4">
        <v>24132</v>
      </c>
      <c r="C811" s="5">
        <f t="shared" si="388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  <c r="V811">
        <f t="shared" si="373"/>
        <v>6</v>
      </c>
      <c r="W811">
        <f t="shared" si="371"/>
        <v>7</v>
      </c>
      <c r="X811">
        <f t="shared" si="372"/>
        <v>2009</v>
      </c>
    </row>
    <row r="812" spans="1:24" ht="12" customHeight="1">
      <c r="A812" s="4">
        <v>3384</v>
      </c>
      <c r="B812" s="4">
        <v>24132</v>
      </c>
      <c r="C812" s="5">
        <f t="shared" si="388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  <c r="V812">
        <f t="shared" si="373"/>
        <v>11</v>
      </c>
      <c r="W812">
        <f t="shared" si="371"/>
        <v>7</v>
      </c>
      <c r="X812">
        <f t="shared" si="372"/>
        <v>2009</v>
      </c>
    </row>
    <row r="813" spans="1:24" ht="12" customHeight="1">
      <c r="A813" s="4">
        <v>3385</v>
      </c>
      <c r="B813" s="4">
        <v>24132</v>
      </c>
      <c r="C813" s="5">
        <f t="shared" si="388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  <c r="V813">
        <f t="shared" si="373"/>
        <v>13</v>
      </c>
      <c r="W813">
        <f t="shared" si="371"/>
        <v>7</v>
      </c>
      <c r="X813">
        <f t="shared" si="372"/>
        <v>2009</v>
      </c>
    </row>
    <row r="814" spans="1:24" ht="12" customHeight="1">
      <c r="A814" s="4">
        <v>3386</v>
      </c>
      <c r="B814" s="4">
        <v>24132</v>
      </c>
      <c r="C814" s="5">
        <f t="shared" si="388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  <c r="V814">
        <f t="shared" si="373"/>
        <v>15</v>
      </c>
      <c r="W814">
        <f t="shared" si="371"/>
        <v>7</v>
      </c>
      <c r="X814">
        <f t="shared" si="372"/>
        <v>2009</v>
      </c>
    </row>
    <row r="815" spans="1:24" ht="12" customHeight="1">
      <c r="A815" s="4">
        <v>3387</v>
      </c>
      <c r="B815" s="4">
        <v>24132</v>
      </c>
      <c r="C815" s="5">
        <f t="shared" si="388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  <c r="V815">
        <f t="shared" si="373"/>
        <v>13</v>
      </c>
      <c r="W815">
        <f t="shared" si="371"/>
        <v>7</v>
      </c>
      <c r="X815">
        <f t="shared" si="372"/>
        <v>2009</v>
      </c>
    </row>
    <row r="816" spans="1:24" ht="12" customHeight="1">
      <c r="A816" s="4">
        <v>3441</v>
      </c>
      <c r="B816" s="4">
        <v>24576</v>
      </c>
      <c r="C816" s="5">
        <f t="shared" ref="C816:C817" si="389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90">C816+2</f>
        <v>41256</v>
      </c>
      <c r="V816">
        <f t="shared" si="373"/>
        <v>13</v>
      </c>
      <c r="W816">
        <f t="shared" si="371"/>
        <v>12</v>
      </c>
      <c r="X816">
        <f t="shared" si="372"/>
        <v>2012</v>
      </c>
    </row>
    <row r="817" spans="1:24" ht="12" customHeight="1">
      <c r="A817" s="4">
        <v>3442</v>
      </c>
      <c r="B817" s="4">
        <v>24576</v>
      </c>
      <c r="C817" s="5">
        <f t="shared" si="389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90"/>
        <v>41256</v>
      </c>
      <c r="V817">
        <f t="shared" si="373"/>
        <v>13</v>
      </c>
      <c r="W817">
        <f t="shared" si="371"/>
        <v>12</v>
      </c>
      <c r="X817">
        <f t="shared" si="372"/>
        <v>2012</v>
      </c>
    </row>
    <row r="818" spans="1:24" ht="12" customHeight="1">
      <c r="A818" s="4">
        <v>3541</v>
      </c>
      <c r="B818" s="4">
        <v>25248</v>
      </c>
      <c r="C818" s="5">
        <f t="shared" ref="C818:C819" si="391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90"/>
        <v>40880</v>
      </c>
      <c r="V818">
        <f t="shared" si="373"/>
        <v>3</v>
      </c>
      <c r="W818">
        <f t="shared" si="371"/>
        <v>12</v>
      </c>
      <c r="X818">
        <f t="shared" si="372"/>
        <v>2011</v>
      </c>
    </row>
    <row r="819" spans="1:24" ht="12" customHeight="1">
      <c r="A819" s="4">
        <v>3542</v>
      </c>
      <c r="B819" s="4">
        <v>25248</v>
      </c>
      <c r="C819" s="5">
        <f t="shared" si="391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  <c r="V819">
        <f t="shared" si="373"/>
        <v>2</v>
      </c>
      <c r="W819">
        <f t="shared" si="371"/>
        <v>12</v>
      </c>
      <c r="X819">
        <f t="shared" si="372"/>
        <v>2011</v>
      </c>
    </row>
    <row r="820" spans="1:24" ht="12" customHeight="1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  <c r="V820">
        <f t="shared" si="373"/>
        <v>4</v>
      </c>
      <c r="W820">
        <f t="shared" si="371"/>
        <v>4</v>
      </c>
      <c r="X820">
        <f t="shared" si="372"/>
        <v>2009</v>
      </c>
    </row>
    <row r="821" spans="1:24" ht="12" customHeight="1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92">C821+1</f>
        <v>40355</v>
      </c>
      <c r="V821">
        <f t="shared" si="373"/>
        <v>26</v>
      </c>
      <c r="W821">
        <f t="shared" si="371"/>
        <v>6</v>
      </c>
      <c r="X821">
        <f t="shared" si="372"/>
        <v>2010</v>
      </c>
    </row>
    <row r="822" spans="1:24" ht="12" customHeight="1">
      <c r="A822" s="4">
        <v>3798</v>
      </c>
      <c r="B822" s="4">
        <v>27105</v>
      </c>
      <c r="C822" s="5">
        <f t="shared" ref="C822:C823" si="393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92"/>
        <v>40591</v>
      </c>
      <c r="V822">
        <f t="shared" si="373"/>
        <v>17</v>
      </c>
      <c r="W822">
        <f t="shared" si="371"/>
        <v>2</v>
      </c>
      <c r="X822">
        <f t="shared" si="372"/>
        <v>2011</v>
      </c>
    </row>
    <row r="823" spans="1:24" ht="12" customHeight="1">
      <c r="A823" s="4">
        <v>3799</v>
      </c>
      <c r="B823" s="4">
        <v>27105</v>
      </c>
      <c r="C823" s="5">
        <f t="shared" si="393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92"/>
        <v>40591</v>
      </c>
      <c r="V823">
        <f t="shared" si="373"/>
        <v>17</v>
      </c>
      <c r="W823">
        <f t="shared" si="371"/>
        <v>2</v>
      </c>
      <c r="X823">
        <f t="shared" si="372"/>
        <v>2011</v>
      </c>
    </row>
    <row r="824" spans="1:24" ht="12" customHeight="1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94">C824+2</f>
        <v>40418</v>
      </c>
      <c r="V824">
        <f t="shared" si="373"/>
        <v>28</v>
      </c>
      <c r="W824">
        <f t="shared" si="371"/>
        <v>8</v>
      </c>
      <c r="X824">
        <f t="shared" si="372"/>
        <v>2010</v>
      </c>
    </row>
    <row r="825" spans="1:24" ht="12" customHeight="1">
      <c r="A825" s="4">
        <v>4032</v>
      </c>
      <c r="B825" s="4">
        <v>28802</v>
      </c>
      <c r="C825" s="5">
        <f t="shared" ref="C825:C827" si="395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94"/>
        <v>40488</v>
      </c>
      <c r="V825">
        <f t="shared" si="373"/>
        <v>6</v>
      </c>
      <c r="W825">
        <f t="shared" si="371"/>
        <v>11</v>
      </c>
      <c r="X825">
        <f t="shared" si="372"/>
        <v>2010</v>
      </c>
    </row>
    <row r="826" spans="1:24" ht="12" customHeight="1">
      <c r="A826" s="4">
        <v>4033</v>
      </c>
      <c r="B826" s="4">
        <v>28802</v>
      </c>
      <c r="C826" s="5">
        <f t="shared" si="395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  <c r="V826">
        <f t="shared" si="373"/>
        <v>7</v>
      </c>
      <c r="W826">
        <f t="shared" si="371"/>
        <v>11</v>
      </c>
      <c r="X826">
        <f t="shared" si="372"/>
        <v>2010</v>
      </c>
    </row>
    <row r="827" spans="1:24" ht="12" customHeight="1">
      <c r="A827" s="4">
        <v>4034</v>
      </c>
      <c r="B827" s="4">
        <v>28802</v>
      </c>
      <c r="C827" s="5">
        <f t="shared" si="395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96">C827+2</f>
        <v>40488</v>
      </c>
      <c r="V827">
        <f t="shared" si="373"/>
        <v>6</v>
      </c>
      <c r="W827">
        <f t="shared" si="371"/>
        <v>11</v>
      </c>
      <c r="X827">
        <f t="shared" si="372"/>
        <v>2010</v>
      </c>
    </row>
    <row r="828" spans="1:24" ht="12" customHeight="1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96"/>
        <v>39933</v>
      </c>
      <c r="V828">
        <f t="shared" si="373"/>
        <v>30</v>
      </c>
      <c r="W828">
        <f t="shared" si="371"/>
        <v>4</v>
      </c>
      <c r="X828">
        <f t="shared" si="372"/>
        <v>2009</v>
      </c>
    </row>
    <row r="829" spans="1:24" ht="12" customHeight="1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  <c r="V829">
        <f t="shared" si="373"/>
        <v>10</v>
      </c>
      <c r="W829">
        <f t="shared" si="371"/>
        <v>8</v>
      </c>
      <c r="X829">
        <f t="shared" si="372"/>
        <v>2009</v>
      </c>
    </row>
    <row r="830" spans="1:24" ht="12" customHeight="1">
      <c r="A830" s="4">
        <v>4488</v>
      </c>
      <c r="B830" s="4">
        <v>31941</v>
      </c>
      <c r="C830" s="5">
        <f t="shared" ref="C830:C831" si="397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  <c r="V830">
        <f t="shared" si="373"/>
        <v>19</v>
      </c>
      <c r="W830">
        <f t="shared" si="371"/>
        <v>3</v>
      </c>
      <c r="X830">
        <f t="shared" si="372"/>
        <v>2009</v>
      </c>
    </row>
    <row r="831" spans="1:24" ht="12" customHeight="1">
      <c r="A831" s="4">
        <v>4489</v>
      </c>
      <c r="B831" s="4">
        <v>31941</v>
      </c>
      <c r="C831" s="5">
        <f t="shared" si="397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  <c r="V831">
        <f t="shared" si="373"/>
        <v>20</v>
      </c>
      <c r="W831">
        <f t="shared" si="371"/>
        <v>3</v>
      </c>
      <c r="X831">
        <f t="shared" si="372"/>
        <v>2009</v>
      </c>
    </row>
    <row r="832" spans="1:24" ht="12" customHeight="1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  <c r="V832">
        <f t="shared" si="373"/>
        <v>6</v>
      </c>
      <c r="W832">
        <f t="shared" si="371"/>
        <v>1</v>
      </c>
      <c r="X832">
        <f t="shared" si="372"/>
        <v>2009</v>
      </c>
    </row>
    <row r="833" spans="1:24" ht="12" customHeight="1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98">C833+0</f>
        <v>41190</v>
      </c>
      <c r="V833">
        <f t="shared" si="373"/>
        <v>8</v>
      </c>
      <c r="W833">
        <f t="shared" si="371"/>
        <v>10</v>
      </c>
      <c r="X833">
        <f t="shared" si="372"/>
        <v>2012</v>
      </c>
    </row>
    <row r="834" spans="1:24" ht="12" customHeight="1">
      <c r="A834" s="4">
        <v>4893</v>
      </c>
      <c r="B834" s="4">
        <v>34816</v>
      </c>
      <c r="C834" s="5">
        <f t="shared" ref="C834:C835" si="399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98"/>
        <v>40487</v>
      </c>
      <c r="V834">
        <f t="shared" si="373"/>
        <v>5</v>
      </c>
      <c r="W834">
        <f t="shared" si="371"/>
        <v>11</v>
      </c>
      <c r="X834">
        <f t="shared" si="372"/>
        <v>2010</v>
      </c>
    </row>
    <row r="835" spans="1:24" ht="12" customHeight="1">
      <c r="A835" s="4">
        <v>4894</v>
      </c>
      <c r="B835" s="4">
        <v>34816</v>
      </c>
      <c r="C835" s="5">
        <f t="shared" si="399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400">C835+2</f>
        <v>40489</v>
      </c>
      <c r="V835">
        <f t="shared" si="373"/>
        <v>7</v>
      </c>
      <c r="W835">
        <f t="shared" ref="W835:W898" si="401">MONTH(U835)</f>
        <v>11</v>
      </c>
      <c r="X835">
        <f t="shared" ref="X835:X898" si="402">YEAR(U835)</f>
        <v>2010</v>
      </c>
    </row>
    <row r="836" spans="1:24" ht="12" customHeight="1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400"/>
        <v>41255</v>
      </c>
      <c r="V836">
        <f t="shared" ref="V836:V899" si="403">DAY(U836)</f>
        <v>12</v>
      </c>
      <c r="W836">
        <f t="shared" si="401"/>
        <v>12</v>
      </c>
      <c r="X836">
        <f t="shared" si="402"/>
        <v>2012</v>
      </c>
    </row>
    <row r="837" spans="1:24" ht="12" customHeight="1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  <c r="V837">
        <f t="shared" si="403"/>
        <v>6</v>
      </c>
      <c r="W837">
        <f t="shared" si="401"/>
        <v>2</v>
      </c>
      <c r="X837">
        <f t="shared" si="402"/>
        <v>2009</v>
      </c>
    </row>
    <row r="838" spans="1:24" ht="12" customHeight="1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  <c r="V838">
        <f t="shared" si="403"/>
        <v>30</v>
      </c>
      <c r="W838">
        <f t="shared" si="401"/>
        <v>9</v>
      </c>
      <c r="X838">
        <f t="shared" si="402"/>
        <v>2011</v>
      </c>
    </row>
    <row r="839" spans="1:24" ht="12" customHeight="1">
      <c r="A839" s="4">
        <v>5245</v>
      </c>
      <c r="B839" s="4">
        <v>37315</v>
      </c>
      <c r="C839" s="5">
        <f t="shared" ref="C839:C840" si="404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405">C839+7</f>
        <v>41072</v>
      </c>
      <c r="V839">
        <f t="shared" si="403"/>
        <v>12</v>
      </c>
      <c r="W839">
        <f t="shared" si="401"/>
        <v>6</v>
      </c>
      <c r="X839">
        <f t="shared" si="402"/>
        <v>2012</v>
      </c>
    </row>
    <row r="840" spans="1:24" ht="12" customHeight="1">
      <c r="A840" s="4">
        <v>5246</v>
      </c>
      <c r="B840" s="4">
        <v>37315</v>
      </c>
      <c r="C840" s="5">
        <f t="shared" si="404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405"/>
        <v>41072</v>
      </c>
      <c r="V840">
        <f t="shared" si="403"/>
        <v>12</v>
      </c>
      <c r="W840">
        <f t="shared" si="401"/>
        <v>6</v>
      </c>
      <c r="X840">
        <f t="shared" si="402"/>
        <v>2012</v>
      </c>
    </row>
    <row r="841" spans="1:24" ht="12" customHeight="1">
      <c r="A841" s="4">
        <v>5340</v>
      </c>
      <c r="B841" s="4">
        <v>37925</v>
      </c>
      <c r="C841" s="5">
        <f t="shared" ref="C841:C842" si="406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407">C841+1</f>
        <v>40448</v>
      </c>
      <c r="V841">
        <f t="shared" si="403"/>
        <v>27</v>
      </c>
      <c r="W841">
        <f t="shared" si="401"/>
        <v>9</v>
      </c>
      <c r="X841">
        <f t="shared" si="402"/>
        <v>2010</v>
      </c>
    </row>
    <row r="842" spans="1:24" ht="12" customHeight="1">
      <c r="A842" s="4">
        <v>5341</v>
      </c>
      <c r="B842" s="4">
        <v>37925</v>
      </c>
      <c r="C842" s="5">
        <f t="shared" si="406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407"/>
        <v>40448</v>
      </c>
      <c r="V842">
        <f t="shared" si="403"/>
        <v>27</v>
      </c>
      <c r="W842">
        <f t="shared" si="401"/>
        <v>9</v>
      </c>
      <c r="X842">
        <f t="shared" si="402"/>
        <v>2010</v>
      </c>
    </row>
    <row r="843" spans="1:24" ht="12" customHeight="1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  <c r="V843">
        <f t="shared" si="403"/>
        <v>23</v>
      </c>
      <c r="W843">
        <f t="shared" si="401"/>
        <v>1</v>
      </c>
      <c r="X843">
        <f t="shared" si="402"/>
        <v>2009</v>
      </c>
    </row>
    <row r="844" spans="1:24" ht="12" customHeight="1">
      <c r="A844" s="4">
        <v>5389</v>
      </c>
      <c r="B844" s="4">
        <v>38336</v>
      </c>
      <c r="C844" s="5">
        <f t="shared" ref="C844:C845" si="408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409">C844+1</f>
        <v>41188</v>
      </c>
      <c r="V844">
        <f t="shared" si="403"/>
        <v>6</v>
      </c>
      <c r="W844">
        <f t="shared" si="401"/>
        <v>10</v>
      </c>
      <c r="X844">
        <f t="shared" si="402"/>
        <v>2012</v>
      </c>
    </row>
    <row r="845" spans="1:24" ht="12" customHeight="1">
      <c r="A845" s="4">
        <v>5390</v>
      </c>
      <c r="B845" s="4">
        <v>38336</v>
      </c>
      <c r="C845" s="5">
        <f t="shared" si="408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409"/>
        <v>41188</v>
      </c>
      <c r="V845">
        <f t="shared" si="403"/>
        <v>6</v>
      </c>
      <c r="W845">
        <f t="shared" si="401"/>
        <v>10</v>
      </c>
      <c r="X845">
        <f t="shared" si="402"/>
        <v>2012</v>
      </c>
    </row>
    <row r="846" spans="1:24" ht="12" customHeight="1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410">C846+2</f>
        <v>39899</v>
      </c>
      <c r="V846">
        <f t="shared" si="403"/>
        <v>27</v>
      </c>
      <c r="W846">
        <f t="shared" si="401"/>
        <v>3</v>
      </c>
      <c r="X846">
        <f t="shared" si="402"/>
        <v>2009</v>
      </c>
    </row>
    <row r="847" spans="1:24" ht="12" customHeight="1">
      <c r="A847" s="4">
        <v>5615</v>
      </c>
      <c r="B847" s="4">
        <v>39783</v>
      </c>
      <c r="C847" s="5">
        <f t="shared" ref="C847:C849" si="411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410"/>
        <v>41174</v>
      </c>
      <c r="V847">
        <f t="shared" si="403"/>
        <v>22</v>
      </c>
      <c r="W847">
        <f t="shared" si="401"/>
        <v>9</v>
      </c>
      <c r="X847">
        <f t="shared" si="402"/>
        <v>2012</v>
      </c>
    </row>
    <row r="848" spans="1:24" ht="12" customHeight="1">
      <c r="A848" s="4">
        <v>5616</v>
      </c>
      <c r="B848" s="4">
        <v>39783</v>
      </c>
      <c r="C848" s="5">
        <f t="shared" si="411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410"/>
        <v>41174</v>
      </c>
      <c r="V848">
        <f t="shared" si="403"/>
        <v>22</v>
      </c>
      <c r="W848">
        <f t="shared" si="401"/>
        <v>9</v>
      </c>
      <c r="X848">
        <f t="shared" si="402"/>
        <v>2012</v>
      </c>
    </row>
    <row r="849" spans="1:24" ht="12" customHeight="1">
      <c r="A849" s="4">
        <v>5617</v>
      </c>
      <c r="B849" s="4">
        <v>39783</v>
      </c>
      <c r="C849" s="5">
        <f t="shared" si="411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  <c r="V849">
        <f t="shared" si="403"/>
        <v>21</v>
      </c>
      <c r="W849">
        <f t="shared" si="401"/>
        <v>9</v>
      </c>
      <c r="X849">
        <f t="shared" si="402"/>
        <v>2012</v>
      </c>
    </row>
    <row r="850" spans="1:24" ht="12" customHeight="1">
      <c r="A850" s="4">
        <v>5997</v>
      </c>
      <c r="B850" s="4">
        <v>42500</v>
      </c>
      <c r="C850" s="5">
        <f t="shared" ref="C850:C851" si="412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413">C850+2</f>
        <v>40216</v>
      </c>
      <c r="V850">
        <f t="shared" si="403"/>
        <v>7</v>
      </c>
      <c r="W850">
        <f t="shared" si="401"/>
        <v>2</v>
      </c>
      <c r="X850">
        <f t="shared" si="402"/>
        <v>2010</v>
      </c>
    </row>
    <row r="851" spans="1:24" ht="12" customHeight="1">
      <c r="A851" s="4">
        <v>5998</v>
      </c>
      <c r="B851" s="4">
        <v>42500</v>
      </c>
      <c r="C851" s="5">
        <f t="shared" si="412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413"/>
        <v>40216</v>
      </c>
      <c r="V851">
        <f t="shared" si="403"/>
        <v>7</v>
      </c>
      <c r="W851">
        <f t="shared" si="401"/>
        <v>2</v>
      </c>
      <c r="X851">
        <f t="shared" si="402"/>
        <v>2010</v>
      </c>
    </row>
    <row r="852" spans="1:24" ht="12" customHeight="1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  <c r="V852">
        <f t="shared" si="403"/>
        <v>20</v>
      </c>
      <c r="W852">
        <f t="shared" si="401"/>
        <v>3</v>
      </c>
      <c r="X852">
        <f t="shared" si="402"/>
        <v>2010</v>
      </c>
    </row>
    <row r="853" spans="1:24" ht="12" customHeight="1">
      <c r="A853" s="4">
        <v>6246</v>
      </c>
      <c r="B853" s="4">
        <v>44256</v>
      </c>
      <c r="C853" s="5">
        <f t="shared" ref="C853:C855" si="414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  <c r="V853">
        <f t="shared" si="403"/>
        <v>28</v>
      </c>
      <c r="W853">
        <f t="shared" si="401"/>
        <v>11</v>
      </c>
      <c r="X853">
        <f t="shared" si="402"/>
        <v>2011</v>
      </c>
    </row>
    <row r="854" spans="1:24" ht="12" customHeight="1">
      <c r="A854" s="4">
        <v>6247</v>
      </c>
      <c r="B854" s="4">
        <v>44256</v>
      </c>
      <c r="C854" s="5">
        <f t="shared" si="414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  <c r="V854">
        <f t="shared" si="403"/>
        <v>24</v>
      </c>
      <c r="W854">
        <f t="shared" si="401"/>
        <v>11</v>
      </c>
      <c r="X854">
        <f t="shared" si="402"/>
        <v>2011</v>
      </c>
    </row>
    <row r="855" spans="1:24" ht="12" customHeight="1">
      <c r="A855" s="4">
        <v>6248</v>
      </c>
      <c r="B855" s="4">
        <v>44256</v>
      </c>
      <c r="C855" s="5">
        <f t="shared" si="414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  <c r="V855">
        <f t="shared" si="403"/>
        <v>26</v>
      </c>
      <c r="W855">
        <f t="shared" si="401"/>
        <v>11</v>
      </c>
      <c r="X855">
        <f t="shared" si="402"/>
        <v>2011</v>
      </c>
    </row>
    <row r="856" spans="1:24" ht="12" customHeight="1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  <c r="V856">
        <f t="shared" si="403"/>
        <v>30</v>
      </c>
      <c r="W856">
        <f t="shared" si="401"/>
        <v>4</v>
      </c>
      <c r="X856">
        <f t="shared" si="402"/>
        <v>2009</v>
      </c>
    </row>
    <row r="857" spans="1:24" ht="12" customHeight="1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  <c r="V857">
        <f t="shared" si="403"/>
        <v>5</v>
      </c>
      <c r="W857">
        <f t="shared" si="401"/>
        <v>4</v>
      </c>
      <c r="X857">
        <f t="shared" si="402"/>
        <v>2011</v>
      </c>
    </row>
    <row r="858" spans="1:24" ht="12" customHeight="1">
      <c r="A858" s="4">
        <v>6658</v>
      </c>
      <c r="B858" s="4">
        <v>47367</v>
      </c>
      <c r="C858" s="5">
        <f t="shared" ref="C858:C859" si="415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  <c r="V858">
        <f t="shared" si="403"/>
        <v>16</v>
      </c>
      <c r="W858">
        <f t="shared" si="401"/>
        <v>4</v>
      </c>
      <c r="X858">
        <f t="shared" si="402"/>
        <v>2011</v>
      </c>
    </row>
    <row r="859" spans="1:24" ht="12" customHeight="1">
      <c r="A859" s="4">
        <v>6659</v>
      </c>
      <c r="B859" s="4">
        <v>47367</v>
      </c>
      <c r="C859" s="5">
        <f t="shared" si="415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  <c r="V859">
        <f t="shared" si="403"/>
        <v>17</v>
      </c>
      <c r="W859">
        <f t="shared" si="401"/>
        <v>4</v>
      </c>
      <c r="X859">
        <f t="shared" si="402"/>
        <v>2011</v>
      </c>
    </row>
    <row r="860" spans="1:24" ht="12" customHeight="1">
      <c r="A860" s="4">
        <v>6705</v>
      </c>
      <c r="B860" s="4">
        <v>47750</v>
      </c>
      <c r="C860" s="5">
        <f t="shared" ref="C860:C861" si="416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417">C860+5</f>
        <v>40349</v>
      </c>
      <c r="V860">
        <f t="shared" si="403"/>
        <v>20</v>
      </c>
      <c r="W860">
        <f t="shared" si="401"/>
        <v>6</v>
      </c>
      <c r="X860">
        <f t="shared" si="402"/>
        <v>2010</v>
      </c>
    </row>
    <row r="861" spans="1:24" ht="12" customHeight="1">
      <c r="A861" s="4">
        <v>6706</v>
      </c>
      <c r="B861" s="4">
        <v>47750</v>
      </c>
      <c r="C861" s="5">
        <f t="shared" si="416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417"/>
        <v>40349</v>
      </c>
      <c r="V861">
        <f t="shared" si="403"/>
        <v>20</v>
      </c>
      <c r="W861">
        <f t="shared" si="401"/>
        <v>6</v>
      </c>
      <c r="X861">
        <f t="shared" si="402"/>
        <v>2010</v>
      </c>
    </row>
    <row r="862" spans="1:24" ht="12" customHeight="1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418">C862+2</f>
        <v>40036</v>
      </c>
      <c r="V862">
        <f t="shared" si="403"/>
        <v>11</v>
      </c>
      <c r="W862">
        <f t="shared" si="401"/>
        <v>8</v>
      </c>
      <c r="X862">
        <f t="shared" si="402"/>
        <v>2009</v>
      </c>
    </row>
    <row r="863" spans="1:24" ht="12" customHeight="1">
      <c r="A863" s="4">
        <v>6882</v>
      </c>
      <c r="B863" s="4">
        <v>49059</v>
      </c>
      <c r="C863" s="5">
        <f t="shared" ref="C863:C864" si="419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418"/>
        <v>40078</v>
      </c>
      <c r="V863">
        <f t="shared" si="403"/>
        <v>22</v>
      </c>
      <c r="W863">
        <f t="shared" si="401"/>
        <v>9</v>
      </c>
      <c r="X863">
        <f t="shared" si="402"/>
        <v>2009</v>
      </c>
    </row>
    <row r="864" spans="1:24" ht="12" customHeight="1">
      <c r="A864" s="4">
        <v>6883</v>
      </c>
      <c r="B864" s="4">
        <v>49059</v>
      </c>
      <c r="C864" s="5">
        <f t="shared" si="419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420">C864+1</f>
        <v>40077</v>
      </c>
      <c r="V864">
        <f t="shared" si="403"/>
        <v>21</v>
      </c>
      <c r="W864">
        <f t="shared" si="401"/>
        <v>9</v>
      </c>
      <c r="X864">
        <f t="shared" si="402"/>
        <v>2009</v>
      </c>
    </row>
    <row r="865" spans="1:24" ht="12" customHeight="1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420"/>
        <v>40989</v>
      </c>
      <c r="V865">
        <f t="shared" si="403"/>
        <v>21</v>
      </c>
      <c r="W865">
        <f t="shared" si="401"/>
        <v>3</v>
      </c>
      <c r="X865">
        <f t="shared" si="402"/>
        <v>2012</v>
      </c>
    </row>
    <row r="866" spans="1:24" ht="12" customHeight="1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  <c r="V866">
        <f t="shared" si="403"/>
        <v>25</v>
      </c>
      <c r="W866">
        <f t="shared" si="401"/>
        <v>3</v>
      </c>
      <c r="X866">
        <f t="shared" si="402"/>
        <v>2012</v>
      </c>
    </row>
    <row r="867" spans="1:24" ht="12" customHeight="1">
      <c r="A867" s="4">
        <v>7035</v>
      </c>
      <c r="B867" s="4">
        <v>50210</v>
      </c>
      <c r="C867" s="5">
        <f t="shared" ref="C867:C868" si="421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  <c r="V867">
        <f t="shared" si="403"/>
        <v>24</v>
      </c>
      <c r="W867">
        <f t="shared" si="401"/>
        <v>7</v>
      </c>
      <c r="X867">
        <f t="shared" si="402"/>
        <v>2010</v>
      </c>
    </row>
    <row r="868" spans="1:24" ht="12" customHeight="1">
      <c r="A868" s="4">
        <v>7036</v>
      </c>
      <c r="B868" s="4">
        <v>50210</v>
      </c>
      <c r="C868" s="5">
        <f t="shared" si="421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  <c r="V868">
        <f t="shared" si="403"/>
        <v>28</v>
      </c>
      <c r="W868">
        <f t="shared" si="401"/>
        <v>7</v>
      </c>
      <c r="X868">
        <f t="shared" si="402"/>
        <v>2010</v>
      </c>
    </row>
    <row r="869" spans="1:24" ht="12" customHeight="1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422">C869+2</f>
        <v>41236</v>
      </c>
      <c r="V869">
        <f t="shared" si="403"/>
        <v>23</v>
      </c>
      <c r="W869">
        <f t="shared" si="401"/>
        <v>11</v>
      </c>
      <c r="X869">
        <f t="shared" si="402"/>
        <v>2012</v>
      </c>
    </row>
    <row r="870" spans="1:24" ht="12" customHeight="1">
      <c r="A870" s="4">
        <v>7120</v>
      </c>
      <c r="B870" s="4">
        <v>50816</v>
      </c>
      <c r="C870" s="5">
        <f t="shared" ref="C870:C872" si="423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422"/>
        <v>39901</v>
      </c>
      <c r="V870">
        <f t="shared" si="403"/>
        <v>29</v>
      </c>
      <c r="W870">
        <f t="shared" si="401"/>
        <v>3</v>
      </c>
      <c r="X870">
        <f t="shared" si="402"/>
        <v>2009</v>
      </c>
    </row>
    <row r="871" spans="1:24" ht="12" customHeight="1">
      <c r="A871" s="4">
        <v>7121</v>
      </c>
      <c r="B871" s="4">
        <v>50816</v>
      </c>
      <c r="C871" s="5">
        <f t="shared" si="423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422"/>
        <v>39901</v>
      </c>
      <c r="V871">
        <f t="shared" si="403"/>
        <v>29</v>
      </c>
      <c r="W871">
        <f t="shared" si="401"/>
        <v>3</v>
      </c>
      <c r="X871">
        <f t="shared" si="402"/>
        <v>2009</v>
      </c>
    </row>
    <row r="872" spans="1:24" ht="12" customHeight="1">
      <c r="A872" s="4">
        <v>7122</v>
      </c>
      <c r="B872" s="4">
        <v>50816</v>
      </c>
      <c r="C872" s="5">
        <f t="shared" si="423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422"/>
        <v>39901</v>
      </c>
      <c r="V872">
        <f t="shared" si="403"/>
        <v>29</v>
      </c>
      <c r="W872">
        <f t="shared" si="401"/>
        <v>3</v>
      </c>
      <c r="X872">
        <f t="shared" si="402"/>
        <v>2009</v>
      </c>
    </row>
    <row r="873" spans="1:24" ht="12" customHeight="1">
      <c r="A873" s="4">
        <v>7159</v>
      </c>
      <c r="B873" s="4">
        <v>51073</v>
      </c>
      <c r="C873" s="5">
        <f t="shared" ref="C873:C874" si="424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422"/>
        <v>40314</v>
      </c>
      <c r="V873">
        <f t="shared" si="403"/>
        <v>16</v>
      </c>
      <c r="W873">
        <f t="shared" si="401"/>
        <v>5</v>
      </c>
      <c r="X873">
        <f t="shared" si="402"/>
        <v>2010</v>
      </c>
    </row>
    <row r="874" spans="1:24" ht="12" customHeight="1">
      <c r="A874" s="4">
        <v>7160</v>
      </c>
      <c r="B874" s="4">
        <v>51073</v>
      </c>
      <c r="C874" s="5">
        <f t="shared" si="424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425">C874+1</f>
        <v>40313</v>
      </c>
      <c r="V874">
        <f t="shared" si="403"/>
        <v>15</v>
      </c>
      <c r="W874">
        <f t="shared" si="401"/>
        <v>5</v>
      </c>
      <c r="X874">
        <f t="shared" si="402"/>
        <v>2010</v>
      </c>
    </row>
    <row r="875" spans="1:24" ht="12" customHeight="1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425"/>
        <v>40469</v>
      </c>
      <c r="V875">
        <f t="shared" si="403"/>
        <v>18</v>
      </c>
      <c r="W875">
        <f t="shared" si="401"/>
        <v>10</v>
      </c>
      <c r="X875">
        <f t="shared" si="402"/>
        <v>2010</v>
      </c>
    </row>
    <row r="876" spans="1:24" ht="12" customHeight="1">
      <c r="A876" s="4">
        <v>7273</v>
      </c>
      <c r="B876" s="4">
        <v>51879</v>
      </c>
      <c r="C876" s="5">
        <f t="shared" ref="C876:C877" si="426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  <c r="V876">
        <f t="shared" si="403"/>
        <v>26</v>
      </c>
      <c r="W876">
        <f t="shared" si="401"/>
        <v>8</v>
      </c>
      <c r="X876">
        <f t="shared" si="402"/>
        <v>2010</v>
      </c>
    </row>
    <row r="877" spans="1:24" ht="12" customHeight="1">
      <c r="A877" s="4">
        <v>7274</v>
      </c>
      <c r="B877" s="4">
        <v>51879</v>
      </c>
      <c r="C877" s="5">
        <f t="shared" si="426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427">C877+1</f>
        <v>40415</v>
      </c>
      <c r="V877">
        <f t="shared" si="403"/>
        <v>25</v>
      </c>
      <c r="W877">
        <f t="shared" si="401"/>
        <v>8</v>
      </c>
      <c r="X877">
        <f t="shared" si="402"/>
        <v>2010</v>
      </c>
    </row>
    <row r="878" spans="1:24" ht="12" customHeight="1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427"/>
        <v>40766</v>
      </c>
      <c r="V878">
        <f t="shared" si="403"/>
        <v>11</v>
      </c>
      <c r="W878">
        <f t="shared" si="401"/>
        <v>8</v>
      </c>
      <c r="X878">
        <f t="shared" si="402"/>
        <v>2011</v>
      </c>
    </row>
    <row r="879" spans="1:24" ht="12" customHeight="1">
      <c r="A879" s="4">
        <v>7456</v>
      </c>
      <c r="B879" s="4">
        <v>53190</v>
      </c>
      <c r="C879" s="5">
        <f t="shared" ref="C879:C880" si="428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  <c r="V879">
        <f t="shared" si="403"/>
        <v>27</v>
      </c>
      <c r="W879">
        <f t="shared" si="401"/>
        <v>9</v>
      </c>
      <c r="X879">
        <f t="shared" si="402"/>
        <v>2009</v>
      </c>
    </row>
    <row r="880" spans="1:24" ht="12" customHeight="1">
      <c r="A880" s="4">
        <v>7457</v>
      </c>
      <c r="B880" s="4">
        <v>53190</v>
      </c>
      <c r="C880" s="5">
        <f t="shared" si="428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  <c r="V880">
        <f t="shared" si="403"/>
        <v>25</v>
      </c>
      <c r="W880">
        <f t="shared" si="401"/>
        <v>9</v>
      </c>
      <c r="X880">
        <f t="shared" si="402"/>
        <v>2009</v>
      </c>
    </row>
    <row r="881" spans="1:24" ht="12" customHeight="1">
      <c r="A881" s="4">
        <v>7502</v>
      </c>
      <c r="B881" s="4">
        <v>53536</v>
      </c>
      <c r="C881" s="5">
        <f t="shared" ref="C881:C882" si="429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430">C881+2</f>
        <v>41214</v>
      </c>
      <c r="V881">
        <f t="shared" si="403"/>
        <v>1</v>
      </c>
      <c r="W881">
        <f t="shared" si="401"/>
        <v>11</v>
      </c>
      <c r="X881">
        <f t="shared" si="402"/>
        <v>2012</v>
      </c>
    </row>
    <row r="882" spans="1:24" ht="12" customHeight="1">
      <c r="A882" s="4">
        <v>7503</v>
      </c>
      <c r="B882" s="4">
        <v>53536</v>
      </c>
      <c r="C882" s="5">
        <f t="shared" si="429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430"/>
        <v>41214</v>
      </c>
      <c r="V882">
        <f t="shared" si="403"/>
        <v>1</v>
      </c>
      <c r="W882">
        <f t="shared" si="401"/>
        <v>11</v>
      </c>
      <c r="X882">
        <f t="shared" si="402"/>
        <v>2012</v>
      </c>
    </row>
    <row r="883" spans="1:24" ht="12" customHeight="1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  <c r="V883">
        <f t="shared" si="403"/>
        <v>8</v>
      </c>
      <c r="W883">
        <f t="shared" si="401"/>
        <v>5</v>
      </c>
      <c r="X883">
        <f t="shared" si="402"/>
        <v>2010</v>
      </c>
    </row>
    <row r="884" spans="1:24" ht="12" customHeight="1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  <c r="V884">
        <f t="shared" si="403"/>
        <v>11</v>
      </c>
      <c r="W884">
        <f t="shared" si="401"/>
        <v>4</v>
      </c>
      <c r="X884">
        <f t="shared" si="402"/>
        <v>2011</v>
      </c>
    </row>
    <row r="885" spans="1:24" ht="12" customHeight="1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  <c r="V885">
        <f t="shared" si="403"/>
        <v>6</v>
      </c>
      <c r="W885">
        <f t="shared" si="401"/>
        <v>6</v>
      </c>
      <c r="X885">
        <f t="shared" si="402"/>
        <v>2010</v>
      </c>
    </row>
    <row r="886" spans="1:24" ht="12" customHeight="1">
      <c r="A886" s="4">
        <v>7565</v>
      </c>
      <c r="B886" s="4">
        <v>54119</v>
      </c>
      <c r="C886" s="5">
        <f t="shared" ref="C886:C887" si="431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  <c r="V886">
        <f t="shared" si="403"/>
        <v>23</v>
      </c>
      <c r="W886">
        <f t="shared" si="401"/>
        <v>5</v>
      </c>
      <c r="X886">
        <f t="shared" si="402"/>
        <v>2010</v>
      </c>
    </row>
    <row r="887" spans="1:24" ht="12" customHeight="1">
      <c r="A887" s="4">
        <v>7566</v>
      </c>
      <c r="B887" s="4">
        <v>54119</v>
      </c>
      <c r="C887" s="5">
        <f t="shared" si="431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  <c r="V887">
        <f t="shared" si="403"/>
        <v>25</v>
      </c>
      <c r="W887">
        <f t="shared" si="401"/>
        <v>5</v>
      </c>
      <c r="X887">
        <f t="shared" si="402"/>
        <v>2010</v>
      </c>
    </row>
    <row r="888" spans="1:24" ht="12" customHeight="1">
      <c r="A888" s="4">
        <v>7861</v>
      </c>
      <c r="B888" s="4">
        <v>56224</v>
      </c>
      <c r="C888" s="5">
        <f t="shared" ref="C888:C891" si="432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  <c r="V888">
        <f t="shared" si="403"/>
        <v>27</v>
      </c>
      <c r="W888">
        <f t="shared" si="401"/>
        <v>10</v>
      </c>
      <c r="X888">
        <f t="shared" si="402"/>
        <v>2012</v>
      </c>
    </row>
    <row r="889" spans="1:24" ht="12" customHeight="1">
      <c r="A889" s="4">
        <v>7862</v>
      </c>
      <c r="B889" s="4">
        <v>56224</v>
      </c>
      <c r="C889" s="5">
        <f t="shared" si="432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  <c r="V889">
        <f t="shared" si="403"/>
        <v>26</v>
      </c>
      <c r="W889">
        <f t="shared" si="401"/>
        <v>10</v>
      </c>
      <c r="X889">
        <f t="shared" si="402"/>
        <v>2012</v>
      </c>
    </row>
    <row r="890" spans="1:24" ht="12" customHeight="1">
      <c r="A890" s="4">
        <v>7863</v>
      </c>
      <c r="B890" s="4">
        <v>56224</v>
      </c>
      <c r="C890" s="5">
        <f t="shared" si="432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  <c r="V890">
        <f t="shared" si="403"/>
        <v>25</v>
      </c>
      <c r="W890">
        <f t="shared" si="401"/>
        <v>10</v>
      </c>
      <c r="X890">
        <f t="shared" si="402"/>
        <v>2012</v>
      </c>
    </row>
    <row r="891" spans="1:24" ht="12" customHeight="1">
      <c r="A891" s="4">
        <v>7864</v>
      </c>
      <c r="B891" s="4">
        <v>56224</v>
      </c>
      <c r="C891" s="5">
        <f t="shared" si="432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  <c r="V891">
        <f t="shared" si="403"/>
        <v>26</v>
      </c>
      <c r="W891">
        <f t="shared" si="401"/>
        <v>10</v>
      </c>
      <c r="X891">
        <f t="shared" si="402"/>
        <v>2012</v>
      </c>
    </row>
    <row r="892" spans="1:24" ht="12" customHeight="1">
      <c r="A892" s="4">
        <v>7873</v>
      </c>
      <c r="B892" s="4">
        <v>56293</v>
      </c>
      <c r="C892" s="5">
        <f t="shared" ref="C892:C893" si="433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  <c r="V892">
        <f t="shared" si="403"/>
        <v>5</v>
      </c>
      <c r="W892">
        <f t="shared" si="401"/>
        <v>1</v>
      </c>
      <c r="X892">
        <f t="shared" si="402"/>
        <v>2010</v>
      </c>
    </row>
    <row r="893" spans="1:24" ht="12" customHeight="1">
      <c r="A893" s="4">
        <v>7874</v>
      </c>
      <c r="B893" s="4">
        <v>56293</v>
      </c>
      <c r="C893" s="5">
        <f t="shared" si="433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434">C893+1</f>
        <v>40184</v>
      </c>
      <c r="V893">
        <f t="shared" si="403"/>
        <v>6</v>
      </c>
      <c r="W893">
        <f t="shared" si="401"/>
        <v>1</v>
      </c>
      <c r="X893">
        <f t="shared" si="402"/>
        <v>2010</v>
      </c>
    </row>
    <row r="894" spans="1:24" ht="12" customHeight="1">
      <c r="A894" s="4">
        <v>8116</v>
      </c>
      <c r="B894" s="4">
        <v>57959</v>
      </c>
      <c r="C894" s="5">
        <f t="shared" ref="C894:C895" si="435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434"/>
        <v>40908</v>
      </c>
      <c r="V894">
        <f t="shared" si="403"/>
        <v>31</v>
      </c>
      <c r="W894">
        <f t="shared" si="401"/>
        <v>12</v>
      </c>
      <c r="X894">
        <f t="shared" si="402"/>
        <v>2011</v>
      </c>
    </row>
    <row r="895" spans="1:24" ht="12" customHeight="1">
      <c r="A895" s="4">
        <v>8117</v>
      </c>
      <c r="B895" s="4">
        <v>57959</v>
      </c>
      <c r="C895" s="5">
        <f t="shared" si="435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434"/>
        <v>40908</v>
      </c>
      <c r="V895">
        <f t="shared" si="403"/>
        <v>31</v>
      </c>
      <c r="W895">
        <f t="shared" si="401"/>
        <v>12</v>
      </c>
      <c r="X895">
        <f t="shared" si="402"/>
        <v>2011</v>
      </c>
    </row>
    <row r="896" spans="1:24" ht="12" customHeight="1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  <c r="V896">
        <f t="shared" si="403"/>
        <v>14</v>
      </c>
      <c r="W896">
        <f t="shared" si="401"/>
        <v>2</v>
      </c>
      <c r="X896">
        <f t="shared" si="402"/>
        <v>2011</v>
      </c>
    </row>
    <row r="897" spans="1:24" ht="12" customHeight="1">
      <c r="A897" s="4">
        <v>8335</v>
      </c>
      <c r="B897" s="4">
        <v>59584</v>
      </c>
      <c r="C897" s="5">
        <f t="shared" ref="C897:C898" si="436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  <c r="V897">
        <f t="shared" si="403"/>
        <v>29</v>
      </c>
      <c r="W897">
        <f t="shared" si="401"/>
        <v>5</v>
      </c>
      <c r="X897">
        <f t="shared" si="402"/>
        <v>2010</v>
      </c>
    </row>
    <row r="898" spans="1:24" ht="12" customHeight="1">
      <c r="A898" s="4">
        <v>8336</v>
      </c>
      <c r="B898" s="4">
        <v>59584</v>
      </c>
      <c r="C898" s="5">
        <f t="shared" si="436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  <c r="V898">
        <f t="shared" si="403"/>
        <v>28</v>
      </c>
      <c r="W898">
        <f t="shared" si="401"/>
        <v>5</v>
      </c>
      <c r="X898">
        <f t="shared" si="402"/>
        <v>2010</v>
      </c>
    </row>
    <row r="899" spans="1:24" ht="12" customHeight="1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  <c r="V899">
        <f t="shared" si="403"/>
        <v>29</v>
      </c>
      <c r="W899">
        <f t="shared" ref="W899:W962" si="437">MONTH(U899)</f>
        <v>6</v>
      </c>
      <c r="X899">
        <f t="shared" ref="X899:X962" si="438">YEAR(U899)</f>
        <v>2010</v>
      </c>
    </row>
    <row r="900" spans="1:24" ht="12" customHeight="1">
      <c r="A900" s="4">
        <v>143</v>
      </c>
      <c r="B900" s="4">
        <v>928</v>
      </c>
      <c r="C900" s="5">
        <f t="shared" ref="C900:C901" si="439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  <c r="V900">
        <f t="shared" ref="V900:V963" si="440">DAY(U900)</f>
        <v>6</v>
      </c>
      <c r="W900">
        <f t="shared" si="437"/>
        <v>3</v>
      </c>
      <c r="X900">
        <f t="shared" si="438"/>
        <v>2011</v>
      </c>
    </row>
    <row r="901" spans="1:24" ht="12" customHeight="1">
      <c r="A901" s="4">
        <v>144</v>
      </c>
      <c r="B901" s="4">
        <v>928</v>
      </c>
      <c r="C901" s="5">
        <f t="shared" si="439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441">C901+2</f>
        <v>40605</v>
      </c>
      <c r="V901">
        <f t="shared" si="440"/>
        <v>3</v>
      </c>
      <c r="W901">
        <f t="shared" si="437"/>
        <v>3</v>
      </c>
      <c r="X901">
        <f t="shared" si="438"/>
        <v>2011</v>
      </c>
    </row>
    <row r="902" spans="1:24" ht="12" customHeight="1">
      <c r="A902" s="4">
        <v>191</v>
      </c>
      <c r="B902" s="4">
        <v>1282</v>
      </c>
      <c r="C902" s="5">
        <f t="shared" ref="C902:C903" si="442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441"/>
        <v>40968</v>
      </c>
      <c r="V902">
        <f t="shared" si="440"/>
        <v>29</v>
      </c>
      <c r="W902">
        <f t="shared" si="437"/>
        <v>2</v>
      </c>
      <c r="X902">
        <f t="shared" si="438"/>
        <v>2012</v>
      </c>
    </row>
    <row r="903" spans="1:24" ht="12" customHeight="1">
      <c r="A903" s="4">
        <v>192</v>
      </c>
      <c r="B903" s="4">
        <v>1282</v>
      </c>
      <c r="C903" s="5">
        <f t="shared" si="442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441"/>
        <v>40968</v>
      </c>
      <c r="V903">
        <f t="shared" si="440"/>
        <v>29</v>
      </c>
      <c r="W903">
        <f t="shared" si="437"/>
        <v>2</v>
      </c>
      <c r="X903">
        <f t="shared" si="438"/>
        <v>2012</v>
      </c>
    </row>
    <row r="904" spans="1:24" ht="12" customHeight="1">
      <c r="A904" s="4">
        <v>267</v>
      </c>
      <c r="B904" s="4">
        <v>1856</v>
      </c>
      <c r="C904" s="5">
        <f t="shared" ref="C904:C906" si="443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441"/>
        <v>40989</v>
      </c>
      <c r="V904">
        <f t="shared" si="440"/>
        <v>21</v>
      </c>
      <c r="W904">
        <f t="shared" si="437"/>
        <v>3</v>
      </c>
      <c r="X904">
        <f t="shared" si="438"/>
        <v>2012</v>
      </c>
    </row>
    <row r="905" spans="1:24" ht="12" customHeight="1">
      <c r="A905" s="4">
        <v>268</v>
      </c>
      <c r="B905" s="4">
        <v>1856</v>
      </c>
      <c r="C905" s="5">
        <f t="shared" si="443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444">C905+1</f>
        <v>40988</v>
      </c>
      <c r="V905">
        <f t="shared" si="440"/>
        <v>20</v>
      </c>
      <c r="W905">
        <f t="shared" si="437"/>
        <v>3</v>
      </c>
      <c r="X905">
        <f t="shared" si="438"/>
        <v>2012</v>
      </c>
    </row>
    <row r="906" spans="1:24" ht="12" customHeight="1">
      <c r="A906" s="4">
        <v>269</v>
      </c>
      <c r="B906" s="4">
        <v>1856</v>
      </c>
      <c r="C906" s="5">
        <f t="shared" si="443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444"/>
        <v>40988</v>
      </c>
      <c r="V906">
        <f t="shared" si="440"/>
        <v>20</v>
      </c>
      <c r="W906">
        <f t="shared" si="437"/>
        <v>3</v>
      </c>
      <c r="X906">
        <f t="shared" si="438"/>
        <v>2012</v>
      </c>
    </row>
    <row r="907" spans="1:24" ht="12" customHeight="1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444"/>
        <v>40973</v>
      </c>
      <c r="V907">
        <f t="shared" si="440"/>
        <v>5</v>
      </c>
      <c r="W907">
        <f t="shared" si="437"/>
        <v>3</v>
      </c>
      <c r="X907">
        <f t="shared" si="438"/>
        <v>2012</v>
      </c>
    </row>
    <row r="908" spans="1:24" ht="12" customHeight="1">
      <c r="A908" s="4">
        <v>424</v>
      </c>
      <c r="B908" s="4">
        <v>2848</v>
      </c>
      <c r="C908" s="5">
        <f t="shared" ref="C908:C909" si="445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46">C908+2</f>
        <v>40979</v>
      </c>
      <c r="V908">
        <f t="shared" si="440"/>
        <v>11</v>
      </c>
      <c r="W908">
        <f t="shared" si="437"/>
        <v>3</v>
      </c>
      <c r="X908">
        <f t="shared" si="438"/>
        <v>2012</v>
      </c>
    </row>
    <row r="909" spans="1:24" ht="12" customHeight="1">
      <c r="A909" s="4">
        <v>425</v>
      </c>
      <c r="B909" s="4">
        <v>2848</v>
      </c>
      <c r="C909" s="5">
        <f t="shared" si="445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46"/>
        <v>40979</v>
      </c>
      <c r="V909">
        <f t="shared" si="440"/>
        <v>11</v>
      </c>
      <c r="W909">
        <f t="shared" si="437"/>
        <v>3</v>
      </c>
      <c r="X909">
        <f t="shared" si="438"/>
        <v>2012</v>
      </c>
    </row>
    <row r="910" spans="1:24" ht="12" customHeight="1">
      <c r="A910" s="4">
        <v>767</v>
      </c>
      <c r="B910" s="4">
        <v>5504</v>
      </c>
      <c r="C910" s="5">
        <f t="shared" ref="C910:C911" si="447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46"/>
        <v>40185</v>
      </c>
      <c r="V910">
        <f t="shared" si="440"/>
        <v>7</v>
      </c>
      <c r="W910">
        <f t="shared" si="437"/>
        <v>1</v>
      </c>
      <c r="X910">
        <f t="shared" si="438"/>
        <v>2010</v>
      </c>
    </row>
    <row r="911" spans="1:24" ht="12" customHeight="1">
      <c r="A911" s="4">
        <v>768</v>
      </c>
      <c r="B911" s="4">
        <v>5504</v>
      </c>
      <c r="C911" s="5">
        <f t="shared" si="447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46"/>
        <v>40185</v>
      </c>
      <c r="V911">
        <f t="shared" si="440"/>
        <v>7</v>
      </c>
      <c r="W911">
        <f t="shared" si="437"/>
        <v>1</v>
      </c>
      <c r="X911">
        <f t="shared" si="438"/>
        <v>2010</v>
      </c>
    </row>
    <row r="912" spans="1:24" ht="12" customHeight="1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  <c r="V912">
        <f t="shared" si="440"/>
        <v>21</v>
      </c>
      <c r="W912">
        <f t="shared" si="437"/>
        <v>4</v>
      </c>
      <c r="X912">
        <f t="shared" si="438"/>
        <v>2012</v>
      </c>
    </row>
    <row r="913" spans="1:24" ht="12" customHeight="1">
      <c r="A913" s="4">
        <v>1168</v>
      </c>
      <c r="B913" s="4">
        <v>8545</v>
      </c>
      <c r="C913" s="5">
        <f t="shared" ref="C913:C914" si="448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49">C913+4</f>
        <v>39985</v>
      </c>
      <c r="V913">
        <f t="shared" si="440"/>
        <v>21</v>
      </c>
      <c r="W913">
        <f t="shared" si="437"/>
        <v>6</v>
      </c>
      <c r="X913">
        <f t="shared" si="438"/>
        <v>2009</v>
      </c>
    </row>
    <row r="914" spans="1:24" ht="12" customHeight="1">
      <c r="A914" s="4">
        <v>1169</v>
      </c>
      <c r="B914" s="4">
        <v>8545</v>
      </c>
      <c r="C914" s="5">
        <f t="shared" si="448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49"/>
        <v>39985</v>
      </c>
      <c r="V914">
        <f t="shared" si="440"/>
        <v>21</v>
      </c>
      <c r="W914">
        <f t="shared" si="437"/>
        <v>6</v>
      </c>
      <c r="X914">
        <f t="shared" si="438"/>
        <v>2009</v>
      </c>
    </row>
    <row r="915" spans="1:24" ht="12" customHeight="1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50">C915+1</f>
        <v>41074</v>
      </c>
      <c r="V915">
        <f t="shared" si="440"/>
        <v>14</v>
      </c>
      <c r="W915">
        <f t="shared" si="437"/>
        <v>6</v>
      </c>
      <c r="X915">
        <f t="shared" si="438"/>
        <v>2012</v>
      </c>
    </row>
    <row r="916" spans="1:24" ht="12" customHeight="1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50"/>
        <v>41107</v>
      </c>
      <c r="V916">
        <f t="shared" si="440"/>
        <v>17</v>
      </c>
      <c r="W916">
        <f t="shared" si="437"/>
        <v>7</v>
      </c>
      <c r="X916">
        <f t="shared" si="438"/>
        <v>2012</v>
      </c>
    </row>
    <row r="917" spans="1:24" ht="12" customHeight="1">
      <c r="A917" s="4">
        <v>1381</v>
      </c>
      <c r="B917" s="4">
        <v>10048</v>
      </c>
      <c r="C917" s="5">
        <f t="shared" ref="C917:C918" si="451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  <c r="V917">
        <f t="shared" si="440"/>
        <v>18</v>
      </c>
      <c r="W917">
        <f t="shared" si="437"/>
        <v>5</v>
      </c>
      <c r="X917">
        <f t="shared" si="438"/>
        <v>2009</v>
      </c>
    </row>
    <row r="918" spans="1:24" ht="12" customHeight="1">
      <c r="A918" s="4">
        <v>1382</v>
      </c>
      <c r="B918" s="4">
        <v>10048</v>
      </c>
      <c r="C918" s="5">
        <f t="shared" si="451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52">C918+2</f>
        <v>39950</v>
      </c>
      <c r="V918">
        <f t="shared" si="440"/>
        <v>17</v>
      </c>
      <c r="W918">
        <f t="shared" si="437"/>
        <v>5</v>
      </c>
      <c r="X918">
        <f t="shared" si="438"/>
        <v>2009</v>
      </c>
    </row>
    <row r="919" spans="1:24" ht="12" customHeight="1">
      <c r="A919" s="4">
        <v>1395</v>
      </c>
      <c r="B919" s="4">
        <v>10144</v>
      </c>
      <c r="C919" s="5">
        <f t="shared" ref="C919:C921" si="453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52"/>
        <v>40547</v>
      </c>
      <c r="V919">
        <f t="shared" si="440"/>
        <v>4</v>
      </c>
      <c r="W919">
        <f t="shared" si="437"/>
        <v>1</v>
      </c>
      <c r="X919">
        <f t="shared" si="438"/>
        <v>2011</v>
      </c>
    </row>
    <row r="920" spans="1:24" ht="12" customHeight="1">
      <c r="A920" s="4">
        <v>1396</v>
      </c>
      <c r="B920" s="4">
        <v>10144</v>
      </c>
      <c r="C920" s="5">
        <f t="shared" si="453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52"/>
        <v>40547</v>
      </c>
      <c r="V920">
        <f t="shared" si="440"/>
        <v>4</v>
      </c>
      <c r="W920">
        <f t="shared" si="437"/>
        <v>1</v>
      </c>
      <c r="X920">
        <f t="shared" si="438"/>
        <v>2011</v>
      </c>
    </row>
    <row r="921" spans="1:24" ht="12" customHeight="1">
      <c r="A921" s="4">
        <v>1397</v>
      </c>
      <c r="B921" s="4">
        <v>10144</v>
      </c>
      <c r="C921" s="5">
        <f t="shared" si="453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  <c r="V921">
        <f t="shared" si="440"/>
        <v>2</v>
      </c>
      <c r="W921">
        <f t="shared" si="437"/>
        <v>1</v>
      </c>
      <c r="X921">
        <f t="shared" si="438"/>
        <v>2011</v>
      </c>
    </row>
    <row r="922" spans="1:24" ht="12" customHeight="1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  <c r="V922">
        <f t="shared" si="440"/>
        <v>12</v>
      </c>
      <c r="W922">
        <f t="shared" si="437"/>
        <v>1</v>
      </c>
      <c r="X922">
        <f t="shared" si="438"/>
        <v>2012</v>
      </c>
    </row>
    <row r="923" spans="1:24" ht="12" customHeight="1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54">C923+1</f>
        <v>39837</v>
      </c>
      <c r="V923">
        <f t="shared" si="440"/>
        <v>24</v>
      </c>
      <c r="W923">
        <f t="shared" si="437"/>
        <v>1</v>
      </c>
      <c r="X923">
        <f t="shared" si="438"/>
        <v>2009</v>
      </c>
    </row>
    <row r="924" spans="1:24" ht="12" customHeight="1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54"/>
        <v>40902</v>
      </c>
      <c r="V924">
        <f t="shared" si="440"/>
        <v>25</v>
      </c>
      <c r="W924">
        <f t="shared" si="437"/>
        <v>12</v>
      </c>
      <c r="X924">
        <f t="shared" si="438"/>
        <v>2011</v>
      </c>
    </row>
    <row r="925" spans="1:24" ht="12" customHeight="1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  <c r="V925">
        <f t="shared" si="440"/>
        <v>22</v>
      </c>
      <c r="W925">
        <f t="shared" si="437"/>
        <v>11</v>
      </c>
      <c r="X925">
        <f t="shared" si="438"/>
        <v>2012</v>
      </c>
    </row>
    <row r="926" spans="1:24" ht="12" customHeight="1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55">C926+1</f>
        <v>41273</v>
      </c>
      <c r="V926">
        <f t="shared" si="440"/>
        <v>30</v>
      </c>
      <c r="W926">
        <f t="shared" si="437"/>
        <v>12</v>
      </c>
      <c r="X926">
        <f t="shared" si="438"/>
        <v>2012</v>
      </c>
    </row>
    <row r="927" spans="1:24" ht="12" customHeight="1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55"/>
        <v>40210</v>
      </c>
      <c r="V927">
        <f t="shared" si="440"/>
        <v>1</v>
      </c>
      <c r="W927">
        <f t="shared" si="437"/>
        <v>2</v>
      </c>
      <c r="X927">
        <f t="shared" si="438"/>
        <v>2010</v>
      </c>
    </row>
    <row r="928" spans="1:24" ht="12" customHeight="1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55"/>
        <v>39849</v>
      </c>
      <c r="V928">
        <f t="shared" si="440"/>
        <v>5</v>
      </c>
      <c r="W928">
        <f t="shared" si="437"/>
        <v>2</v>
      </c>
      <c r="X928">
        <f t="shared" si="438"/>
        <v>2009</v>
      </c>
    </row>
    <row r="929" spans="1:24" ht="12" customHeight="1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  <c r="V929">
        <f t="shared" si="440"/>
        <v>24</v>
      </c>
      <c r="W929">
        <f t="shared" si="437"/>
        <v>12</v>
      </c>
      <c r="X929">
        <f t="shared" si="438"/>
        <v>2011</v>
      </c>
    </row>
    <row r="930" spans="1:24" ht="12" customHeight="1">
      <c r="A930" s="4">
        <v>2256</v>
      </c>
      <c r="B930" s="4">
        <v>16230</v>
      </c>
      <c r="C930" s="5">
        <f t="shared" ref="C930:C933" si="456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57">C930+2</f>
        <v>40238</v>
      </c>
      <c r="V930">
        <f t="shared" si="440"/>
        <v>1</v>
      </c>
      <c r="W930">
        <f t="shared" si="437"/>
        <v>3</v>
      </c>
      <c r="X930">
        <f t="shared" si="438"/>
        <v>2010</v>
      </c>
    </row>
    <row r="931" spans="1:24" ht="12" customHeight="1">
      <c r="A931" s="4">
        <v>2257</v>
      </c>
      <c r="B931" s="4">
        <v>16230</v>
      </c>
      <c r="C931" s="5">
        <f t="shared" si="456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57"/>
        <v>40238</v>
      </c>
      <c r="V931">
        <f t="shared" si="440"/>
        <v>1</v>
      </c>
      <c r="W931">
        <f t="shared" si="437"/>
        <v>3</v>
      </c>
      <c r="X931">
        <f t="shared" si="438"/>
        <v>2010</v>
      </c>
    </row>
    <row r="932" spans="1:24" ht="12" customHeight="1">
      <c r="A932" s="4">
        <v>2258</v>
      </c>
      <c r="B932" s="4">
        <v>16230</v>
      </c>
      <c r="C932" s="5">
        <f t="shared" si="456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  <c r="V932">
        <f t="shared" si="440"/>
        <v>6</v>
      </c>
      <c r="W932">
        <f t="shared" si="437"/>
        <v>3</v>
      </c>
      <c r="X932">
        <f t="shared" si="438"/>
        <v>2010</v>
      </c>
    </row>
    <row r="933" spans="1:24" ht="12" customHeight="1">
      <c r="A933" s="4">
        <v>2259</v>
      </c>
      <c r="B933" s="4">
        <v>16230</v>
      </c>
      <c r="C933" s="5">
        <f t="shared" si="456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  <c r="V933">
        <f t="shared" si="440"/>
        <v>4</v>
      </c>
      <c r="W933">
        <f t="shared" si="437"/>
        <v>3</v>
      </c>
      <c r="X933">
        <f t="shared" si="438"/>
        <v>2010</v>
      </c>
    </row>
    <row r="934" spans="1:24" ht="12" customHeight="1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58">C934+2</f>
        <v>41087</v>
      </c>
      <c r="V934">
        <f t="shared" si="440"/>
        <v>27</v>
      </c>
      <c r="W934">
        <f t="shared" si="437"/>
        <v>6</v>
      </c>
      <c r="X934">
        <f t="shared" si="438"/>
        <v>2012</v>
      </c>
    </row>
    <row r="935" spans="1:24" ht="12" customHeight="1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58"/>
        <v>40983</v>
      </c>
      <c r="V935">
        <f t="shared" si="440"/>
        <v>15</v>
      </c>
      <c r="W935">
        <f t="shared" si="437"/>
        <v>3</v>
      </c>
      <c r="X935">
        <f t="shared" si="438"/>
        <v>2012</v>
      </c>
    </row>
    <row r="936" spans="1:24" ht="12" customHeight="1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58"/>
        <v>40542</v>
      </c>
      <c r="V936">
        <f t="shared" si="440"/>
        <v>30</v>
      </c>
      <c r="W936">
        <f t="shared" si="437"/>
        <v>12</v>
      </c>
      <c r="X936">
        <f t="shared" si="438"/>
        <v>2010</v>
      </c>
    </row>
    <row r="937" spans="1:24" ht="12" customHeight="1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58"/>
        <v>41095</v>
      </c>
      <c r="V937">
        <f t="shared" si="440"/>
        <v>5</v>
      </c>
      <c r="W937">
        <f t="shared" si="437"/>
        <v>7</v>
      </c>
      <c r="X937">
        <f t="shared" si="438"/>
        <v>2012</v>
      </c>
    </row>
    <row r="938" spans="1:24" ht="12" customHeight="1">
      <c r="A938" s="4">
        <v>3042</v>
      </c>
      <c r="B938" s="4">
        <v>21856</v>
      </c>
      <c r="C938" s="5">
        <f t="shared" ref="C938:C939" si="459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58"/>
        <v>41006</v>
      </c>
      <c r="V938">
        <f t="shared" si="440"/>
        <v>7</v>
      </c>
      <c r="W938">
        <f t="shared" si="437"/>
        <v>4</v>
      </c>
      <c r="X938">
        <f t="shared" si="438"/>
        <v>2012</v>
      </c>
    </row>
    <row r="939" spans="1:24" ht="12" customHeight="1">
      <c r="A939" s="4">
        <v>3043</v>
      </c>
      <c r="B939" s="4">
        <v>21856</v>
      </c>
      <c r="C939" s="5">
        <f t="shared" si="459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  <c r="V939">
        <f t="shared" si="440"/>
        <v>5</v>
      </c>
      <c r="W939">
        <f t="shared" si="437"/>
        <v>4</v>
      </c>
      <c r="X939">
        <f t="shared" si="438"/>
        <v>2012</v>
      </c>
    </row>
    <row r="940" spans="1:24" ht="12" customHeight="1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  <c r="V940">
        <f t="shared" si="440"/>
        <v>29</v>
      </c>
      <c r="W940">
        <f t="shared" si="437"/>
        <v>7</v>
      </c>
      <c r="X940">
        <f t="shared" si="438"/>
        <v>2009</v>
      </c>
    </row>
    <row r="941" spans="1:24" ht="12" customHeight="1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  <c r="V941">
        <f t="shared" si="440"/>
        <v>20</v>
      </c>
      <c r="W941">
        <f t="shared" si="437"/>
        <v>7</v>
      </c>
      <c r="X941">
        <f t="shared" si="438"/>
        <v>2011</v>
      </c>
    </row>
    <row r="942" spans="1:24" ht="12" customHeight="1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  <c r="V942">
        <f t="shared" si="440"/>
        <v>20</v>
      </c>
      <c r="W942">
        <f t="shared" si="437"/>
        <v>4</v>
      </c>
      <c r="X942">
        <f t="shared" si="438"/>
        <v>2010</v>
      </c>
    </row>
    <row r="943" spans="1:24" ht="12" customHeight="1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  <c r="V943">
        <f t="shared" si="440"/>
        <v>22</v>
      </c>
      <c r="W943">
        <f t="shared" si="437"/>
        <v>6</v>
      </c>
      <c r="X943">
        <f t="shared" si="438"/>
        <v>2010</v>
      </c>
    </row>
    <row r="944" spans="1:24" ht="12" customHeight="1">
      <c r="A944" s="4">
        <v>3368</v>
      </c>
      <c r="B944" s="4">
        <v>24070</v>
      </c>
      <c r="C944" s="5">
        <f t="shared" ref="C944:C946" si="460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61">C944+1</f>
        <v>40618</v>
      </c>
      <c r="V944">
        <f t="shared" si="440"/>
        <v>16</v>
      </c>
      <c r="W944">
        <f t="shared" si="437"/>
        <v>3</v>
      </c>
      <c r="X944">
        <f t="shared" si="438"/>
        <v>2011</v>
      </c>
    </row>
    <row r="945" spans="1:24" ht="12" customHeight="1">
      <c r="A945" s="4">
        <v>3369</v>
      </c>
      <c r="B945" s="4">
        <v>24070</v>
      </c>
      <c r="C945" s="5">
        <f t="shared" si="460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61"/>
        <v>40618</v>
      </c>
      <c r="V945">
        <f t="shared" si="440"/>
        <v>16</v>
      </c>
      <c r="W945">
        <f t="shared" si="437"/>
        <v>3</v>
      </c>
      <c r="X945">
        <f t="shared" si="438"/>
        <v>2011</v>
      </c>
    </row>
    <row r="946" spans="1:24" ht="12" customHeight="1">
      <c r="A946" s="4">
        <v>3370</v>
      </c>
      <c r="B946" s="4">
        <v>24070</v>
      </c>
      <c r="C946" s="5">
        <f t="shared" si="460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61"/>
        <v>40618</v>
      </c>
      <c r="V946">
        <f t="shared" si="440"/>
        <v>16</v>
      </c>
      <c r="W946">
        <f t="shared" si="437"/>
        <v>3</v>
      </c>
      <c r="X946">
        <f t="shared" si="438"/>
        <v>2011</v>
      </c>
    </row>
    <row r="947" spans="1:24" ht="12" customHeight="1">
      <c r="A947" s="4">
        <v>3474</v>
      </c>
      <c r="B947" s="4">
        <v>24737</v>
      </c>
      <c r="C947" s="5">
        <f t="shared" ref="C947:C948" si="462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  <c r="V947">
        <f t="shared" si="440"/>
        <v>9</v>
      </c>
      <c r="W947">
        <f t="shared" si="437"/>
        <v>12</v>
      </c>
      <c r="X947">
        <f t="shared" si="438"/>
        <v>2009</v>
      </c>
    </row>
    <row r="948" spans="1:24" ht="12" customHeight="1">
      <c r="A948" s="4">
        <v>3475</v>
      </c>
      <c r="B948" s="4">
        <v>24737</v>
      </c>
      <c r="C948" s="5">
        <f t="shared" si="462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  <c r="V948">
        <f t="shared" si="440"/>
        <v>7</v>
      </c>
      <c r="W948">
        <f t="shared" si="437"/>
        <v>12</v>
      </c>
      <c r="X948">
        <f t="shared" si="438"/>
        <v>2009</v>
      </c>
    </row>
    <row r="949" spans="1:24" ht="12" customHeight="1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  <c r="V949">
        <f t="shared" si="440"/>
        <v>25</v>
      </c>
      <c r="W949">
        <f t="shared" si="437"/>
        <v>7</v>
      </c>
      <c r="X949">
        <f t="shared" si="438"/>
        <v>2010</v>
      </c>
    </row>
    <row r="950" spans="1:24" ht="12" customHeight="1">
      <c r="A950" s="4">
        <v>3781</v>
      </c>
      <c r="B950" s="4">
        <v>26978</v>
      </c>
      <c r="C950" s="5">
        <f t="shared" ref="C950:C952" si="463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64">C950+2</f>
        <v>40356</v>
      </c>
      <c r="V950">
        <f t="shared" si="440"/>
        <v>27</v>
      </c>
      <c r="W950">
        <f t="shared" si="437"/>
        <v>6</v>
      </c>
      <c r="X950">
        <f t="shared" si="438"/>
        <v>2010</v>
      </c>
    </row>
    <row r="951" spans="1:24" ht="12" customHeight="1">
      <c r="A951" s="4">
        <v>3782</v>
      </c>
      <c r="B951" s="4">
        <v>26978</v>
      </c>
      <c r="C951" s="5">
        <f t="shared" si="463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64"/>
        <v>40356</v>
      </c>
      <c r="V951">
        <f t="shared" si="440"/>
        <v>27</v>
      </c>
      <c r="W951">
        <f t="shared" si="437"/>
        <v>6</v>
      </c>
      <c r="X951">
        <f t="shared" si="438"/>
        <v>2010</v>
      </c>
    </row>
    <row r="952" spans="1:24" ht="12" customHeight="1">
      <c r="A952" s="4">
        <v>3783</v>
      </c>
      <c r="B952" s="4">
        <v>26978</v>
      </c>
      <c r="C952" s="5">
        <f t="shared" si="463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64"/>
        <v>40356</v>
      </c>
      <c r="V952">
        <f t="shared" si="440"/>
        <v>27</v>
      </c>
      <c r="W952">
        <f t="shared" si="437"/>
        <v>6</v>
      </c>
      <c r="X952">
        <f t="shared" si="438"/>
        <v>2010</v>
      </c>
    </row>
    <row r="953" spans="1:24" ht="12" customHeight="1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64"/>
        <v>40826</v>
      </c>
      <c r="V953">
        <f t="shared" si="440"/>
        <v>10</v>
      </c>
      <c r="W953">
        <f t="shared" si="437"/>
        <v>10</v>
      </c>
      <c r="X953">
        <f t="shared" si="438"/>
        <v>2011</v>
      </c>
    </row>
    <row r="954" spans="1:24" ht="12" customHeight="1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  <c r="V954">
        <f t="shared" si="440"/>
        <v>14</v>
      </c>
      <c r="W954">
        <f t="shared" si="437"/>
        <v>9</v>
      </c>
      <c r="X954">
        <f t="shared" si="438"/>
        <v>2010</v>
      </c>
    </row>
    <row r="955" spans="1:24" ht="12" customHeight="1">
      <c r="A955" s="4">
        <v>4005</v>
      </c>
      <c r="B955" s="4">
        <v>28582</v>
      </c>
      <c r="C955" s="5">
        <f t="shared" ref="C955:C956" si="465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66">C955+1</f>
        <v>40931</v>
      </c>
      <c r="V955">
        <f t="shared" si="440"/>
        <v>23</v>
      </c>
      <c r="W955">
        <f t="shared" si="437"/>
        <v>1</v>
      </c>
      <c r="X955">
        <f t="shared" si="438"/>
        <v>2012</v>
      </c>
    </row>
    <row r="956" spans="1:24" ht="12" customHeight="1">
      <c r="A956" s="4">
        <v>4006</v>
      </c>
      <c r="B956" s="4">
        <v>28582</v>
      </c>
      <c r="C956" s="5">
        <f t="shared" si="465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66"/>
        <v>40931</v>
      </c>
      <c r="V956">
        <f t="shared" si="440"/>
        <v>23</v>
      </c>
      <c r="W956">
        <f t="shared" si="437"/>
        <v>1</v>
      </c>
      <c r="X956">
        <f t="shared" si="438"/>
        <v>2012</v>
      </c>
    </row>
    <row r="957" spans="1:24" ht="12" customHeight="1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66"/>
        <v>41005</v>
      </c>
      <c r="V957">
        <f t="shared" si="440"/>
        <v>6</v>
      </c>
      <c r="W957">
        <f t="shared" si="437"/>
        <v>4</v>
      </c>
      <c r="X957">
        <f t="shared" si="438"/>
        <v>2012</v>
      </c>
    </row>
    <row r="958" spans="1:24" ht="12" customHeight="1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67">C958+2</f>
        <v>40161</v>
      </c>
      <c r="V958">
        <f t="shared" si="440"/>
        <v>14</v>
      </c>
      <c r="W958">
        <f t="shared" si="437"/>
        <v>12</v>
      </c>
      <c r="X958">
        <f t="shared" si="438"/>
        <v>2009</v>
      </c>
    </row>
    <row r="959" spans="1:24" ht="12" customHeight="1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67"/>
        <v>40993</v>
      </c>
      <c r="V959">
        <f t="shared" si="440"/>
        <v>25</v>
      </c>
      <c r="W959">
        <f t="shared" si="437"/>
        <v>3</v>
      </c>
      <c r="X959">
        <f t="shared" si="438"/>
        <v>2012</v>
      </c>
    </row>
    <row r="960" spans="1:24" ht="12" customHeight="1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67"/>
        <v>40801</v>
      </c>
      <c r="V960">
        <f t="shared" si="440"/>
        <v>15</v>
      </c>
      <c r="W960">
        <f t="shared" si="437"/>
        <v>9</v>
      </c>
      <c r="X960">
        <f t="shared" si="438"/>
        <v>2011</v>
      </c>
    </row>
    <row r="961" spans="1:24" ht="12" customHeight="1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  <c r="V961">
        <f t="shared" si="440"/>
        <v>8</v>
      </c>
      <c r="W961">
        <f t="shared" si="437"/>
        <v>9</v>
      </c>
      <c r="X961">
        <f t="shared" si="438"/>
        <v>2012</v>
      </c>
    </row>
    <row r="962" spans="1:24" ht="12" customHeight="1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  <c r="V962">
        <f t="shared" si="440"/>
        <v>22</v>
      </c>
      <c r="W962">
        <f t="shared" si="437"/>
        <v>8</v>
      </c>
      <c r="X962">
        <f t="shared" si="438"/>
        <v>2010</v>
      </c>
    </row>
    <row r="963" spans="1:24" ht="12" customHeight="1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  <c r="V963">
        <f t="shared" si="440"/>
        <v>29</v>
      </c>
      <c r="W963">
        <f t="shared" ref="W963:W1026" si="468">MONTH(U963)</f>
        <v>10</v>
      </c>
      <c r="X963">
        <f t="shared" ref="X963:X1026" si="469">YEAR(U963)</f>
        <v>2012</v>
      </c>
    </row>
    <row r="964" spans="1:24" ht="12" customHeight="1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  <c r="V964">
        <f t="shared" ref="V964:V1027" si="470">DAY(U964)</f>
        <v>8</v>
      </c>
      <c r="W964">
        <f t="shared" si="468"/>
        <v>10</v>
      </c>
      <c r="X964">
        <f t="shared" si="469"/>
        <v>2010</v>
      </c>
    </row>
    <row r="965" spans="1:24" ht="12" customHeight="1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  <c r="V965">
        <f t="shared" si="470"/>
        <v>14</v>
      </c>
      <c r="W965">
        <f t="shared" si="468"/>
        <v>3</v>
      </c>
      <c r="X965">
        <f t="shared" si="469"/>
        <v>2010</v>
      </c>
    </row>
    <row r="966" spans="1:24" ht="12" customHeight="1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  <c r="V966">
        <f t="shared" si="470"/>
        <v>30</v>
      </c>
      <c r="W966">
        <f t="shared" si="468"/>
        <v>5</v>
      </c>
      <c r="X966">
        <f t="shared" si="469"/>
        <v>2011</v>
      </c>
    </row>
    <row r="967" spans="1:24" ht="12" customHeight="1">
      <c r="A967" s="4">
        <v>4841</v>
      </c>
      <c r="B967" s="4">
        <v>34434</v>
      </c>
      <c r="C967" s="5">
        <f t="shared" ref="C967:C968" si="471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  <c r="V967">
        <f t="shared" si="470"/>
        <v>10</v>
      </c>
      <c r="W967">
        <f t="shared" si="468"/>
        <v>5</v>
      </c>
      <c r="X967">
        <f t="shared" si="469"/>
        <v>2011</v>
      </c>
    </row>
    <row r="968" spans="1:24" ht="12" customHeight="1">
      <c r="A968" s="4">
        <v>4842</v>
      </c>
      <c r="B968" s="4">
        <v>34434</v>
      </c>
      <c r="C968" s="5">
        <f t="shared" si="471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72">C968+2</f>
        <v>40674</v>
      </c>
      <c r="V968">
        <f t="shared" si="470"/>
        <v>11</v>
      </c>
      <c r="W968">
        <f t="shared" si="468"/>
        <v>5</v>
      </c>
      <c r="X968">
        <f t="shared" si="469"/>
        <v>2011</v>
      </c>
    </row>
    <row r="969" spans="1:24" ht="12" customHeight="1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72"/>
        <v>40198</v>
      </c>
      <c r="V969">
        <f t="shared" si="470"/>
        <v>20</v>
      </c>
      <c r="W969">
        <f t="shared" si="468"/>
        <v>1</v>
      </c>
      <c r="X969">
        <f t="shared" si="469"/>
        <v>2010</v>
      </c>
    </row>
    <row r="970" spans="1:24" ht="12" customHeight="1">
      <c r="A970" s="4">
        <v>4970</v>
      </c>
      <c r="B970" s="4">
        <v>35364</v>
      </c>
      <c r="C970" s="5">
        <f t="shared" ref="C970:C973" si="473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72"/>
        <v>40161</v>
      </c>
      <c r="V970">
        <f t="shared" si="470"/>
        <v>14</v>
      </c>
      <c r="W970">
        <f t="shared" si="468"/>
        <v>12</v>
      </c>
      <c r="X970">
        <f t="shared" si="469"/>
        <v>2009</v>
      </c>
    </row>
    <row r="971" spans="1:24" ht="12" customHeight="1">
      <c r="A971" s="4">
        <v>4971</v>
      </c>
      <c r="B971" s="4">
        <v>35364</v>
      </c>
      <c r="C971" s="5">
        <f t="shared" si="473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72"/>
        <v>40161</v>
      </c>
      <c r="V971">
        <f t="shared" si="470"/>
        <v>14</v>
      </c>
      <c r="W971">
        <f t="shared" si="468"/>
        <v>12</v>
      </c>
      <c r="X971">
        <f t="shared" si="469"/>
        <v>2009</v>
      </c>
    </row>
    <row r="972" spans="1:24" ht="12" customHeight="1">
      <c r="A972" s="4">
        <v>4972</v>
      </c>
      <c r="B972" s="4">
        <v>35364</v>
      </c>
      <c r="C972" s="5">
        <f t="shared" si="473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  <c r="V972">
        <f t="shared" si="470"/>
        <v>13</v>
      </c>
      <c r="W972">
        <f t="shared" si="468"/>
        <v>12</v>
      </c>
      <c r="X972">
        <f t="shared" si="469"/>
        <v>2009</v>
      </c>
    </row>
    <row r="973" spans="1:24" ht="12" customHeight="1">
      <c r="A973" s="4">
        <v>4973</v>
      </c>
      <c r="B973" s="4">
        <v>35364</v>
      </c>
      <c r="C973" s="5">
        <f t="shared" si="473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74">C973+2</f>
        <v>40161</v>
      </c>
      <c r="V973">
        <f t="shared" si="470"/>
        <v>14</v>
      </c>
      <c r="W973">
        <f t="shared" si="468"/>
        <v>12</v>
      </c>
      <c r="X973">
        <f t="shared" si="469"/>
        <v>2009</v>
      </c>
    </row>
    <row r="974" spans="1:24" ht="12" customHeight="1">
      <c r="A974" s="4">
        <v>5019</v>
      </c>
      <c r="B974" s="4">
        <v>35812</v>
      </c>
      <c r="C974" s="5">
        <f t="shared" ref="C974:C976" si="475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74"/>
        <v>40202</v>
      </c>
      <c r="V974">
        <f t="shared" si="470"/>
        <v>24</v>
      </c>
      <c r="W974">
        <f t="shared" si="468"/>
        <v>1</v>
      </c>
      <c r="X974">
        <f t="shared" si="469"/>
        <v>2010</v>
      </c>
    </row>
    <row r="975" spans="1:24" ht="12" customHeight="1">
      <c r="A975" s="4">
        <v>5020</v>
      </c>
      <c r="B975" s="4">
        <v>35812</v>
      </c>
      <c r="C975" s="5">
        <f t="shared" si="475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74"/>
        <v>40202</v>
      </c>
      <c r="V975">
        <f t="shared" si="470"/>
        <v>24</v>
      </c>
      <c r="W975">
        <f t="shared" si="468"/>
        <v>1</v>
      </c>
      <c r="X975">
        <f t="shared" si="469"/>
        <v>2010</v>
      </c>
    </row>
    <row r="976" spans="1:24" ht="12" customHeight="1">
      <c r="A976" s="4">
        <v>5021</v>
      </c>
      <c r="B976" s="4">
        <v>35812</v>
      </c>
      <c r="C976" s="5">
        <f t="shared" si="475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74"/>
        <v>40202</v>
      </c>
      <c r="V976">
        <f t="shared" si="470"/>
        <v>24</v>
      </c>
      <c r="W976">
        <f t="shared" si="468"/>
        <v>1</v>
      </c>
      <c r="X976">
        <f t="shared" si="469"/>
        <v>2010</v>
      </c>
    </row>
    <row r="977" spans="1:24" ht="12" customHeight="1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76">C977+1</f>
        <v>41253</v>
      </c>
      <c r="V977">
        <f t="shared" si="470"/>
        <v>10</v>
      </c>
      <c r="W977">
        <f t="shared" si="468"/>
        <v>12</v>
      </c>
      <c r="X977">
        <f t="shared" si="469"/>
        <v>2012</v>
      </c>
    </row>
    <row r="978" spans="1:24" ht="12" customHeight="1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76"/>
        <v>40054</v>
      </c>
      <c r="V978">
        <f t="shared" si="470"/>
        <v>29</v>
      </c>
      <c r="W978">
        <f t="shared" si="468"/>
        <v>8</v>
      </c>
      <c r="X978">
        <f t="shared" si="469"/>
        <v>2009</v>
      </c>
    </row>
    <row r="979" spans="1:24" ht="12" customHeight="1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  <c r="V979">
        <f t="shared" si="470"/>
        <v>4</v>
      </c>
      <c r="W979">
        <f t="shared" si="468"/>
        <v>11</v>
      </c>
      <c r="X979">
        <f t="shared" si="469"/>
        <v>2012</v>
      </c>
    </row>
    <row r="980" spans="1:24" ht="12" customHeight="1">
      <c r="A980" s="4">
        <v>5347</v>
      </c>
      <c r="B980" s="4">
        <v>38017</v>
      </c>
      <c r="C980" s="5">
        <f t="shared" ref="C980:C981" si="477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  <c r="V980">
        <f t="shared" si="470"/>
        <v>24</v>
      </c>
      <c r="W980">
        <f t="shared" si="468"/>
        <v>7</v>
      </c>
      <c r="X980">
        <f t="shared" si="469"/>
        <v>2010</v>
      </c>
    </row>
    <row r="981" spans="1:24" ht="12" customHeight="1">
      <c r="A981" s="4">
        <v>5348</v>
      </c>
      <c r="B981" s="4">
        <v>38017</v>
      </c>
      <c r="C981" s="5">
        <f t="shared" si="477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  <c r="V981">
        <f t="shared" si="470"/>
        <v>27</v>
      </c>
      <c r="W981">
        <f t="shared" si="468"/>
        <v>7</v>
      </c>
      <c r="X981">
        <f t="shared" si="469"/>
        <v>2010</v>
      </c>
    </row>
    <row r="982" spans="1:24" ht="12" customHeight="1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  <c r="V982">
        <f t="shared" si="470"/>
        <v>17</v>
      </c>
      <c r="W982">
        <f t="shared" si="468"/>
        <v>11</v>
      </c>
      <c r="X982">
        <f t="shared" si="469"/>
        <v>2011</v>
      </c>
    </row>
    <row r="983" spans="1:24" ht="12" customHeight="1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78">C983+1</f>
        <v>39895</v>
      </c>
      <c r="V983">
        <f t="shared" si="470"/>
        <v>23</v>
      </c>
      <c r="W983">
        <f t="shared" si="468"/>
        <v>3</v>
      </c>
      <c r="X983">
        <f t="shared" si="469"/>
        <v>2009</v>
      </c>
    </row>
    <row r="984" spans="1:24" ht="12" customHeight="1">
      <c r="A984" s="4">
        <v>5562</v>
      </c>
      <c r="B984" s="4">
        <v>39367</v>
      </c>
      <c r="C984" s="5">
        <f t="shared" ref="C984:C985" si="479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78"/>
        <v>40032</v>
      </c>
      <c r="V984">
        <f t="shared" si="470"/>
        <v>7</v>
      </c>
      <c r="W984">
        <f t="shared" si="468"/>
        <v>8</v>
      </c>
      <c r="X984">
        <f t="shared" si="469"/>
        <v>2009</v>
      </c>
    </row>
    <row r="985" spans="1:24" ht="12" customHeight="1">
      <c r="A985" s="4">
        <v>5563</v>
      </c>
      <c r="B985" s="4">
        <v>39367</v>
      </c>
      <c r="C985" s="5">
        <f t="shared" si="479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  <c r="V985">
        <f t="shared" si="470"/>
        <v>8</v>
      </c>
      <c r="W985">
        <f t="shared" si="468"/>
        <v>8</v>
      </c>
      <c r="X985">
        <f t="shared" si="469"/>
        <v>2009</v>
      </c>
    </row>
    <row r="986" spans="1:24" ht="12" customHeight="1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  <c r="V986">
        <f t="shared" si="470"/>
        <v>23</v>
      </c>
      <c r="W986">
        <f t="shared" si="468"/>
        <v>3</v>
      </c>
      <c r="X986">
        <f t="shared" si="469"/>
        <v>2012</v>
      </c>
    </row>
    <row r="987" spans="1:24" ht="12" customHeight="1">
      <c r="A987" s="4">
        <v>5744</v>
      </c>
      <c r="B987" s="4">
        <v>40803</v>
      </c>
      <c r="C987" s="5">
        <f t="shared" ref="C987:C988" si="480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  <c r="V987">
        <f t="shared" si="470"/>
        <v>18</v>
      </c>
      <c r="W987">
        <f t="shared" si="468"/>
        <v>4</v>
      </c>
      <c r="X987">
        <f t="shared" si="469"/>
        <v>2011</v>
      </c>
    </row>
    <row r="988" spans="1:24" ht="12" customHeight="1">
      <c r="A988" s="4">
        <v>5745</v>
      </c>
      <c r="B988" s="4">
        <v>40803</v>
      </c>
      <c r="C988" s="5">
        <f t="shared" si="480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  <c r="V988">
        <f t="shared" si="470"/>
        <v>15</v>
      </c>
      <c r="W988">
        <f t="shared" si="468"/>
        <v>4</v>
      </c>
      <c r="X988">
        <f t="shared" si="469"/>
        <v>2011</v>
      </c>
    </row>
    <row r="989" spans="1:24" ht="12" customHeight="1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  <c r="V989">
        <f t="shared" si="470"/>
        <v>7</v>
      </c>
      <c r="W989">
        <f t="shared" si="468"/>
        <v>9</v>
      </c>
      <c r="X989">
        <f t="shared" si="469"/>
        <v>2011</v>
      </c>
    </row>
    <row r="990" spans="1:24" ht="12" customHeight="1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  <c r="V990">
        <f t="shared" si="470"/>
        <v>25</v>
      </c>
      <c r="W990">
        <f t="shared" si="468"/>
        <v>5</v>
      </c>
      <c r="X990">
        <f t="shared" si="469"/>
        <v>2012</v>
      </c>
    </row>
    <row r="991" spans="1:24" ht="12" customHeight="1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  <c r="V991">
        <f t="shared" si="470"/>
        <v>8</v>
      </c>
      <c r="W991">
        <f t="shared" si="468"/>
        <v>3</v>
      </c>
      <c r="X991">
        <f t="shared" si="469"/>
        <v>2012</v>
      </c>
    </row>
    <row r="992" spans="1:24" ht="12" customHeight="1">
      <c r="A992" s="4">
        <v>6243</v>
      </c>
      <c r="B992" s="4">
        <v>44231</v>
      </c>
      <c r="C992" s="5">
        <f t="shared" ref="C992:C994" si="481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82">C992+2</f>
        <v>40122</v>
      </c>
      <c r="V992">
        <f t="shared" si="470"/>
        <v>5</v>
      </c>
      <c r="W992">
        <f t="shared" si="468"/>
        <v>11</v>
      </c>
      <c r="X992">
        <f t="shared" si="469"/>
        <v>2009</v>
      </c>
    </row>
    <row r="993" spans="1:24" ht="12" customHeight="1">
      <c r="A993" s="4">
        <v>6244</v>
      </c>
      <c r="B993" s="4">
        <v>44231</v>
      </c>
      <c r="C993" s="5">
        <f t="shared" si="481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82"/>
        <v>40122</v>
      </c>
      <c r="V993">
        <f t="shared" si="470"/>
        <v>5</v>
      </c>
      <c r="W993">
        <f t="shared" si="468"/>
        <v>11</v>
      </c>
      <c r="X993">
        <f t="shared" si="469"/>
        <v>2009</v>
      </c>
    </row>
    <row r="994" spans="1:24" ht="12" customHeight="1">
      <c r="A994" s="4">
        <v>6245</v>
      </c>
      <c r="B994" s="4">
        <v>44231</v>
      </c>
      <c r="C994" s="5">
        <f t="shared" si="481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  <c r="V994">
        <f t="shared" si="470"/>
        <v>4</v>
      </c>
      <c r="W994">
        <f t="shared" si="468"/>
        <v>11</v>
      </c>
      <c r="X994">
        <f t="shared" si="469"/>
        <v>2009</v>
      </c>
    </row>
    <row r="995" spans="1:24" ht="12" customHeight="1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  <c r="V995">
        <f t="shared" si="470"/>
        <v>14</v>
      </c>
      <c r="W995">
        <f t="shared" si="468"/>
        <v>8</v>
      </c>
      <c r="X995">
        <f t="shared" si="469"/>
        <v>2009</v>
      </c>
    </row>
    <row r="996" spans="1:24" ht="12" customHeight="1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  <c r="V996">
        <f t="shared" si="470"/>
        <v>8</v>
      </c>
      <c r="W996">
        <f t="shared" si="468"/>
        <v>7</v>
      </c>
      <c r="X996">
        <f t="shared" si="469"/>
        <v>2010</v>
      </c>
    </row>
    <row r="997" spans="1:24" ht="12" customHeight="1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83">C997+2</f>
        <v>40489</v>
      </c>
      <c r="V997">
        <f t="shared" si="470"/>
        <v>7</v>
      </c>
      <c r="W997">
        <f t="shared" si="468"/>
        <v>11</v>
      </c>
      <c r="X997">
        <f t="shared" si="469"/>
        <v>2010</v>
      </c>
    </row>
    <row r="998" spans="1:24" ht="12" customHeight="1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83"/>
        <v>41036</v>
      </c>
      <c r="V998">
        <f t="shared" si="470"/>
        <v>7</v>
      </c>
      <c r="W998">
        <f t="shared" si="468"/>
        <v>5</v>
      </c>
      <c r="X998">
        <f t="shared" si="469"/>
        <v>2012</v>
      </c>
    </row>
    <row r="999" spans="1:24" ht="12" customHeight="1">
      <c r="A999" s="4">
        <v>6808</v>
      </c>
      <c r="B999" s="4">
        <v>48484</v>
      </c>
      <c r="C999" s="5">
        <f t="shared" ref="C999:C1002" si="484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85">C999+1</f>
        <v>40353</v>
      </c>
      <c r="V999">
        <f t="shared" si="470"/>
        <v>24</v>
      </c>
      <c r="W999">
        <f t="shared" si="468"/>
        <v>6</v>
      </c>
      <c r="X999">
        <f t="shared" si="469"/>
        <v>2010</v>
      </c>
    </row>
    <row r="1000" spans="1:24" ht="12" customHeight="1">
      <c r="A1000" s="4">
        <v>6809</v>
      </c>
      <c r="B1000" s="4">
        <v>48484</v>
      </c>
      <c r="C1000" s="5">
        <f t="shared" si="484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85"/>
        <v>40353</v>
      </c>
      <c r="V1000">
        <f t="shared" si="470"/>
        <v>24</v>
      </c>
      <c r="W1000">
        <f t="shared" si="468"/>
        <v>6</v>
      </c>
      <c r="X1000">
        <f t="shared" si="469"/>
        <v>2010</v>
      </c>
    </row>
    <row r="1001" spans="1:24" ht="12" customHeight="1">
      <c r="A1001" s="4">
        <v>6810</v>
      </c>
      <c r="B1001" s="4">
        <v>48484</v>
      </c>
      <c r="C1001" s="5">
        <f t="shared" si="484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86">C1001+2</f>
        <v>40354</v>
      </c>
      <c r="V1001">
        <f t="shared" si="470"/>
        <v>25</v>
      </c>
      <c r="W1001">
        <f t="shared" si="468"/>
        <v>6</v>
      </c>
      <c r="X1001">
        <f t="shared" si="469"/>
        <v>2010</v>
      </c>
    </row>
    <row r="1002" spans="1:24" ht="12" customHeight="1">
      <c r="A1002" s="4">
        <v>6811</v>
      </c>
      <c r="B1002" s="4">
        <v>48484</v>
      </c>
      <c r="C1002" s="5">
        <f t="shared" si="484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86"/>
        <v>40354</v>
      </c>
      <c r="V1002">
        <f t="shared" si="470"/>
        <v>25</v>
      </c>
      <c r="W1002">
        <f t="shared" si="468"/>
        <v>6</v>
      </c>
      <c r="X1002">
        <f t="shared" si="469"/>
        <v>2010</v>
      </c>
    </row>
    <row r="1003" spans="1:24" ht="12" customHeight="1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87">C1003+0</f>
        <v>41118</v>
      </c>
      <c r="V1003">
        <f t="shared" si="470"/>
        <v>28</v>
      </c>
      <c r="W1003">
        <f t="shared" si="468"/>
        <v>7</v>
      </c>
      <c r="X1003">
        <f t="shared" si="469"/>
        <v>2012</v>
      </c>
    </row>
    <row r="1004" spans="1:24" ht="12" customHeight="1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87"/>
        <v>39879</v>
      </c>
      <c r="V1004">
        <f t="shared" si="470"/>
        <v>7</v>
      </c>
      <c r="W1004">
        <f t="shared" si="468"/>
        <v>3</v>
      </c>
      <c r="X1004">
        <f t="shared" si="469"/>
        <v>2009</v>
      </c>
    </row>
    <row r="1005" spans="1:24" ht="12" customHeight="1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  <c r="V1005">
        <f t="shared" si="470"/>
        <v>25</v>
      </c>
      <c r="W1005">
        <f t="shared" si="468"/>
        <v>1</v>
      </c>
      <c r="X1005">
        <f t="shared" si="469"/>
        <v>2011</v>
      </c>
    </row>
    <row r="1006" spans="1:24" ht="12" customHeight="1">
      <c r="A1006" s="4">
        <v>7051</v>
      </c>
      <c r="B1006" s="4">
        <v>50310</v>
      </c>
      <c r="C1006" s="5">
        <f t="shared" ref="C1006:C1008" si="488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  <c r="V1006">
        <f t="shared" si="470"/>
        <v>17</v>
      </c>
      <c r="W1006">
        <f t="shared" si="468"/>
        <v>8</v>
      </c>
      <c r="X1006">
        <f t="shared" si="469"/>
        <v>2009</v>
      </c>
    </row>
    <row r="1007" spans="1:24" ht="12" customHeight="1">
      <c r="A1007" s="4">
        <v>7052</v>
      </c>
      <c r="B1007" s="4">
        <v>50310</v>
      </c>
      <c r="C1007" s="5">
        <f t="shared" si="488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  <c r="V1007">
        <f t="shared" si="470"/>
        <v>18</v>
      </c>
      <c r="W1007">
        <f t="shared" si="468"/>
        <v>8</v>
      </c>
      <c r="X1007">
        <f t="shared" si="469"/>
        <v>2009</v>
      </c>
    </row>
    <row r="1008" spans="1:24" ht="12" customHeight="1">
      <c r="A1008" s="4">
        <v>7053</v>
      </c>
      <c r="B1008" s="4">
        <v>50310</v>
      </c>
      <c r="C1008" s="5">
        <f t="shared" si="488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89">C1008+2</f>
        <v>40042</v>
      </c>
      <c r="V1008">
        <f t="shared" si="470"/>
        <v>17</v>
      </c>
      <c r="W1008">
        <f t="shared" si="468"/>
        <v>8</v>
      </c>
      <c r="X1008">
        <f t="shared" si="469"/>
        <v>2009</v>
      </c>
    </row>
    <row r="1009" spans="1:24" ht="12" customHeight="1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89"/>
        <v>40090</v>
      </c>
      <c r="V1009">
        <f t="shared" si="470"/>
        <v>4</v>
      </c>
      <c r="W1009">
        <f t="shared" si="468"/>
        <v>10</v>
      </c>
      <c r="X1009">
        <f t="shared" si="469"/>
        <v>2009</v>
      </c>
    </row>
    <row r="1010" spans="1:24" ht="12" customHeight="1">
      <c r="A1010" s="4">
        <v>7242</v>
      </c>
      <c r="B1010" s="4">
        <v>51648</v>
      </c>
      <c r="C1010" s="5">
        <f t="shared" ref="C1010:C1011" si="490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  <c r="V1010">
        <f t="shared" si="470"/>
        <v>8</v>
      </c>
      <c r="W1010">
        <f t="shared" si="468"/>
        <v>1</v>
      </c>
      <c r="X1010">
        <f t="shared" si="469"/>
        <v>2012</v>
      </c>
    </row>
    <row r="1011" spans="1:24" ht="12" customHeight="1">
      <c r="A1011" s="4">
        <v>7243</v>
      </c>
      <c r="B1011" s="4">
        <v>51648</v>
      </c>
      <c r="C1011" s="5">
        <f t="shared" si="490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  <c r="V1011">
        <f t="shared" si="470"/>
        <v>6</v>
      </c>
      <c r="W1011">
        <f t="shared" si="468"/>
        <v>1</v>
      </c>
      <c r="X1011">
        <f t="shared" si="469"/>
        <v>2012</v>
      </c>
    </row>
    <row r="1012" spans="1:24" ht="12" customHeight="1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  <c r="V1012">
        <f t="shared" si="470"/>
        <v>30</v>
      </c>
      <c r="W1012">
        <f t="shared" si="468"/>
        <v>11</v>
      </c>
      <c r="X1012">
        <f t="shared" si="469"/>
        <v>2009</v>
      </c>
    </row>
    <row r="1013" spans="1:24" ht="12" customHeight="1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  <c r="V1013">
        <f t="shared" si="470"/>
        <v>8</v>
      </c>
      <c r="W1013">
        <f t="shared" si="468"/>
        <v>8</v>
      </c>
      <c r="X1013">
        <f t="shared" si="469"/>
        <v>2010</v>
      </c>
    </row>
    <row r="1014" spans="1:24" ht="12" customHeight="1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  <c r="V1014">
        <f t="shared" si="470"/>
        <v>9</v>
      </c>
      <c r="W1014">
        <f t="shared" si="468"/>
        <v>11</v>
      </c>
      <c r="X1014">
        <f t="shared" si="469"/>
        <v>2010</v>
      </c>
    </row>
    <row r="1015" spans="1:24" ht="12" customHeight="1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  <c r="V1015">
        <f t="shared" si="470"/>
        <v>7</v>
      </c>
      <c r="W1015">
        <f t="shared" si="468"/>
        <v>12</v>
      </c>
      <c r="X1015">
        <f t="shared" si="469"/>
        <v>2012</v>
      </c>
    </row>
    <row r="1016" spans="1:24" ht="12" customHeight="1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  <c r="V1016">
        <f t="shared" si="470"/>
        <v>12</v>
      </c>
      <c r="W1016">
        <f t="shared" si="468"/>
        <v>3</v>
      </c>
      <c r="X1016">
        <f t="shared" si="469"/>
        <v>2011</v>
      </c>
    </row>
    <row r="1017" spans="1:24" ht="12" customHeight="1">
      <c r="A1017" s="4">
        <v>7624</v>
      </c>
      <c r="B1017" s="4">
        <v>54560</v>
      </c>
      <c r="C1017" s="5">
        <f t="shared" ref="C1017:C1018" si="491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  <c r="V1017">
        <f t="shared" si="470"/>
        <v>19</v>
      </c>
      <c r="W1017">
        <f t="shared" si="468"/>
        <v>7</v>
      </c>
      <c r="X1017">
        <f t="shared" si="469"/>
        <v>2009</v>
      </c>
    </row>
    <row r="1018" spans="1:24" ht="12" customHeight="1">
      <c r="A1018" s="4">
        <v>7625</v>
      </c>
      <c r="B1018" s="4">
        <v>54560</v>
      </c>
      <c r="C1018" s="5">
        <f t="shared" si="491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  <c r="V1018">
        <f t="shared" si="470"/>
        <v>18</v>
      </c>
      <c r="W1018">
        <f t="shared" si="468"/>
        <v>7</v>
      </c>
      <c r="X1018">
        <f t="shared" si="469"/>
        <v>2009</v>
      </c>
    </row>
    <row r="1019" spans="1:24" ht="12" customHeight="1">
      <c r="A1019" s="4">
        <v>7662</v>
      </c>
      <c r="B1019" s="4">
        <v>54947</v>
      </c>
      <c r="C1019" s="5">
        <f t="shared" ref="C1019:C1020" si="492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  <c r="V1019">
        <f t="shared" si="470"/>
        <v>23</v>
      </c>
      <c r="W1019">
        <f t="shared" si="468"/>
        <v>2</v>
      </c>
      <c r="X1019">
        <f t="shared" si="469"/>
        <v>2009</v>
      </c>
    </row>
    <row r="1020" spans="1:24" ht="12" customHeight="1">
      <c r="A1020" s="4">
        <v>7663</v>
      </c>
      <c r="B1020" s="4">
        <v>54947</v>
      </c>
      <c r="C1020" s="5">
        <f t="shared" si="492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93">C1020+2</f>
        <v>39868</v>
      </c>
      <c r="V1020">
        <f t="shared" si="470"/>
        <v>24</v>
      </c>
      <c r="W1020">
        <f t="shared" si="468"/>
        <v>2</v>
      </c>
      <c r="X1020">
        <f t="shared" si="469"/>
        <v>2009</v>
      </c>
    </row>
    <row r="1021" spans="1:24" ht="12" customHeight="1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93"/>
        <v>41175</v>
      </c>
      <c r="V1021">
        <f t="shared" si="470"/>
        <v>23</v>
      </c>
      <c r="W1021">
        <f t="shared" si="468"/>
        <v>9</v>
      </c>
      <c r="X1021">
        <f t="shared" si="469"/>
        <v>2012</v>
      </c>
    </row>
    <row r="1022" spans="1:24" ht="12" customHeight="1">
      <c r="A1022" s="4">
        <v>7796</v>
      </c>
      <c r="B1022" s="4">
        <v>55777</v>
      </c>
      <c r="C1022" s="5">
        <f t="shared" ref="C1022:C1023" si="494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  <c r="V1022">
        <f t="shared" si="470"/>
        <v>11</v>
      </c>
      <c r="W1022">
        <f t="shared" si="468"/>
        <v>11</v>
      </c>
      <c r="X1022">
        <f t="shared" si="469"/>
        <v>2012</v>
      </c>
    </row>
    <row r="1023" spans="1:24" ht="12" customHeight="1">
      <c r="A1023" s="4">
        <v>7797</v>
      </c>
      <c r="B1023" s="4">
        <v>55777</v>
      </c>
      <c r="C1023" s="5">
        <f t="shared" si="494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  <c r="V1023">
        <f t="shared" si="470"/>
        <v>12</v>
      </c>
      <c r="W1023">
        <f t="shared" si="468"/>
        <v>11</v>
      </c>
      <c r="X1023">
        <f t="shared" si="469"/>
        <v>2012</v>
      </c>
    </row>
    <row r="1024" spans="1:24" ht="12" customHeight="1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  <c r="V1024">
        <f t="shared" si="470"/>
        <v>16</v>
      </c>
      <c r="W1024">
        <f t="shared" si="468"/>
        <v>4</v>
      </c>
      <c r="X1024">
        <f t="shared" si="469"/>
        <v>2010</v>
      </c>
    </row>
    <row r="1025" spans="1:24" ht="12" customHeight="1">
      <c r="A1025" s="4">
        <v>7921</v>
      </c>
      <c r="B1025" s="4">
        <v>56640</v>
      </c>
      <c r="C1025" s="5">
        <f t="shared" ref="C1025:C1026" si="495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96">C1025+1</f>
        <v>40781</v>
      </c>
      <c r="V1025">
        <f t="shared" si="470"/>
        <v>26</v>
      </c>
      <c r="W1025">
        <f t="shared" si="468"/>
        <v>8</v>
      </c>
      <c r="X1025">
        <f t="shared" si="469"/>
        <v>2011</v>
      </c>
    </row>
    <row r="1026" spans="1:24" ht="12" customHeight="1">
      <c r="A1026" s="4">
        <v>7922</v>
      </c>
      <c r="B1026" s="4">
        <v>56640</v>
      </c>
      <c r="C1026" s="5">
        <f t="shared" si="495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96"/>
        <v>40781</v>
      </c>
      <c r="V1026">
        <f t="shared" si="470"/>
        <v>26</v>
      </c>
      <c r="W1026">
        <f t="shared" si="468"/>
        <v>8</v>
      </c>
      <c r="X1026">
        <f t="shared" si="469"/>
        <v>2011</v>
      </c>
    </row>
    <row r="1027" spans="1:24" ht="12" customHeight="1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96"/>
        <v>40503</v>
      </c>
      <c r="V1027">
        <f t="shared" si="470"/>
        <v>21</v>
      </c>
      <c r="W1027">
        <f t="shared" ref="W1027:W1090" si="497">MONTH(U1027)</f>
        <v>11</v>
      </c>
      <c r="X1027">
        <f t="shared" ref="X1027:X1090" si="498">YEAR(U1027)</f>
        <v>2010</v>
      </c>
    </row>
    <row r="1028" spans="1:24" ht="12" customHeight="1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99">C1028+2</f>
        <v>40346</v>
      </c>
      <c r="V1028">
        <f t="shared" ref="V1028:V1091" si="500">DAY(U1028)</f>
        <v>17</v>
      </c>
      <c r="W1028">
        <f t="shared" si="497"/>
        <v>6</v>
      </c>
      <c r="X1028">
        <f t="shared" si="498"/>
        <v>2010</v>
      </c>
    </row>
    <row r="1029" spans="1:24" ht="12" customHeight="1">
      <c r="A1029" s="4">
        <v>8382</v>
      </c>
      <c r="B1029" s="4">
        <v>59905</v>
      </c>
      <c r="C1029" s="5">
        <f t="shared" ref="C1029:C1031" si="501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99"/>
        <v>41015</v>
      </c>
      <c r="V1029">
        <f t="shared" si="500"/>
        <v>16</v>
      </c>
      <c r="W1029">
        <f t="shared" si="497"/>
        <v>4</v>
      </c>
      <c r="X1029">
        <f t="shared" si="498"/>
        <v>2012</v>
      </c>
    </row>
    <row r="1030" spans="1:24" ht="12" customHeight="1">
      <c r="A1030" s="4">
        <v>8383</v>
      </c>
      <c r="B1030" s="4">
        <v>59905</v>
      </c>
      <c r="C1030" s="5">
        <f t="shared" si="501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99"/>
        <v>41015</v>
      </c>
      <c r="V1030">
        <f t="shared" si="500"/>
        <v>16</v>
      </c>
      <c r="W1030">
        <f t="shared" si="497"/>
        <v>4</v>
      </c>
      <c r="X1030">
        <f t="shared" si="498"/>
        <v>2012</v>
      </c>
    </row>
    <row r="1031" spans="1:24" ht="12" customHeight="1">
      <c r="A1031" s="4">
        <v>8384</v>
      </c>
      <c r="B1031" s="4">
        <v>59905</v>
      </c>
      <c r="C1031" s="5">
        <f t="shared" si="501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  <c r="V1031">
        <f t="shared" si="500"/>
        <v>15</v>
      </c>
      <c r="W1031">
        <f t="shared" si="497"/>
        <v>4</v>
      </c>
      <c r="X1031">
        <f t="shared" si="498"/>
        <v>2012</v>
      </c>
    </row>
    <row r="1032" spans="1:24" ht="12" customHeight="1">
      <c r="A1032" s="4">
        <v>52</v>
      </c>
      <c r="B1032" s="4">
        <v>322</v>
      </c>
      <c r="C1032" s="5">
        <f t="shared" ref="C1032:C1033" si="502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503">C1032+2</f>
        <v>40988</v>
      </c>
      <c r="V1032">
        <f t="shared" si="500"/>
        <v>20</v>
      </c>
      <c r="W1032">
        <f t="shared" si="497"/>
        <v>3</v>
      </c>
      <c r="X1032">
        <f t="shared" si="498"/>
        <v>2012</v>
      </c>
    </row>
    <row r="1033" spans="1:24" ht="12" customHeight="1">
      <c r="A1033" s="4">
        <v>53</v>
      </c>
      <c r="B1033" s="4">
        <v>322</v>
      </c>
      <c r="C1033" s="5">
        <f t="shared" si="502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503"/>
        <v>40988</v>
      </c>
      <c r="V1033">
        <f t="shared" si="500"/>
        <v>20</v>
      </c>
      <c r="W1033">
        <f t="shared" si="497"/>
        <v>3</v>
      </c>
      <c r="X1033">
        <f t="shared" si="498"/>
        <v>2012</v>
      </c>
    </row>
    <row r="1034" spans="1:24" ht="12" customHeight="1">
      <c r="A1034" s="4">
        <v>151</v>
      </c>
      <c r="B1034" s="4">
        <v>962</v>
      </c>
      <c r="C1034" s="5">
        <f t="shared" ref="C1034:C1035" si="504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503"/>
        <v>39940</v>
      </c>
      <c r="V1034">
        <f t="shared" si="500"/>
        <v>7</v>
      </c>
      <c r="W1034">
        <f t="shared" si="497"/>
        <v>5</v>
      </c>
      <c r="X1034">
        <f t="shared" si="498"/>
        <v>2009</v>
      </c>
    </row>
    <row r="1035" spans="1:24" ht="12" customHeight="1">
      <c r="A1035" s="4">
        <v>152</v>
      </c>
      <c r="B1035" s="4">
        <v>962</v>
      </c>
      <c r="C1035" s="5">
        <f t="shared" si="504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503"/>
        <v>39940</v>
      </c>
      <c r="V1035">
        <f t="shared" si="500"/>
        <v>7</v>
      </c>
      <c r="W1035">
        <f t="shared" si="497"/>
        <v>5</v>
      </c>
      <c r="X1035">
        <f t="shared" si="498"/>
        <v>2009</v>
      </c>
    </row>
    <row r="1036" spans="1:24" ht="12" customHeight="1">
      <c r="A1036" s="4">
        <v>185</v>
      </c>
      <c r="B1036" s="4">
        <v>1221</v>
      </c>
      <c r="C1036" s="5">
        <f t="shared" ref="C1036:C1038" si="505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  <c r="V1036">
        <f t="shared" si="500"/>
        <v>18</v>
      </c>
      <c r="W1036">
        <f t="shared" si="497"/>
        <v>4</v>
      </c>
      <c r="X1036">
        <f t="shared" si="498"/>
        <v>2012</v>
      </c>
    </row>
    <row r="1037" spans="1:24" ht="12" customHeight="1">
      <c r="A1037" s="4">
        <v>186</v>
      </c>
      <c r="B1037" s="4">
        <v>1221</v>
      </c>
      <c r="C1037" s="5">
        <f t="shared" si="505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506">C1037+2</f>
        <v>41019</v>
      </c>
      <c r="V1037">
        <f t="shared" si="500"/>
        <v>20</v>
      </c>
      <c r="W1037">
        <f t="shared" si="497"/>
        <v>4</v>
      </c>
      <c r="X1037">
        <f t="shared" si="498"/>
        <v>2012</v>
      </c>
    </row>
    <row r="1038" spans="1:24" ht="12" customHeight="1">
      <c r="A1038" s="4">
        <v>187</v>
      </c>
      <c r="B1038" s="4">
        <v>1221</v>
      </c>
      <c r="C1038" s="5">
        <f t="shared" si="505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506"/>
        <v>41019</v>
      </c>
      <c r="V1038">
        <f t="shared" si="500"/>
        <v>20</v>
      </c>
      <c r="W1038">
        <f t="shared" si="497"/>
        <v>4</v>
      </c>
      <c r="X1038">
        <f t="shared" si="498"/>
        <v>2012</v>
      </c>
    </row>
    <row r="1039" spans="1:24" ht="12" customHeight="1">
      <c r="A1039" s="4">
        <v>222</v>
      </c>
      <c r="B1039" s="4">
        <v>1445</v>
      </c>
      <c r="C1039" s="5">
        <f t="shared" ref="C1039:C1040" si="507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  <c r="V1039">
        <f t="shared" si="500"/>
        <v>12</v>
      </c>
      <c r="W1039">
        <f t="shared" si="497"/>
        <v>1</v>
      </c>
      <c r="X1039">
        <f t="shared" si="498"/>
        <v>2011</v>
      </c>
    </row>
    <row r="1040" spans="1:24" ht="12" customHeight="1">
      <c r="A1040" s="4">
        <v>223</v>
      </c>
      <c r="B1040" s="4">
        <v>1445</v>
      </c>
      <c r="C1040" s="5">
        <f t="shared" si="507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508">C1040+2</f>
        <v>40554</v>
      </c>
      <c r="V1040">
        <f t="shared" si="500"/>
        <v>11</v>
      </c>
      <c r="W1040">
        <f t="shared" si="497"/>
        <v>1</v>
      </c>
      <c r="X1040">
        <f t="shared" si="498"/>
        <v>2011</v>
      </c>
    </row>
    <row r="1041" spans="1:24" ht="12" customHeight="1">
      <c r="A1041" s="4">
        <v>259</v>
      </c>
      <c r="B1041" s="4">
        <v>1799</v>
      </c>
      <c r="C1041" s="5">
        <f t="shared" ref="C1041:C1042" si="509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508"/>
        <v>39880</v>
      </c>
      <c r="V1041">
        <f t="shared" si="500"/>
        <v>8</v>
      </c>
      <c r="W1041">
        <f t="shared" si="497"/>
        <v>3</v>
      </c>
      <c r="X1041">
        <f t="shared" si="498"/>
        <v>2009</v>
      </c>
    </row>
    <row r="1042" spans="1:24" ht="12" customHeight="1">
      <c r="A1042" s="4">
        <v>260</v>
      </c>
      <c r="B1042" s="4">
        <v>1799</v>
      </c>
      <c r="C1042" s="5">
        <f t="shared" si="509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508"/>
        <v>39880</v>
      </c>
      <c r="V1042">
        <f t="shared" si="500"/>
        <v>8</v>
      </c>
      <c r="W1042">
        <f t="shared" si="497"/>
        <v>3</v>
      </c>
      <c r="X1042">
        <f t="shared" si="498"/>
        <v>2009</v>
      </c>
    </row>
    <row r="1043" spans="1:24" ht="12" customHeight="1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  <c r="V1043">
        <f t="shared" si="500"/>
        <v>10</v>
      </c>
      <c r="W1043">
        <f t="shared" si="497"/>
        <v>6</v>
      </c>
      <c r="X1043">
        <f t="shared" si="498"/>
        <v>2010</v>
      </c>
    </row>
    <row r="1044" spans="1:24" ht="12" customHeight="1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  <c r="V1044">
        <f t="shared" si="500"/>
        <v>17</v>
      </c>
      <c r="W1044">
        <f t="shared" si="497"/>
        <v>1</v>
      </c>
      <c r="X1044">
        <f t="shared" si="498"/>
        <v>2012</v>
      </c>
    </row>
    <row r="1045" spans="1:24" ht="12" customHeight="1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510">C1045+0</f>
        <v>40211</v>
      </c>
      <c r="V1045">
        <f t="shared" si="500"/>
        <v>2</v>
      </c>
      <c r="W1045">
        <f t="shared" si="497"/>
        <v>2</v>
      </c>
      <c r="X1045">
        <f t="shared" si="498"/>
        <v>2010</v>
      </c>
    </row>
    <row r="1046" spans="1:24" ht="12" customHeight="1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510"/>
        <v>41139</v>
      </c>
      <c r="V1046">
        <f t="shared" si="500"/>
        <v>18</v>
      </c>
      <c r="W1046">
        <f t="shared" si="497"/>
        <v>8</v>
      </c>
      <c r="X1046">
        <f t="shared" si="498"/>
        <v>2012</v>
      </c>
    </row>
    <row r="1047" spans="1:24" ht="12" customHeight="1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511">C1047+2</f>
        <v>41190</v>
      </c>
      <c r="V1047">
        <f t="shared" si="500"/>
        <v>8</v>
      </c>
      <c r="W1047">
        <f t="shared" si="497"/>
        <v>10</v>
      </c>
      <c r="X1047">
        <f t="shared" si="498"/>
        <v>2012</v>
      </c>
    </row>
    <row r="1048" spans="1:24" ht="12" customHeight="1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511"/>
        <v>40628</v>
      </c>
      <c r="V1048">
        <f t="shared" si="500"/>
        <v>26</v>
      </c>
      <c r="W1048">
        <f t="shared" si="497"/>
        <v>3</v>
      </c>
      <c r="X1048">
        <f t="shared" si="498"/>
        <v>2011</v>
      </c>
    </row>
    <row r="1049" spans="1:24" ht="12" customHeight="1">
      <c r="A1049" s="4">
        <v>618</v>
      </c>
      <c r="B1049" s="4">
        <v>4261</v>
      </c>
      <c r="C1049" s="5">
        <f t="shared" ref="C1049:C1052" si="512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  <c r="V1049">
        <f t="shared" si="500"/>
        <v>3</v>
      </c>
      <c r="W1049">
        <f t="shared" si="497"/>
        <v>10</v>
      </c>
      <c r="X1049">
        <f t="shared" si="498"/>
        <v>2012</v>
      </c>
    </row>
    <row r="1050" spans="1:24" ht="12" customHeight="1">
      <c r="A1050" s="4">
        <v>619</v>
      </c>
      <c r="B1050" s="4">
        <v>4261</v>
      </c>
      <c r="C1050" s="5">
        <f t="shared" si="512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513">C1050+2</f>
        <v>41186</v>
      </c>
      <c r="V1050">
        <f t="shared" si="500"/>
        <v>4</v>
      </c>
      <c r="W1050">
        <f t="shared" si="497"/>
        <v>10</v>
      </c>
      <c r="X1050">
        <f t="shared" si="498"/>
        <v>2012</v>
      </c>
    </row>
    <row r="1051" spans="1:24" ht="12" customHeight="1">
      <c r="A1051" s="4">
        <v>620</v>
      </c>
      <c r="B1051" s="4">
        <v>4261</v>
      </c>
      <c r="C1051" s="5">
        <f t="shared" si="512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513"/>
        <v>41186</v>
      </c>
      <c r="V1051">
        <f t="shared" si="500"/>
        <v>4</v>
      </c>
      <c r="W1051">
        <f t="shared" si="497"/>
        <v>10</v>
      </c>
      <c r="X1051">
        <f t="shared" si="498"/>
        <v>2012</v>
      </c>
    </row>
    <row r="1052" spans="1:24" ht="12" customHeight="1">
      <c r="A1052" s="4">
        <v>621</v>
      </c>
      <c r="B1052" s="4">
        <v>4261</v>
      </c>
      <c r="C1052" s="5">
        <f t="shared" si="512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513"/>
        <v>41186</v>
      </c>
      <c r="V1052">
        <f t="shared" si="500"/>
        <v>4</v>
      </c>
      <c r="W1052">
        <f t="shared" si="497"/>
        <v>10</v>
      </c>
      <c r="X1052">
        <f t="shared" si="498"/>
        <v>2012</v>
      </c>
    </row>
    <row r="1053" spans="1:24" ht="12" customHeight="1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513"/>
        <v>41137</v>
      </c>
      <c r="V1053">
        <f t="shared" si="500"/>
        <v>16</v>
      </c>
      <c r="W1053">
        <f t="shared" si="497"/>
        <v>8</v>
      </c>
      <c r="X1053">
        <f t="shared" si="498"/>
        <v>2012</v>
      </c>
    </row>
    <row r="1054" spans="1:24" ht="12" customHeight="1">
      <c r="A1054" s="4">
        <v>657</v>
      </c>
      <c r="B1054" s="4">
        <v>4642</v>
      </c>
      <c r="C1054" s="5">
        <f t="shared" ref="C1054:C1055" si="514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  <c r="V1054">
        <f t="shared" si="500"/>
        <v>27</v>
      </c>
      <c r="W1054">
        <f t="shared" si="497"/>
        <v>2</v>
      </c>
      <c r="X1054">
        <f t="shared" si="498"/>
        <v>2011</v>
      </c>
    </row>
    <row r="1055" spans="1:24" ht="12" customHeight="1">
      <c r="A1055" s="4">
        <v>658</v>
      </c>
      <c r="B1055" s="4">
        <v>4642</v>
      </c>
      <c r="C1055" s="5">
        <f t="shared" si="514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  <c r="V1055">
        <f t="shared" si="500"/>
        <v>26</v>
      </c>
      <c r="W1055">
        <f t="shared" si="497"/>
        <v>2</v>
      </c>
      <c r="X1055">
        <f t="shared" si="498"/>
        <v>2011</v>
      </c>
    </row>
    <row r="1056" spans="1:24" ht="12" customHeight="1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  <c r="V1056">
        <f t="shared" si="500"/>
        <v>14</v>
      </c>
      <c r="W1056">
        <f t="shared" si="497"/>
        <v>11</v>
      </c>
      <c r="X1056">
        <f t="shared" si="498"/>
        <v>2012</v>
      </c>
    </row>
    <row r="1057" spans="1:24" ht="12" customHeight="1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515">C1057+1</f>
        <v>41166</v>
      </c>
      <c r="V1057">
        <f t="shared" si="500"/>
        <v>14</v>
      </c>
      <c r="W1057">
        <f t="shared" si="497"/>
        <v>9</v>
      </c>
      <c r="X1057">
        <f t="shared" si="498"/>
        <v>2012</v>
      </c>
    </row>
    <row r="1058" spans="1:24" ht="12" customHeight="1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515"/>
        <v>41040</v>
      </c>
      <c r="V1058">
        <f t="shared" si="500"/>
        <v>11</v>
      </c>
      <c r="W1058">
        <f t="shared" si="497"/>
        <v>5</v>
      </c>
      <c r="X1058">
        <f t="shared" si="498"/>
        <v>2012</v>
      </c>
    </row>
    <row r="1059" spans="1:24" ht="12" customHeight="1">
      <c r="A1059" s="4">
        <v>741</v>
      </c>
      <c r="B1059" s="4">
        <v>5346</v>
      </c>
      <c r="C1059" s="5">
        <f t="shared" ref="C1059:C1061" si="516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515"/>
        <v>40538</v>
      </c>
      <c r="V1059">
        <f t="shared" si="500"/>
        <v>26</v>
      </c>
      <c r="W1059">
        <f t="shared" si="497"/>
        <v>12</v>
      </c>
      <c r="X1059">
        <f t="shared" si="498"/>
        <v>2010</v>
      </c>
    </row>
    <row r="1060" spans="1:24" ht="12" customHeight="1">
      <c r="A1060" s="4">
        <v>742</v>
      </c>
      <c r="B1060" s="4">
        <v>5346</v>
      </c>
      <c r="C1060" s="5">
        <f t="shared" si="516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517">C1060+2</f>
        <v>40539</v>
      </c>
      <c r="V1060">
        <f t="shared" si="500"/>
        <v>27</v>
      </c>
      <c r="W1060">
        <f t="shared" si="497"/>
        <v>12</v>
      </c>
      <c r="X1060">
        <f t="shared" si="498"/>
        <v>2010</v>
      </c>
    </row>
    <row r="1061" spans="1:24" ht="12" customHeight="1">
      <c r="A1061" s="4">
        <v>743</v>
      </c>
      <c r="B1061" s="4">
        <v>5346</v>
      </c>
      <c r="C1061" s="5">
        <f t="shared" si="516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517"/>
        <v>40539</v>
      </c>
      <c r="V1061">
        <f t="shared" si="500"/>
        <v>27</v>
      </c>
      <c r="W1061">
        <f t="shared" si="497"/>
        <v>12</v>
      </c>
      <c r="X1061">
        <f t="shared" si="498"/>
        <v>2010</v>
      </c>
    </row>
    <row r="1062" spans="1:24" ht="12" customHeight="1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517"/>
        <v>40994</v>
      </c>
      <c r="V1062">
        <f t="shared" si="500"/>
        <v>26</v>
      </c>
      <c r="W1062">
        <f t="shared" si="497"/>
        <v>3</v>
      </c>
      <c r="X1062">
        <f t="shared" si="498"/>
        <v>2012</v>
      </c>
    </row>
    <row r="1063" spans="1:24" ht="12" customHeight="1">
      <c r="A1063" s="4">
        <v>795</v>
      </c>
      <c r="B1063" s="4">
        <v>5698</v>
      </c>
      <c r="C1063" s="5">
        <f t="shared" ref="C1063:C1064" si="518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519">C1063+1</f>
        <v>39954</v>
      </c>
      <c r="V1063">
        <f t="shared" si="500"/>
        <v>21</v>
      </c>
      <c r="W1063">
        <f t="shared" si="497"/>
        <v>5</v>
      </c>
      <c r="X1063">
        <f t="shared" si="498"/>
        <v>2009</v>
      </c>
    </row>
    <row r="1064" spans="1:24" ht="12" customHeight="1">
      <c r="A1064" s="4">
        <v>796</v>
      </c>
      <c r="B1064" s="4">
        <v>5698</v>
      </c>
      <c r="C1064" s="5">
        <f t="shared" si="518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519"/>
        <v>39954</v>
      </c>
      <c r="V1064">
        <f t="shared" si="500"/>
        <v>21</v>
      </c>
      <c r="W1064">
        <f t="shared" si="497"/>
        <v>5</v>
      </c>
      <c r="X1064">
        <f t="shared" si="498"/>
        <v>2009</v>
      </c>
    </row>
    <row r="1065" spans="1:24" ht="12" customHeight="1">
      <c r="A1065" s="4">
        <v>855</v>
      </c>
      <c r="B1065" s="4">
        <v>6144</v>
      </c>
      <c r="C1065" s="5">
        <f t="shared" ref="C1065:C1066" si="520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  <c r="V1065">
        <f t="shared" si="500"/>
        <v>24</v>
      </c>
      <c r="W1065">
        <f t="shared" si="497"/>
        <v>6</v>
      </c>
      <c r="X1065">
        <f t="shared" si="498"/>
        <v>2009</v>
      </c>
    </row>
    <row r="1066" spans="1:24" ht="12" customHeight="1">
      <c r="A1066" s="4">
        <v>856</v>
      </c>
      <c r="B1066" s="4">
        <v>6144</v>
      </c>
      <c r="C1066" s="5">
        <f t="shared" si="520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521">C1066+1</f>
        <v>39986</v>
      </c>
      <c r="V1066">
        <f t="shared" si="500"/>
        <v>22</v>
      </c>
      <c r="W1066">
        <f t="shared" si="497"/>
        <v>6</v>
      </c>
      <c r="X1066">
        <f t="shared" si="498"/>
        <v>2009</v>
      </c>
    </row>
    <row r="1067" spans="1:24" ht="12" customHeight="1">
      <c r="A1067" s="4">
        <v>888</v>
      </c>
      <c r="B1067" s="4">
        <v>6374</v>
      </c>
      <c r="C1067" s="5">
        <f t="shared" ref="C1067:C1068" si="522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521"/>
        <v>40763</v>
      </c>
      <c r="V1067">
        <f t="shared" si="500"/>
        <v>8</v>
      </c>
      <c r="W1067">
        <f t="shared" si="497"/>
        <v>8</v>
      </c>
      <c r="X1067">
        <f t="shared" si="498"/>
        <v>2011</v>
      </c>
    </row>
    <row r="1068" spans="1:24" ht="12" customHeight="1">
      <c r="A1068" s="4">
        <v>889</v>
      </c>
      <c r="B1068" s="4">
        <v>6374</v>
      </c>
      <c r="C1068" s="5">
        <f t="shared" si="522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523">C1068+2</f>
        <v>40764</v>
      </c>
      <c r="V1068">
        <f t="shared" si="500"/>
        <v>9</v>
      </c>
      <c r="W1068">
        <f t="shared" si="497"/>
        <v>8</v>
      </c>
      <c r="X1068">
        <f t="shared" si="498"/>
        <v>2011</v>
      </c>
    </row>
    <row r="1069" spans="1:24" ht="12" customHeight="1">
      <c r="A1069" s="4">
        <v>992</v>
      </c>
      <c r="B1069" s="4">
        <v>7169</v>
      </c>
      <c r="C1069" s="5">
        <f t="shared" ref="C1069:C1070" si="524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523"/>
        <v>40265</v>
      </c>
      <c r="V1069">
        <f t="shared" si="500"/>
        <v>28</v>
      </c>
      <c r="W1069">
        <f t="shared" si="497"/>
        <v>3</v>
      </c>
      <c r="X1069">
        <f t="shared" si="498"/>
        <v>2010</v>
      </c>
    </row>
    <row r="1070" spans="1:24" ht="12" customHeight="1">
      <c r="A1070" s="4">
        <v>993</v>
      </c>
      <c r="B1070" s="4">
        <v>7169</v>
      </c>
      <c r="C1070" s="5">
        <f t="shared" si="524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523"/>
        <v>40265</v>
      </c>
      <c r="V1070">
        <f t="shared" si="500"/>
        <v>28</v>
      </c>
      <c r="W1070">
        <f t="shared" si="497"/>
        <v>3</v>
      </c>
      <c r="X1070">
        <f t="shared" si="498"/>
        <v>2010</v>
      </c>
    </row>
    <row r="1071" spans="1:24" ht="12" customHeight="1">
      <c r="A1071" s="4">
        <v>1013</v>
      </c>
      <c r="B1071" s="4">
        <v>7427</v>
      </c>
      <c r="C1071" s="5">
        <f t="shared" ref="C1071:C1072" si="525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  <c r="V1071">
        <f t="shared" si="500"/>
        <v>15</v>
      </c>
      <c r="W1071">
        <f t="shared" si="497"/>
        <v>12</v>
      </c>
      <c r="X1071">
        <f t="shared" si="498"/>
        <v>2012</v>
      </c>
    </row>
    <row r="1072" spans="1:24" ht="12" customHeight="1">
      <c r="A1072" s="4">
        <v>1014</v>
      </c>
      <c r="B1072" s="4">
        <v>7427</v>
      </c>
      <c r="C1072" s="5">
        <f t="shared" si="525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  <c r="V1072">
        <f t="shared" si="500"/>
        <v>16</v>
      </c>
      <c r="W1072">
        <f t="shared" si="497"/>
        <v>12</v>
      </c>
      <c r="X1072">
        <f t="shared" si="498"/>
        <v>2012</v>
      </c>
    </row>
    <row r="1073" spans="1:24" ht="12" customHeight="1">
      <c r="A1073" s="4">
        <v>1123</v>
      </c>
      <c r="B1073" s="4">
        <v>8229</v>
      </c>
      <c r="C1073" s="5">
        <f t="shared" ref="C1073:C1074" si="526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527">C1073+2</f>
        <v>40156</v>
      </c>
      <c r="V1073">
        <f t="shared" si="500"/>
        <v>9</v>
      </c>
      <c r="W1073">
        <f t="shared" si="497"/>
        <v>12</v>
      </c>
      <c r="X1073">
        <f t="shared" si="498"/>
        <v>2009</v>
      </c>
    </row>
    <row r="1074" spans="1:24" ht="12" customHeight="1">
      <c r="A1074" s="4">
        <v>1124</v>
      </c>
      <c r="B1074" s="4">
        <v>8229</v>
      </c>
      <c r="C1074" s="5">
        <f t="shared" si="526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527"/>
        <v>40156</v>
      </c>
      <c r="V1074">
        <f t="shared" si="500"/>
        <v>9</v>
      </c>
      <c r="W1074">
        <f t="shared" si="497"/>
        <v>12</v>
      </c>
      <c r="X1074">
        <f t="shared" si="498"/>
        <v>2009</v>
      </c>
    </row>
    <row r="1075" spans="1:24" ht="12" customHeight="1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527"/>
        <v>40158</v>
      </c>
      <c r="V1075">
        <f t="shared" si="500"/>
        <v>11</v>
      </c>
      <c r="W1075">
        <f t="shared" si="497"/>
        <v>12</v>
      </c>
      <c r="X1075">
        <f t="shared" si="498"/>
        <v>2009</v>
      </c>
    </row>
    <row r="1076" spans="1:24" ht="12" customHeight="1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  <c r="V1076">
        <f t="shared" si="500"/>
        <v>22</v>
      </c>
      <c r="W1076">
        <f t="shared" si="497"/>
        <v>12</v>
      </c>
      <c r="X1076">
        <f t="shared" si="498"/>
        <v>2010</v>
      </c>
    </row>
    <row r="1077" spans="1:24" ht="12" customHeight="1">
      <c r="A1077" s="4">
        <v>1197</v>
      </c>
      <c r="B1077" s="4">
        <v>8801</v>
      </c>
      <c r="C1077" s="5">
        <f t="shared" ref="C1077:C1078" si="528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  <c r="V1077">
        <f t="shared" si="500"/>
        <v>15</v>
      </c>
      <c r="W1077">
        <f t="shared" si="497"/>
        <v>8</v>
      </c>
      <c r="X1077">
        <f t="shared" si="498"/>
        <v>2012</v>
      </c>
    </row>
    <row r="1078" spans="1:24" ht="12" customHeight="1">
      <c r="A1078" s="4">
        <v>1198</v>
      </c>
      <c r="B1078" s="4">
        <v>8801</v>
      </c>
      <c r="C1078" s="5">
        <f t="shared" si="528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  <c r="V1078">
        <f t="shared" si="500"/>
        <v>12</v>
      </c>
      <c r="W1078">
        <f t="shared" si="497"/>
        <v>8</v>
      </c>
      <c r="X1078">
        <f t="shared" si="498"/>
        <v>2012</v>
      </c>
    </row>
    <row r="1079" spans="1:24" ht="12" customHeight="1">
      <c r="A1079" s="4">
        <v>1221</v>
      </c>
      <c r="B1079" s="4">
        <v>8992</v>
      </c>
      <c r="C1079" s="5">
        <f t="shared" ref="C1079:C1081" si="529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  <c r="V1079">
        <f t="shared" si="500"/>
        <v>13</v>
      </c>
      <c r="W1079">
        <f t="shared" si="497"/>
        <v>11</v>
      </c>
      <c r="X1079">
        <f t="shared" si="498"/>
        <v>2010</v>
      </c>
    </row>
    <row r="1080" spans="1:24" ht="12" customHeight="1">
      <c r="A1080" s="4">
        <v>1222</v>
      </c>
      <c r="B1080" s="4">
        <v>8992</v>
      </c>
      <c r="C1080" s="5">
        <f t="shared" si="529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  <c r="V1080">
        <f t="shared" si="500"/>
        <v>14</v>
      </c>
      <c r="W1080">
        <f t="shared" si="497"/>
        <v>11</v>
      </c>
      <c r="X1080">
        <f t="shared" si="498"/>
        <v>2010</v>
      </c>
    </row>
    <row r="1081" spans="1:24" ht="12" customHeight="1">
      <c r="A1081" s="4">
        <v>1223</v>
      </c>
      <c r="B1081" s="4">
        <v>8992</v>
      </c>
      <c r="C1081" s="5">
        <f t="shared" si="529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  <c r="V1081">
        <f t="shared" si="500"/>
        <v>13</v>
      </c>
      <c r="W1081">
        <f t="shared" si="497"/>
        <v>11</v>
      </c>
      <c r="X1081">
        <f t="shared" si="498"/>
        <v>2010</v>
      </c>
    </row>
    <row r="1082" spans="1:24" ht="12" customHeight="1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  <c r="V1082">
        <f t="shared" si="500"/>
        <v>7</v>
      </c>
      <c r="W1082">
        <f t="shared" si="497"/>
        <v>5</v>
      </c>
      <c r="X1082">
        <f t="shared" si="498"/>
        <v>2012</v>
      </c>
    </row>
    <row r="1083" spans="1:24" ht="12" customHeight="1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  <c r="V1083">
        <f t="shared" si="500"/>
        <v>21</v>
      </c>
      <c r="W1083">
        <f t="shared" si="497"/>
        <v>7</v>
      </c>
      <c r="X1083">
        <f t="shared" si="498"/>
        <v>2010</v>
      </c>
    </row>
    <row r="1084" spans="1:24" ht="12" customHeight="1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  <c r="V1084">
        <f t="shared" si="500"/>
        <v>9</v>
      </c>
      <c r="W1084">
        <f t="shared" si="497"/>
        <v>5</v>
      </c>
      <c r="X1084">
        <f t="shared" si="498"/>
        <v>2012</v>
      </c>
    </row>
    <row r="1085" spans="1:24" ht="12" customHeight="1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530">C1085+0</f>
        <v>40414</v>
      </c>
      <c r="V1085">
        <f t="shared" si="500"/>
        <v>24</v>
      </c>
      <c r="W1085">
        <f t="shared" si="497"/>
        <v>8</v>
      </c>
      <c r="X1085">
        <f t="shared" si="498"/>
        <v>2010</v>
      </c>
    </row>
    <row r="1086" spans="1:24" ht="12" customHeight="1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530"/>
        <v>40612</v>
      </c>
      <c r="V1086">
        <f t="shared" si="500"/>
        <v>10</v>
      </c>
      <c r="W1086">
        <f t="shared" si="497"/>
        <v>3</v>
      </c>
      <c r="X1086">
        <f t="shared" si="498"/>
        <v>2011</v>
      </c>
    </row>
    <row r="1087" spans="1:24" ht="12" customHeight="1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  <c r="V1087">
        <f t="shared" si="500"/>
        <v>14</v>
      </c>
      <c r="W1087">
        <f t="shared" si="497"/>
        <v>11</v>
      </c>
      <c r="X1087">
        <f t="shared" si="498"/>
        <v>2011</v>
      </c>
    </row>
    <row r="1088" spans="1:24" ht="12" customHeight="1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  <c r="V1088">
        <f t="shared" si="500"/>
        <v>22</v>
      </c>
      <c r="W1088">
        <f t="shared" si="497"/>
        <v>3</v>
      </c>
      <c r="X1088">
        <f t="shared" si="498"/>
        <v>2012</v>
      </c>
    </row>
    <row r="1089" spans="1:24" ht="12" customHeight="1">
      <c r="A1089" s="4">
        <v>1567</v>
      </c>
      <c r="B1089" s="4">
        <v>11332</v>
      </c>
      <c r="C1089" s="5">
        <f t="shared" ref="C1089:C1090" si="531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  <c r="V1089">
        <f t="shared" si="500"/>
        <v>20</v>
      </c>
      <c r="W1089">
        <f t="shared" si="497"/>
        <v>11</v>
      </c>
      <c r="X1089">
        <f t="shared" si="498"/>
        <v>2009</v>
      </c>
    </row>
    <row r="1090" spans="1:24" ht="12" customHeight="1">
      <c r="A1090" s="4">
        <v>1568</v>
      </c>
      <c r="B1090" s="4">
        <v>11332</v>
      </c>
      <c r="C1090" s="5">
        <f t="shared" si="531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  <c r="V1090">
        <f t="shared" si="500"/>
        <v>23</v>
      </c>
      <c r="W1090">
        <f t="shared" si="497"/>
        <v>11</v>
      </c>
      <c r="X1090">
        <f t="shared" si="498"/>
        <v>2009</v>
      </c>
    </row>
    <row r="1091" spans="1:24" ht="12" customHeight="1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  <c r="V1091">
        <f t="shared" si="500"/>
        <v>7</v>
      </c>
      <c r="W1091">
        <f t="shared" ref="W1091:W1154" si="532">MONTH(U1091)</f>
        <v>9</v>
      </c>
      <c r="X1091">
        <f t="shared" ref="X1091:X1154" si="533">YEAR(U1091)</f>
        <v>2009</v>
      </c>
    </row>
    <row r="1092" spans="1:24" ht="12" customHeight="1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534">C1092+1</f>
        <v>41110</v>
      </c>
      <c r="V1092">
        <f t="shared" ref="V1092:V1155" si="535">DAY(U1092)</f>
        <v>20</v>
      </c>
      <c r="W1092">
        <f t="shared" si="532"/>
        <v>7</v>
      </c>
      <c r="X1092">
        <f t="shared" si="533"/>
        <v>2012</v>
      </c>
    </row>
    <row r="1093" spans="1:24" ht="12" customHeight="1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534"/>
        <v>41142</v>
      </c>
      <c r="V1093">
        <f t="shared" si="535"/>
        <v>21</v>
      </c>
      <c r="W1093">
        <f t="shared" si="532"/>
        <v>8</v>
      </c>
      <c r="X1093">
        <f t="shared" si="533"/>
        <v>2012</v>
      </c>
    </row>
    <row r="1094" spans="1:24" ht="12" customHeight="1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  <c r="V1094">
        <f t="shared" si="535"/>
        <v>23</v>
      </c>
      <c r="W1094">
        <f t="shared" si="532"/>
        <v>8</v>
      </c>
      <c r="X1094">
        <f t="shared" si="533"/>
        <v>2010</v>
      </c>
    </row>
    <row r="1095" spans="1:24" ht="12" customHeight="1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  <c r="V1095">
        <f t="shared" si="535"/>
        <v>28</v>
      </c>
      <c r="W1095">
        <f t="shared" si="532"/>
        <v>12</v>
      </c>
      <c r="X1095">
        <f t="shared" si="533"/>
        <v>2012</v>
      </c>
    </row>
    <row r="1096" spans="1:24" ht="12" customHeight="1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  <c r="V1096">
        <f t="shared" si="535"/>
        <v>16</v>
      </c>
      <c r="W1096">
        <f t="shared" si="532"/>
        <v>6</v>
      </c>
      <c r="X1096">
        <f t="shared" si="533"/>
        <v>2011</v>
      </c>
    </row>
    <row r="1097" spans="1:24" ht="12" customHeight="1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536">C1097+2</f>
        <v>40354</v>
      </c>
      <c r="V1097">
        <f t="shared" si="535"/>
        <v>25</v>
      </c>
      <c r="W1097">
        <f t="shared" si="532"/>
        <v>6</v>
      </c>
      <c r="X1097">
        <f t="shared" si="533"/>
        <v>2010</v>
      </c>
    </row>
    <row r="1098" spans="1:24" ht="12" customHeight="1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536"/>
        <v>40482</v>
      </c>
      <c r="V1098">
        <f t="shared" si="535"/>
        <v>31</v>
      </c>
      <c r="W1098">
        <f t="shared" si="532"/>
        <v>10</v>
      </c>
      <c r="X1098">
        <f t="shared" si="533"/>
        <v>2010</v>
      </c>
    </row>
    <row r="1099" spans="1:24" ht="12" customHeight="1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  <c r="V1099">
        <f t="shared" si="535"/>
        <v>15</v>
      </c>
      <c r="W1099">
        <f t="shared" si="532"/>
        <v>7</v>
      </c>
      <c r="X1099">
        <f t="shared" si="533"/>
        <v>2009</v>
      </c>
    </row>
    <row r="1100" spans="1:24" ht="12" customHeight="1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  <c r="V1100">
        <f t="shared" si="535"/>
        <v>28</v>
      </c>
      <c r="W1100">
        <f t="shared" si="532"/>
        <v>4</v>
      </c>
      <c r="X1100">
        <f t="shared" si="533"/>
        <v>2009</v>
      </c>
    </row>
    <row r="1101" spans="1:24" ht="12" customHeight="1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  <c r="V1101">
        <f t="shared" si="535"/>
        <v>5</v>
      </c>
      <c r="W1101">
        <f t="shared" si="532"/>
        <v>9</v>
      </c>
      <c r="X1101">
        <f t="shared" si="533"/>
        <v>2011</v>
      </c>
    </row>
    <row r="1102" spans="1:24" ht="12" customHeight="1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  <c r="V1102">
        <f t="shared" si="535"/>
        <v>24</v>
      </c>
      <c r="W1102">
        <f t="shared" si="532"/>
        <v>9</v>
      </c>
      <c r="X1102">
        <f t="shared" si="533"/>
        <v>2012</v>
      </c>
    </row>
    <row r="1103" spans="1:24" ht="12" customHeight="1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  <c r="V1103">
        <f t="shared" si="535"/>
        <v>14</v>
      </c>
      <c r="W1103">
        <f t="shared" si="532"/>
        <v>10</v>
      </c>
      <c r="X1103">
        <f t="shared" si="533"/>
        <v>2011</v>
      </c>
    </row>
    <row r="1104" spans="1:24" ht="12" customHeight="1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537">C1104+1</f>
        <v>40957</v>
      </c>
      <c r="V1104">
        <f t="shared" si="535"/>
        <v>18</v>
      </c>
      <c r="W1104">
        <f t="shared" si="532"/>
        <v>2</v>
      </c>
      <c r="X1104">
        <f t="shared" si="533"/>
        <v>2012</v>
      </c>
    </row>
    <row r="1105" spans="1:24" ht="12" customHeight="1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537"/>
        <v>39983</v>
      </c>
      <c r="V1105">
        <f t="shared" si="535"/>
        <v>19</v>
      </c>
      <c r="W1105">
        <f t="shared" si="532"/>
        <v>6</v>
      </c>
      <c r="X1105">
        <f t="shared" si="533"/>
        <v>2009</v>
      </c>
    </row>
    <row r="1106" spans="1:24" ht="12" customHeight="1">
      <c r="A1106" s="4">
        <v>2029</v>
      </c>
      <c r="B1106" s="4">
        <v>14471</v>
      </c>
      <c r="C1106" s="5">
        <f t="shared" ref="C1106:C1107" si="538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  <c r="V1106">
        <f t="shared" si="535"/>
        <v>26</v>
      </c>
      <c r="W1106">
        <f t="shared" si="532"/>
        <v>5</v>
      </c>
      <c r="X1106">
        <f t="shared" si="533"/>
        <v>2011</v>
      </c>
    </row>
    <row r="1107" spans="1:24" ht="12" customHeight="1">
      <c r="A1107" s="4">
        <v>2030</v>
      </c>
      <c r="B1107" s="4">
        <v>14471</v>
      </c>
      <c r="C1107" s="5">
        <f t="shared" si="538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  <c r="V1107">
        <f t="shared" si="535"/>
        <v>28</v>
      </c>
      <c r="W1107">
        <f t="shared" si="532"/>
        <v>5</v>
      </c>
      <c r="X1107">
        <f t="shared" si="533"/>
        <v>2011</v>
      </c>
    </row>
    <row r="1108" spans="1:24" ht="12" customHeight="1">
      <c r="A1108" s="4">
        <v>2037</v>
      </c>
      <c r="B1108" s="4">
        <v>14529</v>
      </c>
      <c r="C1108" s="5">
        <f t="shared" ref="C1108:C1109" si="539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  <c r="V1108">
        <f t="shared" si="535"/>
        <v>24</v>
      </c>
      <c r="W1108">
        <f t="shared" si="532"/>
        <v>9</v>
      </c>
      <c r="X1108">
        <f t="shared" si="533"/>
        <v>2010</v>
      </c>
    </row>
    <row r="1109" spans="1:24" ht="12" customHeight="1">
      <c r="A1109" s="4">
        <v>2038</v>
      </c>
      <c r="B1109" s="4">
        <v>14529</v>
      </c>
      <c r="C1109" s="5">
        <f t="shared" si="539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  <c r="V1109">
        <f t="shared" si="535"/>
        <v>22</v>
      </c>
      <c r="W1109">
        <f t="shared" si="532"/>
        <v>9</v>
      </c>
      <c r="X1109">
        <f t="shared" si="533"/>
        <v>2010</v>
      </c>
    </row>
    <row r="1110" spans="1:24" ht="12" customHeight="1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540">C1110+1</f>
        <v>40692</v>
      </c>
      <c r="V1110">
        <f t="shared" si="535"/>
        <v>29</v>
      </c>
      <c r="W1110">
        <f t="shared" si="532"/>
        <v>5</v>
      </c>
      <c r="X1110">
        <f t="shared" si="533"/>
        <v>2011</v>
      </c>
    </row>
    <row r="1111" spans="1:24" ht="12" customHeight="1">
      <c r="A1111" s="4">
        <v>2237</v>
      </c>
      <c r="B1111" s="4">
        <v>16161</v>
      </c>
      <c r="C1111" s="5">
        <f t="shared" ref="C1111:C1112" si="541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540"/>
        <v>41119</v>
      </c>
      <c r="V1111">
        <f t="shared" si="535"/>
        <v>29</v>
      </c>
      <c r="W1111">
        <f t="shared" si="532"/>
        <v>7</v>
      </c>
      <c r="X1111">
        <f t="shared" si="533"/>
        <v>2012</v>
      </c>
    </row>
    <row r="1112" spans="1:24" ht="12" customHeight="1">
      <c r="A1112" s="4">
        <v>2238</v>
      </c>
      <c r="B1112" s="4">
        <v>16161</v>
      </c>
      <c r="C1112" s="5">
        <f t="shared" si="541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  <c r="V1112">
        <f t="shared" si="535"/>
        <v>30</v>
      </c>
      <c r="W1112">
        <f t="shared" si="532"/>
        <v>7</v>
      </c>
      <c r="X1112">
        <f t="shared" si="533"/>
        <v>2012</v>
      </c>
    </row>
    <row r="1113" spans="1:24" ht="12" customHeight="1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542">C1113+1</f>
        <v>41035</v>
      </c>
      <c r="V1113">
        <f t="shared" si="535"/>
        <v>6</v>
      </c>
      <c r="W1113">
        <f t="shared" si="532"/>
        <v>5</v>
      </c>
      <c r="X1113">
        <f t="shared" si="533"/>
        <v>2012</v>
      </c>
    </row>
    <row r="1114" spans="1:24" ht="12" customHeight="1">
      <c r="A1114" s="4">
        <v>2335</v>
      </c>
      <c r="B1114" s="4">
        <v>16806</v>
      </c>
      <c r="C1114" s="5">
        <f t="shared" ref="C1114:C1115" si="543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542"/>
        <v>40347</v>
      </c>
      <c r="V1114">
        <f t="shared" si="535"/>
        <v>18</v>
      </c>
      <c r="W1114">
        <f t="shared" si="532"/>
        <v>6</v>
      </c>
      <c r="X1114">
        <f t="shared" si="533"/>
        <v>2010</v>
      </c>
    </row>
    <row r="1115" spans="1:24" ht="12" customHeight="1">
      <c r="A1115" s="4">
        <v>2336</v>
      </c>
      <c r="B1115" s="4">
        <v>16806</v>
      </c>
      <c r="C1115" s="5">
        <f t="shared" si="543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544">C1115+2</f>
        <v>40348</v>
      </c>
      <c r="V1115">
        <f t="shared" si="535"/>
        <v>19</v>
      </c>
      <c r="W1115">
        <f t="shared" si="532"/>
        <v>6</v>
      </c>
      <c r="X1115">
        <f t="shared" si="533"/>
        <v>2010</v>
      </c>
    </row>
    <row r="1116" spans="1:24" ht="12" customHeight="1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544"/>
        <v>40380</v>
      </c>
      <c r="V1116">
        <f t="shared" si="535"/>
        <v>21</v>
      </c>
      <c r="W1116">
        <f t="shared" si="532"/>
        <v>7</v>
      </c>
      <c r="X1116">
        <f t="shared" si="533"/>
        <v>2010</v>
      </c>
    </row>
    <row r="1117" spans="1:24" ht="12" customHeight="1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  <c r="V1117">
        <f t="shared" si="535"/>
        <v>5</v>
      </c>
      <c r="W1117">
        <f t="shared" si="532"/>
        <v>7</v>
      </c>
      <c r="X1117">
        <f t="shared" si="533"/>
        <v>2011</v>
      </c>
    </row>
    <row r="1118" spans="1:24" ht="12" customHeight="1">
      <c r="A1118" s="4">
        <v>2411</v>
      </c>
      <c r="B1118" s="4">
        <v>17507</v>
      </c>
      <c r="C1118" s="5">
        <f t="shared" ref="C1118:C1119" si="545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  <c r="V1118">
        <f t="shared" si="535"/>
        <v>12</v>
      </c>
      <c r="W1118">
        <f t="shared" si="532"/>
        <v>6</v>
      </c>
      <c r="X1118">
        <f t="shared" si="533"/>
        <v>2012</v>
      </c>
    </row>
    <row r="1119" spans="1:24" ht="12" customHeight="1">
      <c r="A1119" s="4">
        <v>2412</v>
      </c>
      <c r="B1119" s="4">
        <v>17507</v>
      </c>
      <c r="C1119" s="5">
        <f t="shared" si="545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  <c r="V1119">
        <f t="shared" si="535"/>
        <v>14</v>
      </c>
      <c r="W1119">
        <f t="shared" si="532"/>
        <v>6</v>
      </c>
      <c r="X1119">
        <f t="shared" si="533"/>
        <v>2012</v>
      </c>
    </row>
    <row r="1120" spans="1:24" ht="12" customHeight="1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  <c r="V1120">
        <f t="shared" si="535"/>
        <v>13</v>
      </c>
      <c r="W1120">
        <f t="shared" si="532"/>
        <v>4</v>
      </c>
      <c r="X1120">
        <f t="shared" si="533"/>
        <v>2012</v>
      </c>
    </row>
    <row r="1121" spans="1:24" ht="12" customHeight="1">
      <c r="A1121" s="4">
        <v>2453</v>
      </c>
      <c r="B1121" s="4">
        <v>17831</v>
      </c>
      <c r="C1121" s="5">
        <f t="shared" ref="C1121:C1122" si="546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  <c r="V1121">
        <f t="shared" si="535"/>
        <v>26</v>
      </c>
      <c r="W1121">
        <f t="shared" si="532"/>
        <v>10</v>
      </c>
      <c r="X1121">
        <f t="shared" si="533"/>
        <v>2012</v>
      </c>
    </row>
    <row r="1122" spans="1:24" ht="12" customHeight="1">
      <c r="A1122" s="4">
        <v>2454</v>
      </c>
      <c r="B1122" s="4">
        <v>17831</v>
      </c>
      <c r="C1122" s="5">
        <f t="shared" si="546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  <c r="V1122">
        <f t="shared" si="535"/>
        <v>28</v>
      </c>
      <c r="W1122">
        <f t="shared" si="532"/>
        <v>10</v>
      </c>
      <c r="X1122">
        <f t="shared" si="533"/>
        <v>2012</v>
      </c>
    </row>
    <row r="1123" spans="1:24" ht="12" customHeight="1">
      <c r="A1123" s="4">
        <v>2498</v>
      </c>
      <c r="B1123" s="4">
        <v>18179</v>
      </c>
      <c r="C1123" s="5">
        <f t="shared" ref="C1123:C1125" si="547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  <c r="V1123">
        <f t="shared" si="535"/>
        <v>1</v>
      </c>
      <c r="W1123">
        <f t="shared" si="532"/>
        <v>8</v>
      </c>
      <c r="X1123">
        <f t="shared" si="533"/>
        <v>2009</v>
      </c>
    </row>
    <row r="1124" spans="1:24" ht="12" customHeight="1">
      <c r="A1124" s="4">
        <v>2499</v>
      </c>
      <c r="B1124" s="4">
        <v>18179</v>
      </c>
      <c r="C1124" s="5">
        <f t="shared" si="547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  <c r="V1124">
        <f t="shared" si="535"/>
        <v>2</v>
      </c>
      <c r="W1124">
        <f t="shared" si="532"/>
        <v>8</v>
      </c>
      <c r="X1124">
        <f t="shared" si="533"/>
        <v>2009</v>
      </c>
    </row>
    <row r="1125" spans="1:24" ht="12" customHeight="1">
      <c r="A1125" s="4">
        <v>2500</v>
      </c>
      <c r="B1125" s="4">
        <v>18179</v>
      </c>
      <c r="C1125" s="5">
        <f t="shared" si="547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548">C1125+2</f>
        <v>40028</v>
      </c>
      <c r="V1125">
        <f t="shared" si="535"/>
        <v>3</v>
      </c>
      <c r="W1125">
        <f t="shared" si="532"/>
        <v>8</v>
      </c>
      <c r="X1125">
        <f t="shared" si="533"/>
        <v>2009</v>
      </c>
    </row>
    <row r="1126" spans="1:24" ht="12" customHeight="1">
      <c r="A1126" s="4">
        <v>2629</v>
      </c>
      <c r="B1126" s="4">
        <v>19044</v>
      </c>
      <c r="C1126" s="5">
        <f t="shared" ref="C1126:C1127" si="549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548"/>
        <v>41012</v>
      </c>
      <c r="V1126">
        <f t="shared" si="535"/>
        <v>13</v>
      </c>
      <c r="W1126">
        <f t="shared" si="532"/>
        <v>4</v>
      </c>
      <c r="X1126">
        <f t="shared" si="533"/>
        <v>2012</v>
      </c>
    </row>
    <row r="1127" spans="1:24" ht="12" customHeight="1">
      <c r="A1127" s="4">
        <v>2630</v>
      </c>
      <c r="B1127" s="4">
        <v>19044</v>
      </c>
      <c r="C1127" s="5">
        <f t="shared" si="549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  <c r="V1127">
        <f t="shared" si="535"/>
        <v>18</v>
      </c>
      <c r="W1127">
        <f t="shared" si="532"/>
        <v>4</v>
      </c>
      <c r="X1127">
        <f t="shared" si="533"/>
        <v>2012</v>
      </c>
    </row>
    <row r="1128" spans="1:24" ht="12" customHeight="1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550">C1128+1</f>
        <v>40807</v>
      </c>
      <c r="V1128">
        <f t="shared" si="535"/>
        <v>21</v>
      </c>
      <c r="W1128">
        <f t="shared" si="532"/>
        <v>9</v>
      </c>
      <c r="X1128">
        <f t="shared" si="533"/>
        <v>2011</v>
      </c>
    </row>
    <row r="1129" spans="1:24" ht="12" customHeight="1">
      <c r="A1129" s="4">
        <v>2758</v>
      </c>
      <c r="B1129" s="4">
        <v>19936</v>
      </c>
      <c r="C1129" s="5">
        <f t="shared" ref="C1129:C1130" si="551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550"/>
        <v>41227</v>
      </c>
      <c r="V1129">
        <f t="shared" si="535"/>
        <v>14</v>
      </c>
      <c r="W1129">
        <f t="shared" si="532"/>
        <v>11</v>
      </c>
      <c r="X1129">
        <f t="shared" si="533"/>
        <v>2012</v>
      </c>
    </row>
    <row r="1130" spans="1:24" ht="12" customHeight="1">
      <c r="A1130" s="4">
        <v>2759</v>
      </c>
      <c r="B1130" s="4">
        <v>19936</v>
      </c>
      <c r="C1130" s="5">
        <f t="shared" si="551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550"/>
        <v>41227</v>
      </c>
      <c r="V1130">
        <f t="shared" si="535"/>
        <v>14</v>
      </c>
      <c r="W1130">
        <f t="shared" si="532"/>
        <v>11</v>
      </c>
      <c r="X1130">
        <f t="shared" si="533"/>
        <v>2012</v>
      </c>
    </row>
    <row r="1131" spans="1:24" ht="12" customHeight="1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552">C1131+2</f>
        <v>41078</v>
      </c>
      <c r="V1131">
        <f t="shared" si="535"/>
        <v>18</v>
      </c>
      <c r="W1131">
        <f t="shared" si="532"/>
        <v>6</v>
      </c>
      <c r="X1131">
        <f t="shared" si="533"/>
        <v>2012</v>
      </c>
    </row>
    <row r="1132" spans="1:24" ht="12" customHeight="1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552"/>
        <v>40237</v>
      </c>
      <c r="V1132">
        <f t="shared" si="535"/>
        <v>28</v>
      </c>
      <c r="W1132">
        <f t="shared" si="532"/>
        <v>2</v>
      </c>
      <c r="X1132">
        <f t="shared" si="533"/>
        <v>2010</v>
      </c>
    </row>
    <row r="1133" spans="1:24" ht="12" customHeight="1">
      <c r="A1133" s="4">
        <v>2824</v>
      </c>
      <c r="B1133" s="4">
        <v>20389</v>
      </c>
      <c r="C1133" s="5">
        <f t="shared" ref="C1133:C1135" si="553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552"/>
        <v>40038</v>
      </c>
      <c r="V1133">
        <f t="shared" si="535"/>
        <v>13</v>
      </c>
      <c r="W1133">
        <f t="shared" si="532"/>
        <v>8</v>
      </c>
      <c r="X1133">
        <f t="shared" si="533"/>
        <v>2009</v>
      </c>
    </row>
    <row r="1134" spans="1:24" ht="12" customHeight="1">
      <c r="A1134" s="4">
        <v>2825</v>
      </c>
      <c r="B1134" s="4">
        <v>20389</v>
      </c>
      <c r="C1134" s="5">
        <f t="shared" si="553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552"/>
        <v>40038</v>
      </c>
      <c r="V1134">
        <f t="shared" si="535"/>
        <v>13</v>
      </c>
      <c r="W1134">
        <f t="shared" si="532"/>
        <v>8</v>
      </c>
      <c r="X1134">
        <f t="shared" si="533"/>
        <v>2009</v>
      </c>
    </row>
    <row r="1135" spans="1:24" ht="12" customHeight="1">
      <c r="A1135" s="4">
        <v>2826</v>
      </c>
      <c r="B1135" s="4">
        <v>20389</v>
      </c>
      <c r="C1135" s="5">
        <f t="shared" si="553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552"/>
        <v>40038</v>
      </c>
      <c r="V1135">
        <f t="shared" si="535"/>
        <v>13</v>
      </c>
      <c r="W1135">
        <f t="shared" si="532"/>
        <v>8</v>
      </c>
      <c r="X1135">
        <f t="shared" si="533"/>
        <v>2009</v>
      </c>
    </row>
    <row r="1136" spans="1:24" ht="12" customHeight="1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552"/>
        <v>39841</v>
      </c>
      <c r="V1136">
        <f t="shared" si="535"/>
        <v>28</v>
      </c>
      <c r="W1136">
        <f t="shared" si="532"/>
        <v>1</v>
      </c>
      <c r="X1136">
        <f t="shared" si="533"/>
        <v>2009</v>
      </c>
    </row>
    <row r="1137" spans="1:24" ht="12" customHeight="1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  <c r="V1137">
        <f t="shared" si="535"/>
        <v>26</v>
      </c>
      <c r="W1137">
        <f t="shared" si="532"/>
        <v>11</v>
      </c>
      <c r="X1137">
        <f t="shared" si="533"/>
        <v>2012</v>
      </c>
    </row>
    <row r="1138" spans="1:24" ht="12" customHeight="1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  <c r="V1138">
        <f t="shared" si="535"/>
        <v>23</v>
      </c>
      <c r="W1138">
        <f t="shared" si="532"/>
        <v>7</v>
      </c>
      <c r="X1138">
        <f t="shared" si="533"/>
        <v>2012</v>
      </c>
    </row>
    <row r="1139" spans="1:24" ht="12" customHeight="1">
      <c r="A1139" s="4">
        <v>2890</v>
      </c>
      <c r="B1139" s="4">
        <v>20838</v>
      </c>
      <c r="C1139" s="5">
        <f t="shared" ref="C1139:C1140" si="554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55">C1139+1</f>
        <v>39914</v>
      </c>
      <c r="V1139">
        <f t="shared" si="535"/>
        <v>11</v>
      </c>
      <c r="W1139">
        <f t="shared" si="532"/>
        <v>4</v>
      </c>
      <c r="X1139">
        <f t="shared" si="533"/>
        <v>2009</v>
      </c>
    </row>
    <row r="1140" spans="1:24" ht="12" customHeight="1">
      <c r="A1140" s="4">
        <v>2891</v>
      </c>
      <c r="B1140" s="4">
        <v>20838</v>
      </c>
      <c r="C1140" s="5">
        <f t="shared" si="554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55"/>
        <v>39914</v>
      </c>
      <c r="V1140">
        <f t="shared" si="535"/>
        <v>11</v>
      </c>
      <c r="W1140">
        <f t="shared" si="532"/>
        <v>4</v>
      </c>
      <c r="X1140">
        <f t="shared" si="533"/>
        <v>2009</v>
      </c>
    </row>
    <row r="1141" spans="1:24" ht="12" customHeight="1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  <c r="V1141">
        <f t="shared" si="535"/>
        <v>23</v>
      </c>
      <c r="W1141">
        <f t="shared" si="532"/>
        <v>11</v>
      </c>
      <c r="X1141">
        <f t="shared" si="533"/>
        <v>2011</v>
      </c>
    </row>
    <row r="1142" spans="1:24" ht="12" customHeight="1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  <c r="V1142">
        <f t="shared" si="535"/>
        <v>16</v>
      </c>
      <c r="W1142">
        <f t="shared" si="532"/>
        <v>1</v>
      </c>
      <c r="X1142">
        <f t="shared" si="533"/>
        <v>2010</v>
      </c>
    </row>
    <row r="1143" spans="1:24" ht="12" customHeight="1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  <c r="V1143">
        <f t="shared" si="535"/>
        <v>25</v>
      </c>
      <c r="W1143">
        <f t="shared" si="532"/>
        <v>2</v>
      </c>
      <c r="X1143">
        <f t="shared" si="533"/>
        <v>2011</v>
      </c>
    </row>
    <row r="1144" spans="1:24" ht="12" customHeight="1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  <c r="V1144">
        <f t="shared" si="535"/>
        <v>15</v>
      </c>
      <c r="W1144">
        <f t="shared" si="532"/>
        <v>2</v>
      </c>
      <c r="X1144">
        <f t="shared" si="533"/>
        <v>2009</v>
      </c>
    </row>
    <row r="1145" spans="1:24" ht="12" customHeight="1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  <c r="V1145">
        <f t="shared" si="535"/>
        <v>18</v>
      </c>
      <c r="W1145">
        <f t="shared" si="532"/>
        <v>6</v>
      </c>
      <c r="X1145">
        <f t="shared" si="533"/>
        <v>2010</v>
      </c>
    </row>
    <row r="1146" spans="1:24" ht="12" customHeight="1">
      <c r="A1146" s="4">
        <v>3156</v>
      </c>
      <c r="B1146" s="4">
        <v>22657</v>
      </c>
      <c r="C1146" s="5">
        <f t="shared" ref="C1146:C1147" si="556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57">C1146+1</f>
        <v>40846</v>
      </c>
      <c r="V1146">
        <f t="shared" si="535"/>
        <v>30</v>
      </c>
      <c r="W1146">
        <f t="shared" si="532"/>
        <v>10</v>
      </c>
      <c r="X1146">
        <f t="shared" si="533"/>
        <v>2011</v>
      </c>
    </row>
    <row r="1147" spans="1:24" ht="12" customHeight="1">
      <c r="A1147" s="4">
        <v>3157</v>
      </c>
      <c r="B1147" s="4">
        <v>22657</v>
      </c>
      <c r="C1147" s="5">
        <f t="shared" si="556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57"/>
        <v>40846</v>
      </c>
      <c r="V1147">
        <f t="shared" si="535"/>
        <v>30</v>
      </c>
      <c r="W1147">
        <f t="shared" si="532"/>
        <v>10</v>
      </c>
      <c r="X1147">
        <f t="shared" si="533"/>
        <v>2011</v>
      </c>
    </row>
    <row r="1148" spans="1:24" ht="12" customHeight="1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57"/>
        <v>40474</v>
      </c>
      <c r="V1148">
        <f t="shared" si="535"/>
        <v>23</v>
      </c>
      <c r="W1148">
        <f t="shared" si="532"/>
        <v>10</v>
      </c>
      <c r="X1148">
        <f t="shared" si="533"/>
        <v>2010</v>
      </c>
    </row>
    <row r="1149" spans="1:24" ht="12" customHeight="1">
      <c r="A1149" s="4">
        <v>3346</v>
      </c>
      <c r="B1149" s="4">
        <v>23940</v>
      </c>
      <c r="C1149" s="5">
        <f t="shared" ref="C1149:C1150" si="558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57"/>
        <v>40642</v>
      </c>
      <c r="V1149">
        <f t="shared" si="535"/>
        <v>9</v>
      </c>
      <c r="W1149">
        <f t="shared" si="532"/>
        <v>4</v>
      </c>
      <c r="X1149">
        <f t="shared" si="533"/>
        <v>2011</v>
      </c>
    </row>
    <row r="1150" spans="1:24" ht="12" customHeight="1">
      <c r="A1150" s="4">
        <v>3347</v>
      </c>
      <c r="B1150" s="4">
        <v>23940</v>
      </c>
      <c r="C1150" s="5">
        <f t="shared" si="558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  <c r="V1150">
        <f t="shared" si="535"/>
        <v>11</v>
      </c>
      <c r="W1150">
        <f t="shared" si="532"/>
        <v>4</v>
      </c>
      <c r="X1150">
        <f t="shared" si="533"/>
        <v>2011</v>
      </c>
    </row>
    <row r="1151" spans="1:24" ht="12" customHeight="1">
      <c r="A1151" s="4">
        <v>3425</v>
      </c>
      <c r="B1151" s="4">
        <v>24450</v>
      </c>
      <c r="C1151" s="5">
        <f t="shared" ref="C1151:C1153" si="559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  <c r="V1151">
        <f t="shared" si="535"/>
        <v>11</v>
      </c>
      <c r="W1151">
        <f t="shared" si="532"/>
        <v>7</v>
      </c>
      <c r="X1151">
        <f t="shared" si="533"/>
        <v>2012</v>
      </c>
    </row>
    <row r="1152" spans="1:24" ht="12" customHeight="1">
      <c r="A1152" s="4">
        <v>3426</v>
      </c>
      <c r="B1152" s="4">
        <v>24450</v>
      </c>
      <c r="C1152" s="5">
        <f t="shared" si="559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  <c r="V1152">
        <f t="shared" si="535"/>
        <v>12</v>
      </c>
      <c r="W1152">
        <f t="shared" si="532"/>
        <v>7</v>
      </c>
      <c r="X1152">
        <f t="shared" si="533"/>
        <v>2012</v>
      </c>
    </row>
    <row r="1153" spans="1:24" ht="12" customHeight="1">
      <c r="A1153" s="4">
        <v>3427</v>
      </c>
      <c r="B1153" s="4">
        <v>24450</v>
      </c>
      <c r="C1153" s="5">
        <f t="shared" si="559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  <c r="V1153">
        <f t="shared" si="535"/>
        <v>11</v>
      </c>
      <c r="W1153">
        <f t="shared" si="532"/>
        <v>7</v>
      </c>
      <c r="X1153">
        <f t="shared" si="533"/>
        <v>2012</v>
      </c>
    </row>
    <row r="1154" spans="1:24" ht="12" customHeight="1">
      <c r="A1154" s="4">
        <v>3446</v>
      </c>
      <c r="B1154" s="4">
        <v>24580</v>
      </c>
      <c r="C1154" s="5">
        <f t="shared" ref="C1154:C1155" si="560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  <c r="V1154">
        <f t="shared" si="535"/>
        <v>24</v>
      </c>
      <c r="W1154">
        <f t="shared" si="532"/>
        <v>6</v>
      </c>
      <c r="X1154">
        <f t="shared" si="533"/>
        <v>2012</v>
      </c>
    </row>
    <row r="1155" spans="1:24" ht="12" customHeight="1">
      <c r="A1155" s="4">
        <v>3447</v>
      </c>
      <c r="B1155" s="4">
        <v>24580</v>
      </c>
      <c r="C1155" s="5">
        <f t="shared" si="560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61">C1155+2</f>
        <v>41085</v>
      </c>
      <c r="V1155">
        <f t="shared" si="535"/>
        <v>25</v>
      </c>
      <c r="W1155">
        <f t="shared" ref="W1155:W1218" si="562">MONTH(U1155)</f>
        <v>6</v>
      </c>
      <c r="X1155">
        <f t="shared" ref="X1155:X1218" si="563">YEAR(U1155)</f>
        <v>2012</v>
      </c>
    </row>
    <row r="1156" spans="1:24" ht="12" customHeight="1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61"/>
        <v>40377</v>
      </c>
      <c r="V1156">
        <f t="shared" ref="V1156:V1219" si="564">DAY(U1156)</f>
        <v>18</v>
      </c>
      <c r="W1156">
        <f t="shared" si="562"/>
        <v>7</v>
      </c>
      <c r="X1156">
        <f t="shared" si="563"/>
        <v>2010</v>
      </c>
    </row>
    <row r="1157" spans="1:24" ht="12" customHeight="1">
      <c r="A1157" s="4">
        <v>3498</v>
      </c>
      <c r="B1157" s="4">
        <v>24933</v>
      </c>
      <c r="C1157" s="5">
        <f t="shared" ref="C1157:C1158" si="565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61"/>
        <v>40022</v>
      </c>
      <c r="V1157">
        <f t="shared" si="564"/>
        <v>28</v>
      </c>
      <c r="W1157">
        <f t="shared" si="562"/>
        <v>7</v>
      </c>
      <c r="X1157">
        <f t="shared" si="563"/>
        <v>2009</v>
      </c>
    </row>
    <row r="1158" spans="1:24" ht="12" customHeight="1">
      <c r="A1158" s="4">
        <v>3499</v>
      </c>
      <c r="B1158" s="4">
        <v>24933</v>
      </c>
      <c r="C1158" s="5">
        <f t="shared" si="565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61"/>
        <v>40022</v>
      </c>
      <c r="V1158">
        <f t="shared" si="564"/>
        <v>28</v>
      </c>
      <c r="W1158">
        <f t="shared" si="562"/>
        <v>7</v>
      </c>
      <c r="X1158">
        <f t="shared" si="563"/>
        <v>2009</v>
      </c>
    </row>
    <row r="1159" spans="1:24" ht="12" customHeight="1">
      <c r="A1159" s="4">
        <v>3514</v>
      </c>
      <c r="B1159" s="4">
        <v>25031</v>
      </c>
      <c r="C1159" s="5">
        <f t="shared" ref="C1159:C1160" si="566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61"/>
        <v>40050</v>
      </c>
      <c r="V1159">
        <f t="shared" si="564"/>
        <v>25</v>
      </c>
      <c r="W1159">
        <f t="shared" si="562"/>
        <v>8</v>
      </c>
      <c r="X1159">
        <f t="shared" si="563"/>
        <v>2009</v>
      </c>
    </row>
    <row r="1160" spans="1:24" ht="12" customHeight="1">
      <c r="A1160" s="4">
        <v>3515</v>
      </c>
      <c r="B1160" s="4">
        <v>25031</v>
      </c>
      <c r="C1160" s="5">
        <f t="shared" si="566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  <c r="V1160">
        <f t="shared" si="564"/>
        <v>24</v>
      </c>
      <c r="W1160">
        <f t="shared" si="562"/>
        <v>8</v>
      </c>
      <c r="X1160">
        <f t="shared" si="563"/>
        <v>2009</v>
      </c>
    </row>
    <row r="1161" spans="1:24" ht="12" customHeight="1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  <c r="V1161">
        <f t="shared" si="564"/>
        <v>6</v>
      </c>
      <c r="W1161">
        <f t="shared" si="562"/>
        <v>8</v>
      </c>
      <c r="X1161">
        <f t="shared" si="563"/>
        <v>2011</v>
      </c>
    </row>
    <row r="1162" spans="1:24" ht="12" customHeight="1">
      <c r="A1162" s="4">
        <v>3593</v>
      </c>
      <c r="B1162" s="4">
        <v>25635</v>
      </c>
      <c r="C1162" s="5">
        <f t="shared" ref="C1162:C1163" si="567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68">C1162+1</f>
        <v>41059</v>
      </c>
      <c r="V1162">
        <f t="shared" si="564"/>
        <v>30</v>
      </c>
      <c r="W1162">
        <f t="shared" si="562"/>
        <v>5</v>
      </c>
      <c r="X1162">
        <f t="shared" si="563"/>
        <v>2012</v>
      </c>
    </row>
    <row r="1163" spans="1:24" ht="12" customHeight="1">
      <c r="A1163" s="4">
        <v>3594</v>
      </c>
      <c r="B1163" s="4">
        <v>25635</v>
      </c>
      <c r="C1163" s="5">
        <f t="shared" si="567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68"/>
        <v>41059</v>
      </c>
      <c r="V1163">
        <f t="shared" si="564"/>
        <v>30</v>
      </c>
      <c r="W1163">
        <f t="shared" si="562"/>
        <v>5</v>
      </c>
      <c r="X1163">
        <f t="shared" si="563"/>
        <v>2012</v>
      </c>
    </row>
    <row r="1164" spans="1:24" ht="12" customHeight="1">
      <c r="A1164" s="4">
        <v>3618</v>
      </c>
      <c r="B1164" s="4">
        <v>25830</v>
      </c>
      <c r="C1164" s="5">
        <f t="shared" ref="C1164:C1165" si="569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  <c r="V1164">
        <f t="shared" si="564"/>
        <v>6</v>
      </c>
      <c r="W1164">
        <f t="shared" si="562"/>
        <v>5</v>
      </c>
      <c r="X1164">
        <f t="shared" si="563"/>
        <v>2010</v>
      </c>
    </row>
    <row r="1165" spans="1:24" ht="12" customHeight="1">
      <c r="A1165" s="4">
        <v>3619</v>
      </c>
      <c r="B1165" s="4">
        <v>25830</v>
      </c>
      <c r="C1165" s="5">
        <f t="shared" si="569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  <c r="V1165">
        <f t="shared" si="564"/>
        <v>11</v>
      </c>
      <c r="W1165">
        <f t="shared" si="562"/>
        <v>5</v>
      </c>
      <c r="X1165">
        <f t="shared" si="563"/>
        <v>2010</v>
      </c>
    </row>
    <row r="1166" spans="1:24" ht="12" customHeight="1">
      <c r="A1166" s="4">
        <v>3684</v>
      </c>
      <c r="B1166" s="4">
        <v>26342</v>
      </c>
      <c r="C1166" s="5">
        <f t="shared" ref="C1166:C1168" si="570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  <c r="V1166">
        <f t="shared" si="564"/>
        <v>27</v>
      </c>
      <c r="W1166">
        <f t="shared" si="562"/>
        <v>10</v>
      </c>
      <c r="X1166">
        <f t="shared" si="563"/>
        <v>2009</v>
      </c>
    </row>
    <row r="1167" spans="1:24" ht="12" customHeight="1">
      <c r="A1167" s="4">
        <v>3685</v>
      </c>
      <c r="B1167" s="4">
        <v>26342</v>
      </c>
      <c r="C1167" s="5">
        <f t="shared" si="570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  <c r="V1167">
        <f t="shared" si="564"/>
        <v>23</v>
      </c>
      <c r="W1167">
        <f t="shared" si="562"/>
        <v>10</v>
      </c>
      <c r="X1167">
        <f t="shared" si="563"/>
        <v>2009</v>
      </c>
    </row>
    <row r="1168" spans="1:24" ht="12" customHeight="1">
      <c r="A1168" s="4">
        <v>3686</v>
      </c>
      <c r="B1168" s="4">
        <v>26342</v>
      </c>
      <c r="C1168" s="5">
        <f t="shared" si="570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  <c r="V1168">
        <f t="shared" si="564"/>
        <v>25</v>
      </c>
      <c r="W1168">
        <f t="shared" si="562"/>
        <v>10</v>
      </c>
      <c r="X1168">
        <f t="shared" si="563"/>
        <v>2009</v>
      </c>
    </row>
    <row r="1169" spans="1:24" ht="12" customHeight="1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  <c r="V1169">
        <f t="shared" si="564"/>
        <v>17</v>
      </c>
      <c r="W1169">
        <f t="shared" si="562"/>
        <v>7</v>
      </c>
      <c r="X1169">
        <f t="shared" si="563"/>
        <v>2010</v>
      </c>
    </row>
    <row r="1170" spans="1:24" ht="12" customHeight="1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  <c r="V1170">
        <f t="shared" si="564"/>
        <v>16</v>
      </c>
      <c r="W1170">
        <f t="shared" si="562"/>
        <v>7</v>
      </c>
      <c r="X1170">
        <f t="shared" si="563"/>
        <v>2009</v>
      </c>
    </row>
    <row r="1171" spans="1:24" ht="12" customHeight="1">
      <c r="A1171" s="4">
        <v>3743</v>
      </c>
      <c r="B1171" s="4">
        <v>26756</v>
      </c>
      <c r="C1171" s="5">
        <f t="shared" ref="C1171:C1173" si="571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  <c r="V1171">
        <f t="shared" si="564"/>
        <v>10</v>
      </c>
      <c r="W1171">
        <f t="shared" si="562"/>
        <v>5</v>
      </c>
      <c r="X1171">
        <f t="shared" si="563"/>
        <v>2012</v>
      </c>
    </row>
    <row r="1172" spans="1:24" ht="12" customHeight="1">
      <c r="A1172" s="4">
        <v>3744</v>
      </c>
      <c r="B1172" s="4">
        <v>26756</v>
      </c>
      <c r="C1172" s="5">
        <f t="shared" si="571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72">C1172+2</f>
        <v>41041</v>
      </c>
      <c r="V1172">
        <f t="shared" si="564"/>
        <v>12</v>
      </c>
      <c r="W1172">
        <f t="shared" si="562"/>
        <v>5</v>
      </c>
      <c r="X1172">
        <f t="shared" si="563"/>
        <v>2012</v>
      </c>
    </row>
    <row r="1173" spans="1:24" ht="12" customHeight="1">
      <c r="A1173" s="4">
        <v>3745</v>
      </c>
      <c r="B1173" s="4">
        <v>26756</v>
      </c>
      <c r="C1173" s="5">
        <f t="shared" si="571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72"/>
        <v>41041</v>
      </c>
      <c r="V1173">
        <f t="shared" si="564"/>
        <v>12</v>
      </c>
      <c r="W1173">
        <f t="shared" si="562"/>
        <v>5</v>
      </c>
      <c r="X1173">
        <f t="shared" si="563"/>
        <v>2012</v>
      </c>
    </row>
    <row r="1174" spans="1:24" ht="12" customHeight="1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72"/>
        <v>40750</v>
      </c>
      <c r="V1174">
        <f t="shared" si="564"/>
        <v>26</v>
      </c>
      <c r="W1174">
        <f t="shared" si="562"/>
        <v>7</v>
      </c>
      <c r="X1174">
        <f t="shared" si="563"/>
        <v>2011</v>
      </c>
    </row>
    <row r="1175" spans="1:24" ht="12" customHeight="1">
      <c r="A1175" s="4">
        <v>3787</v>
      </c>
      <c r="B1175" s="4">
        <v>26981</v>
      </c>
      <c r="C1175" s="5">
        <f t="shared" ref="C1175:C1176" si="573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  <c r="V1175">
        <f t="shared" si="564"/>
        <v>30</v>
      </c>
      <c r="W1175">
        <f t="shared" si="562"/>
        <v>8</v>
      </c>
      <c r="X1175">
        <f t="shared" si="563"/>
        <v>2012</v>
      </c>
    </row>
    <row r="1176" spans="1:24" ht="12" customHeight="1">
      <c r="A1176" s="4">
        <v>3788</v>
      </c>
      <c r="B1176" s="4">
        <v>26981</v>
      </c>
      <c r="C1176" s="5">
        <f t="shared" si="573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  <c r="V1176">
        <f t="shared" si="564"/>
        <v>31</v>
      </c>
      <c r="W1176">
        <f t="shared" si="562"/>
        <v>8</v>
      </c>
      <c r="X1176">
        <f t="shared" si="563"/>
        <v>2012</v>
      </c>
    </row>
    <row r="1177" spans="1:24" ht="12" customHeight="1">
      <c r="A1177" s="4">
        <v>3827</v>
      </c>
      <c r="B1177" s="4">
        <v>27298</v>
      </c>
      <c r="C1177" s="5">
        <f t="shared" ref="C1177:C1178" si="574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  <c r="V1177">
        <f t="shared" si="564"/>
        <v>23</v>
      </c>
      <c r="W1177">
        <f t="shared" si="562"/>
        <v>11</v>
      </c>
      <c r="X1177">
        <f t="shared" si="563"/>
        <v>2011</v>
      </c>
    </row>
    <row r="1178" spans="1:24" ht="12" customHeight="1">
      <c r="A1178" s="4">
        <v>3828</v>
      </c>
      <c r="B1178" s="4">
        <v>27298</v>
      </c>
      <c r="C1178" s="5">
        <f t="shared" si="574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  <c r="V1178">
        <f t="shared" si="564"/>
        <v>24</v>
      </c>
      <c r="W1178">
        <f t="shared" si="562"/>
        <v>11</v>
      </c>
      <c r="X1178">
        <f t="shared" si="563"/>
        <v>2011</v>
      </c>
    </row>
    <row r="1179" spans="1:24" ht="12" customHeight="1">
      <c r="A1179" s="4">
        <v>3834</v>
      </c>
      <c r="B1179" s="4">
        <v>27330</v>
      </c>
      <c r="C1179" s="5">
        <f t="shared" ref="C1179:C1180" si="575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  <c r="V1179">
        <f t="shared" si="564"/>
        <v>16</v>
      </c>
      <c r="W1179">
        <f t="shared" si="562"/>
        <v>9</v>
      </c>
      <c r="X1179">
        <f t="shared" si="563"/>
        <v>2009</v>
      </c>
    </row>
    <row r="1180" spans="1:24" ht="12" customHeight="1">
      <c r="A1180" s="4">
        <v>3835</v>
      </c>
      <c r="B1180" s="4">
        <v>27330</v>
      </c>
      <c r="C1180" s="5">
        <f t="shared" si="575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  <c r="V1180">
        <f t="shared" si="564"/>
        <v>25</v>
      </c>
      <c r="W1180">
        <f t="shared" si="562"/>
        <v>9</v>
      </c>
      <c r="X1180">
        <f t="shared" si="563"/>
        <v>2009</v>
      </c>
    </row>
    <row r="1181" spans="1:24" ht="12" customHeight="1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  <c r="V1181">
        <f t="shared" si="564"/>
        <v>17</v>
      </c>
      <c r="W1181">
        <f t="shared" si="562"/>
        <v>9</v>
      </c>
      <c r="X1181">
        <f t="shared" si="563"/>
        <v>2011</v>
      </c>
    </row>
    <row r="1182" spans="1:24" ht="12" customHeight="1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  <c r="V1182">
        <f t="shared" si="564"/>
        <v>22</v>
      </c>
      <c r="W1182">
        <f t="shared" si="562"/>
        <v>1</v>
      </c>
      <c r="X1182">
        <f t="shared" si="563"/>
        <v>2009</v>
      </c>
    </row>
    <row r="1183" spans="1:24" ht="12" customHeight="1">
      <c r="A1183" s="4">
        <v>3975</v>
      </c>
      <c r="B1183" s="4">
        <v>28389</v>
      </c>
      <c r="C1183" s="5">
        <f t="shared" ref="C1183:C1185" si="576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77">C1183+1</f>
        <v>40121</v>
      </c>
      <c r="V1183">
        <f t="shared" si="564"/>
        <v>4</v>
      </c>
      <c r="W1183">
        <f t="shared" si="562"/>
        <v>11</v>
      </c>
      <c r="X1183">
        <f t="shared" si="563"/>
        <v>2009</v>
      </c>
    </row>
    <row r="1184" spans="1:24" ht="12" customHeight="1">
      <c r="A1184" s="4">
        <v>3976</v>
      </c>
      <c r="B1184" s="4">
        <v>28389</v>
      </c>
      <c r="C1184" s="5">
        <f t="shared" si="576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77"/>
        <v>40121</v>
      </c>
      <c r="V1184">
        <f t="shared" si="564"/>
        <v>4</v>
      </c>
      <c r="W1184">
        <f t="shared" si="562"/>
        <v>11</v>
      </c>
      <c r="X1184">
        <f t="shared" si="563"/>
        <v>2009</v>
      </c>
    </row>
    <row r="1185" spans="1:24" ht="12" customHeight="1">
      <c r="A1185" s="4">
        <v>3977</v>
      </c>
      <c r="B1185" s="4">
        <v>28389</v>
      </c>
      <c r="C1185" s="5">
        <f t="shared" si="576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  <c r="V1185">
        <f t="shared" si="564"/>
        <v>5</v>
      </c>
      <c r="W1185">
        <f t="shared" si="562"/>
        <v>11</v>
      </c>
      <c r="X1185">
        <f t="shared" si="563"/>
        <v>2009</v>
      </c>
    </row>
    <row r="1186" spans="1:24" ht="12" customHeight="1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  <c r="V1186">
        <f t="shared" si="564"/>
        <v>28</v>
      </c>
      <c r="W1186">
        <f t="shared" si="562"/>
        <v>5</v>
      </c>
      <c r="X1186">
        <f t="shared" si="563"/>
        <v>2011</v>
      </c>
    </row>
    <row r="1187" spans="1:24" ht="12" customHeight="1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78">C1187+1</f>
        <v>41072</v>
      </c>
      <c r="V1187">
        <f t="shared" si="564"/>
        <v>12</v>
      </c>
      <c r="W1187">
        <f t="shared" si="562"/>
        <v>6</v>
      </c>
      <c r="X1187">
        <f t="shared" si="563"/>
        <v>2012</v>
      </c>
    </row>
    <row r="1188" spans="1:24" ht="12" customHeight="1">
      <c r="A1188" s="4">
        <v>4091</v>
      </c>
      <c r="B1188" s="4">
        <v>29185</v>
      </c>
      <c r="C1188" s="5">
        <f t="shared" ref="C1188:C1190" si="579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78"/>
        <v>40199</v>
      </c>
      <c r="V1188">
        <f t="shared" si="564"/>
        <v>21</v>
      </c>
      <c r="W1188">
        <f t="shared" si="562"/>
        <v>1</v>
      </c>
      <c r="X1188">
        <f t="shared" si="563"/>
        <v>2010</v>
      </c>
    </row>
    <row r="1189" spans="1:24" ht="12" customHeight="1">
      <c r="A1189" s="4">
        <v>4092</v>
      </c>
      <c r="B1189" s="4">
        <v>29185</v>
      </c>
      <c r="C1189" s="5">
        <f t="shared" si="579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80">C1189+2</f>
        <v>40200</v>
      </c>
      <c r="V1189">
        <f t="shared" si="564"/>
        <v>22</v>
      </c>
      <c r="W1189">
        <f t="shared" si="562"/>
        <v>1</v>
      </c>
      <c r="X1189">
        <f t="shared" si="563"/>
        <v>2010</v>
      </c>
    </row>
    <row r="1190" spans="1:24" ht="12" customHeight="1">
      <c r="A1190" s="4">
        <v>4093</v>
      </c>
      <c r="B1190" s="4">
        <v>29185</v>
      </c>
      <c r="C1190" s="5">
        <f t="shared" si="579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80"/>
        <v>40200</v>
      </c>
      <c r="V1190">
        <f t="shared" si="564"/>
        <v>22</v>
      </c>
      <c r="W1190">
        <f t="shared" si="562"/>
        <v>1</v>
      </c>
      <c r="X1190">
        <f t="shared" si="563"/>
        <v>2010</v>
      </c>
    </row>
    <row r="1191" spans="1:24" ht="12" customHeight="1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81">C1191+1</f>
        <v>40301</v>
      </c>
      <c r="V1191">
        <f t="shared" si="564"/>
        <v>3</v>
      </c>
      <c r="W1191">
        <f t="shared" si="562"/>
        <v>5</v>
      </c>
      <c r="X1191">
        <f t="shared" si="563"/>
        <v>2010</v>
      </c>
    </row>
    <row r="1192" spans="1:24" ht="12" customHeight="1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81"/>
        <v>41102</v>
      </c>
      <c r="V1192">
        <f t="shared" si="564"/>
        <v>12</v>
      </c>
      <c r="W1192">
        <f t="shared" si="562"/>
        <v>7</v>
      </c>
      <c r="X1192">
        <f t="shared" si="563"/>
        <v>2012</v>
      </c>
    </row>
    <row r="1193" spans="1:24" ht="12" customHeight="1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  <c r="V1193">
        <f t="shared" si="564"/>
        <v>3</v>
      </c>
      <c r="W1193">
        <f t="shared" si="562"/>
        <v>7</v>
      </c>
      <c r="X1193">
        <f t="shared" si="563"/>
        <v>2011</v>
      </c>
    </row>
    <row r="1194" spans="1:24" ht="12" customHeight="1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  <c r="V1194">
        <f t="shared" si="564"/>
        <v>19</v>
      </c>
      <c r="W1194">
        <f t="shared" si="562"/>
        <v>6</v>
      </c>
      <c r="X1194">
        <f t="shared" si="563"/>
        <v>2012</v>
      </c>
    </row>
    <row r="1195" spans="1:24" ht="12" customHeight="1">
      <c r="A1195" s="4">
        <v>4238</v>
      </c>
      <c r="B1195" s="4">
        <v>30149</v>
      </c>
      <c r="C1195" s="5">
        <f t="shared" ref="C1195:C1197" si="582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  <c r="V1195">
        <f t="shared" si="564"/>
        <v>13</v>
      </c>
      <c r="W1195">
        <f t="shared" si="562"/>
        <v>12</v>
      </c>
      <c r="X1195">
        <f t="shared" si="563"/>
        <v>2010</v>
      </c>
    </row>
    <row r="1196" spans="1:24" ht="12" customHeight="1">
      <c r="A1196" s="4">
        <v>4239</v>
      </c>
      <c r="B1196" s="4">
        <v>30149</v>
      </c>
      <c r="C1196" s="5">
        <f t="shared" si="582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  <c r="V1196">
        <f t="shared" si="564"/>
        <v>14</v>
      </c>
      <c r="W1196">
        <f t="shared" si="562"/>
        <v>12</v>
      </c>
      <c r="X1196">
        <f t="shared" si="563"/>
        <v>2010</v>
      </c>
    </row>
    <row r="1197" spans="1:24" ht="12" customHeight="1">
      <c r="A1197" s="4">
        <v>4240</v>
      </c>
      <c r="B1197" s="4">
        <v>30149</v>
      </c>
      <c r="C1197" s="5">
        <f t="shared" si="582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  <c r="V1197">
        <f t="shared" si="564"/>
        <v>15</v>
      </c>
      <c r="W1197">
        <f t="shared" si="562"/>
        <v>12</v>
      </c>
      <c r="X1197">
        <f t="shared" si="563"/>
        <v>2010</v>
      </c>
    </row>
    <row r="1198" spans="1:24" ht="12" customHeight="1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  <c r="V1198">
        <f t="shared" si="564"/>
        <v>28</v>
      </c>
      <c r="W1198">
        <f t="shared" si="562"/>
        <v>4</v>
      </c>
      <c r="X1198">
        <f t="shared" si="563"/>
        <v>2012</v>
      </c>
    </row>
    <row r="1199" spans="1:24" ht="12" customHeight="1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83">C1199+4</f>
        <v>40034</v>
      </c>
      <c r="V1199">
        <f t="shared" si="564"/>
        <v>9</v>
      </c>
      <c r="W1199">
        <f t="shared" si="562"/>
        <v>8</v>
      </c>
      <c r="X1199">
        <f t="shared" si="563"/>
        <v>2009</v>
      </c>
    </row>
    <row r="1200" spans="1:24" ht="12" customHeight="1">
      <c r="A1200" s="4">
        <v>4471</v>
      </c>
      <c r="B1200" s="4">
        <v>31872</v>
      </c>
      <c r="C1200" s="5">
        <f t="shared" ref="C1200:C1201" si="584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83"/>
        <v>40431</v>
      </c>
      <c r="V1200">
        <f t="shared" si="564"/>
        <v>10</v>
      </c>
      <c r="W1200">
        <f t="shared" si="562"/>
        <v>9</v>
      </c>
      <c r="X1200">
        <f t="shared" si="563"/>
        <v>2010</v>
      </c>
    </row>
    <row r="1201" spans="1:24" ht="12" customHeight="1">
      <c r="A1201" s="4">
        <v>4472</v>
      </c>
      <c r="B1201" s="4">
        <v>31872</v>
      </c>
      <c r="C1201" s="5">
        <f t="shared" si="584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83"/>
        <v>40431</v>
      </c>
      <c r="V1201">
        <f t="shared" si="564"/>
        <v>10</v>
      </c>
      <c r="W1201">
        <f t="shared" si="562"/>
        <v>9</v>
      </c>
      <c r="X1201">
        <f t="shared" si="563"/>
        <v>2010</v>
      </c>
    </row>
    <row r="1202" spans="1:24" ht="12" customHeight="1">
      <c r="A1202" s="4">
        <v>4477</v>
      </c>
      <c r="B1202" s="4">
        <v>31874</v>
      </c>
      <c r="C1202" s="5">
        <f t="shared" ref="C1202:C1203" si="585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86">C1202+0</f>
        <v>41167</v>
      </c>
      <c r="V1202">
        <f t="shared" si="564"/>
        <v>15</v>
      </c>
      <c r="W1202">
        <f t="shared" si="562"/>
        <v>9</v>
      </c>
      <c r="X1202">
        <f t="shared" si="563"/>
        <v>2012</v>
      </c>
    </row>
    <row r="1203" spans="1:24" ht="12" customHeight="1">
      <c r="A1203" s="4">
        <v>4478</v>
      </c>
      <c r="B1203" s="4">
        <v>31874</v>
      </c>
      <c r="C1203" s="5">
        <f t="shared" si="585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86"/>
        <v>41167</v>
      </c>
      <c r="V1203">
        <f t="shared" si="564"/>
        <v>15</v>
      </c>
      <c r="W1203">
        <f t="shared" si="562"/>
        <v>9</v>
      </c>
      <c r="X1203">
        <f t="shared" si="563"/>
        <v>2012</v>
      </c>
    </row>
    <row r="1204" spans="1:24" ht="12" customHeight="1">
      <c r="A1204" s="4">
        <v>4485</v>
      </c>
      <c r="B1204" s="4">
        <v>31938</v>
      </c>
      <c r="C1204" s="5">
        <f t="shared" ref="C1204:C1205" si="587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  <c r="V1204">
        <f t="shared" si="564"/>
        <v>28</v>
      </c>
      <c r="W1204">
        <f t="shared" si="562"/>
        <v>7</v>
      </c>
      <c r="X1204">
        <f t="shared" si="563"/>
        <v>2011</v>
      </c>
    </row>
    <row r="1205" spans="1:24" ht="12" customHeight="1">
      <c r="A1205" s="4">
        <v>4486</v>
      </c>
      <c r="B1205" s="4">
        <v>31938</v>
      </c>
      <c r="C1205" s="5">
        <f t="shared" si="587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  <c r="V1205">
        <f t="shared" si="564"/>
        <v>29</v>
      </c>
      <c r="W1205">
        <f t="shared" si="562"/>
        <v>7</v>
      </c>
      <c r="X1205">
        <f t="shared" si="563"/>
        <v>2011</v>
      </c>
    </row>
    <row r="1206" spans="1:24" ht="12" customHeight="1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  <c r="V1206">
        <f t="shared" si="564"/>
        <v>26</v>
      </c>
      <c r="W1206">
        <f t="shared" si="562"/>
        <v>6</v>
      </c>
      <c r="X1206">
        <f t="shared" si="563"/>
        <v>2009</v>
      </c>
    </row>
    <row r="1207" spans="1:24" ht="12" customHeight="1">
      <c r="A1207" s="4">
        <v>4580</v>
      </c>
      <c r="B1207" s="4">
        <v>32611</v>
      </c>
      <c r="C1207" s="5">
        <f t="shared" ref="C1207:C1210" si="588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  <c r="V1207">
        <f t="shared" si="564"/>
        <v>29</v>
      </c>
      <c r="W1207">
        <f t="shared" si="562"/>
        <v>8</v>
      </c>
      <c r="X1207">
        <f t="shared" si="563"/>
        <v>2009</v>
      </c>
    </row>
    <row r="1208" spans="1:24" ht="12" customHeight="1">
      <c r="A1208" s="4">
        <v>4581</v>
      </c>
      <c r="B1208" s="4">
        <v>32611</v>
      </c>
      <c r="C1208" s="5">
        <f t="shared" si="588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89">C1208+1</f>
        <v>40053</v>
      </c>
      <c r="V1208">
        <f t="shared" si="564"/>
        <v>28</v>
      </c>
      <c r="W1208">
        <f t="shared" si="562"/>
        <v>8</v>
      </c>
      <c r="X1208">
        <f t="shared" si="563"/>
        <v>2009</v>
      </c>
    </row>
    <row r="1209" spans="1:24" ht="12" customHeight="1">
      <c r="A1209" s="4">
        <v>4582</v>
      </c>
      <c r="B1209" s="4">
        <v>32611</v>
      </c>
      <c r="C1209" s="5">
        <f t="shared" si="588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89"/>
        <v>40053</v>
      </c>
      <c r="V1209">
        <f t="shared" si="564"/>
        <v>28</v>
      </c>
      <c r="W1209">
        <f t="shared" si="562"/>
        <v>8</v>
      </c>
      <c r="X1209">
        <f t="shared" si="563"/>
        <v>2009</v>
      </c>
    </row>
    <row r="1210" spans="1:24" ht="12" customHeight="1">
      <c r="A1210" s="4">
        <v>4583</v>
      </c>
      <c r="B1210" s="4">
        <v>32611</v>
      </c>
      <c r="C1210" s="5">
        <f t="shared" si="588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  <c r="V1210">
        <f t="shared" si="564"/>
        <v>27</v>
      </c>
      <c r="W1210">
        <f t="shared" si="562"/>
        <v>8</v>
      </c>
      <c r="X1210">
        <f t="shared" si="563"/>
        <v>2009</v>
      </c>
    </row>
    <row r="1211" spans="1:24" ht="12" customHeight="1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  <c r="V1211">
        <f t="shared" si="564"/>
        <v>11</v>
      </c>
      <c r="W1211">
        <f t="shared" si="562"/>
        <v>1</v>
      </c>
      <c r="X1211">
        <f t="shared" si="563"/>
        <v>2011</v>
      </c>
    </row>
    <row r="1212" spans="1:24" ht="12" customHeight="1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  <c r="V1212">
        <f t="shared" si="564"/>
        <v>2</v>
      </c>
      <c r="W1212">
        <f t="shared" si="562"/>
        <v>4</v>
      </c>
      <c r="X1212">
        <f t="shared" si="563"/>
        <v>2012</v>
      </c>
    </row>
    <row r="1213" spans="1:24" ht="12" customHeight="1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  <c r="V1213">
        <f t="shared" si="564"/>
        <v>25</v>
      </c>
      <c r="W1213">
        <f t="shared" si="562"/>
        <v>4</v>
      </c>
      <c r="X1213">
        <f t="shared" si="563"/>
        <v>2011</v>
      </c>
    </row>
    <row r="1214" spans="1:24" ht="12" customHeight="1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  <c r="V1214">
        <f t="shared" si="564"/>
        <v>29</v>
      </c>
      <c r="W1214">
        <f t="shared" si="562"/>
        <v>8</v>
      </c>
      <c r="X1214">
        <f t="shared" si="563"/>
        <v>2009</v>
      </c>
    </row>
    <row r="1215" spans="1:24" ht="12" customHeight="1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  <c r="V1215">
        <f t="shared" si="564"/>
        <v>7</v>
      </c>
      <c r="W1215">
        <f t="shared" si="562"/>
        <v>8</v>
      </c>
      <c r="X1215">
        <f t="shared" si="563"/>
        <v>2009</v>
      </c>
    </row>
    <row r="1216" spans="1:24" ht="12" customHeight="1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  <c r="V1216">
        <f t="shared" si="564"/>
        <v>9</v>
      </c>
      <c r="W1216">
        <f t="shared" si="562"/>
        <v>9</v>
      </c>
      <c r="X1216">
        <f t="shared" si="563"/>
        <v>2012</v>
      </c>
    </row>
    <row r="1217" spans="1:24" ht="12" customHeight="1">
      <c r="A1217" s="4">
        <v>5001</v>
      </c>
      <c r="B1217" s="4">
        <v>35649</v>
      </c>
      <c r="C1217" s="5">
        <f t="shared" ref="C1217:C1218" si="590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91">C1217+2</f>
        <v>40827</v>
      </c>
      <c r="V1217">
        <f t="shared" si="564"/>
        <v>11</v>
      </c>
      <c r="W1217">
        <f t="shared" si="562"/>
        <v>10</v>
      </c>
      <c r="X1217">
        <f t="shared" si="563"/>
        <v>2011</v>
      </c>
    </row>
    <row r="1218" spans="1:24" ht="12" customHeight="1">
      <c r="A1218" s="4">
        <v>5002</v>
      </c>
      <c r="B1218" s="4">
        <v>35649</v>
      </c>
      <c r="C1218" s="5">
        <f t="shared" si="590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91"/>
        <v>40827</v>
      </c>
      <c r="V1218">
        <f t="shared" si="564"/>
        <v>11</v>
      </c>
      <c r="W1218">
        <f t="shared" si="562"/>
        <v>10</v>
      </c>
      <c r="X1218">
        <f t="shared" si="563"/>
        <v>2011</v>
      </c>
    </row>
    <row r="1219" spans="1:24" ht="12" customHeight="1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  <c r="V1219">
        <f t="shared" si="564"/>
        <v>23</v>
      </c>
      <c r="W1219">
        <f t="shared" ref="W1219:W1282" si="592">MONTH(U1219)</f>
        <v>8</v>
      </c>
      <c r="X1219">
        <f t="shared" ref="X1219:X1282" si="593">YEAR(U1219)</f>
        <v>2010</v>
      </c>
    </row>
    <row r="1220" spans="1:24" ht="12" customHeight="1">
      <c r="A1220" s="4">
        <v>5171</v>
      </c>
      <c r="B1220" s="4">
        <v>36803</v>
      </c>
      <c r="C1220" s="5">
        <f t="shared" ref="C1220:C1222" si="594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95">C1220+2</f>
        <v>41127</v>
      </c>
      <c r="V1220">
        <f t="shared" ref="V1220:V1283" si="596">DAY(U1220)</f>
        <v>6</v>
      </c>
      <c r="W1220">
        <f t="shared" si="592"/>
        <v>8</v>
      </c>
      <c r="X1220">
        <f t="shared" si="593"/>
        <v>2012</v>
      </c>
    </row>
    <row r="1221" spans="1:24" ht="12" customHeight="1">
      <c r="A1221" s="4">
        <v>5172</v>
      </c>
      <c r="B1221" s="4">
        <v>36803</v>
      </c>
      <c r="C1221" s="5">
        <f t="shared" si="594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95"/>
        <v>41127</v>
      </c>
      <c r="V1221">
        <f t="shared" si="596"/>
        <v>6</v>
      </c>
      <c r="W1221">
        <f t="shared" si="592"/>
        <v>8</v>
      </c>
      <c r="X1221">
        <f t="shared" si="593"/>
        <v>2012</v>
      </c>
    </row>
    <row r="1222" spans="1:24" ht="12" customHeight="1">
      <c r="A1222" s="4">
        <v>5173</v>
      </c>
      <c r="B1222" s="4">
        <v>36803</v>
      </c>
      <c r="C1222" s="5">
        <f t="shared" si="594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95"/>
        <v>41127</v>
      </c>
      <c r="V1222">
        <f t="shared" si="596"/>
        <v>6</v>
      </c>
      <c r="W1222">
        <f t="shared" si="592"/>
        <v>8</v>
      </c>
      <c r="X1222">
        <f t="shared" si="593"/>
        <v>2012</v>
      </c>
    </row>
    <row r="1223" spans="1:24" ht="12" customHeight="1">
      <c r="A1223" s="4">
        <v>5174</v>
      </c>
      <c r="B1223" s="4">
        <v>36805</v>
      </c>
      <c r="C1223" s="5">
        <f t="shared" ref="C1223:C1224" si="59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95"/>
        <v>40528</v>
      </c>
      <c r="V1223">
        <f t="shared" si="596"/>
        <v>16</v>
      </c>
      <c r="W1223">
        <f t="shared" si="592"/>
        <v>12</v>
      </c>
      <c r="X1223">
        <f t="shared" si="593"/>
        <v>2010</v>
      </c>
    </row>
    <row r="1224" spans="1:24" ht="12" customHeight="1">
      <c r="A1224" s="4">
        <v>5175</v>
      </c>
      <c r="B1224" s="4">
        <v>36805</v>
      </c>
      <c r="C1224" s="5">
        <f t="shared" si="59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95"/>
        <v>40528</v>
      </c>
      <c r="V1224">
        <f t="shared" si="596"/>
        <v>16</v>
      </c>
      <c r="W1224">
        <f t="shared" si="592"/>
        <v>12</v>
      </c>
      <c r="X1224">
        <f t="shared" si="593"/>
        <v>2010</v>
      </c>
    </row>
    <row r="1225" spans="1:24" ht="12" customHeight="1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95"/>
        <v>40173</v>
      </c>
      <c r="V1225">
        <f t="shared" si="596"/>
        <v>26</v>
      </c>
      <c r="W1225">
        <f t="shared" si="592"/>
        <v>12</v>
      </c>
      <c r="X1225">
        <f t="shared" si="593"/>
        <v>2009</v>
      </c>
    </row>
    <row r="1226" spans="1:24" ht="12" customHeight="1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95"/>
        <v>40465</v>
      </c>
      <c r="V1226">
        <f t="shared" si="596"/>
        <v>14</v>
      </c>
      <c r="W1226">
        <f t="shared" si="592"/>
        <v>10</v>
      </c>
      <c r="X1226">
        <f t="shared" si="593"/>
        <v>2010</v>
      </c>
    </row>
    <row r="1227" spans="1:24" ht="12" customHeight="1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98">C1227+0</f>
        <v>39828</v>
      </c>
      <c r="V1227">
        <f t="shared" si="596"/>
        <v>15</v>
      </c>
      <c r="W1227">
        <f t="shared" si="592"/>
        <v>1</v>
      </c>
      <c r="X1227">
        <f t="shared" si="593"/>
        <v>2009</v>
      </c>
    </row>
    <row r="1228" spans="1:24" ht="12" customHeight="1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98"/>
        <v>40638</v>
      </c>
      <c r="V1228">
        <f t="shared" si="596"/>
        <v>5</v>
      </c>
      <c r="W1228">
        <f t="shared" si="592"/>
        <v>4</v>
      </c>
      <c r="X1228">
        <f t="shared" si="593"/>
        <v>2011</v>
      </c>
    </row>
    <row r="1229" spans="1:24" ht="12" customHeight="1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  <c r="V1229">
        <f t="shared" si="596"/>
        <v>24</v>
      </c>
      <c r="W1229">
        <f t="shared" si="592"/>
        <v>1</v>
      </c>
      <c r="X1229">
        <f t="shared" si="593"/>
        <v>2012</v>
      </c>
    </row>
    <row r="1230" spans="1:24" ht="12" customHeight="1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  <c r="V1230">
        <f t="shared" si="596"/>
        <v>26</v>
      </c>
      <c r="W1230">
        <f t="shared" si="592"/>
        <v>9</v>
      </c>
      <c r="X1230">
        <f t="shared" si="593"/>
        <v>2011</v>
      </c>
    </row>
    <row r="1231" spans="1:24" ht="12" customHeight="1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99">C1231+1</f>
        <v>40826</v>
      </c>
      <c r="V1231">
        <f t="shared" si="596"/>
        <v>10</v>
      </c>
      <c r="W1231">
        <f t="shared" si="592"/>
        <v>10</v>
      </c>
      <c r="X1231">
        <f t="shared" si="593"/>
        <v>2011</v>
      </c>
    </row>
    <row r="1232" spans="1:24" ht="12" customHeight="1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99"/>
        <v>40668</v>
      </c>
      <c r="V1232">
        <f t="shared" si="596"/>
        <v>5</v>
      </c>
      <c r="W1232">
        <f t="shared" si="592"/>
        <v>5</v>
      </c>
      <c r="X1232">
        <f t="shared" si="593"/>
        <v>2011</v>
      </c>
    </row>
    <row r="1233" spans="1:24" ht="12" customHeight="1">
      <c r="A1233" s="4">
        <v>5678</v>
      </c>
      <c r="B1233" s="4">
        <v>40134</v>
      </c>
      <c r="C1233" s="5">
        <f t="shared" ref="C1233:C1235" si="60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  <c r="V1233">
        <f t="shared" si="596"/>
        <v>16</v>
      </c>
      <c r="W1233">
        <f t="shared" si="592"/>
        <v>10</v>
      </c>
      <c r="X1233">
        <f t="shared" si="593"/>
        <v>2011</v>
      </c>
    </row>
    <row r="1234" spans="1:24" ht="12" customHeight="1">
      <c r="A1234" s="4">
        <v>5679</v>
      </c>
      <c r="B1234" s="4">
        <v>40134</v>
      </c>
      <c r="C1234" s="5">
        <f t="shared" si="60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  <c r="V1234">
        <f t="shared" si="596"/>
        <v>13</v>
      </c>
      <c r="W1234">
        <f t="shared" si="592"/>
        <v>10</v>
      </c>
      <c r="X1234">
        <f t="shared" si="593"/>
        <v>2011</v>
      </c>
    </row>
    <row r="1235" spans="1:24" ht="12" customHeight="1">
      <c r="A1235" s="4">
        <v>5680</v>
      </c>
      <c r="B1235" s="4">
        <v>40134</v>
      </c>
      <c r="C1235" s="5">
        <f t="shared" si="60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  <c r="V1235">
        <f t="shared" si="596"/>
        <v>14</v>
      </c>
      <c r="W1235">
        <f t="shared" si="592"/>
        <v>10</v>
      </c>
      <c r="X1235">
        <f t="shared" si="593"/>
        <v>2011</v>
      </c>
    </row>
    <row r="1236" spans="1:24" ht="12" customHeight="1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601">C1236+2</f>
        <v>40280</v>
      </c>
      <c r="V1236">
        <f t="shared" si="596"/>
        <v>12</v>
      </c>
      <c r="W1236">
        <f t="shared" si="592"/>
        <v>4</v>
      </c>
      <c r="X1236">
        <f t="shared" si="593"/>
        <v>2010</v>
      </c>
    </row>
    <row r="1237" spans="1:24" ht="12" customHeight="1">
      <c r="A1237" s="4">
        <v>5723</v>
      </c>
      <c r="B1237" s="4">
        <v>40608</v>
      </c>
      <c r="C1237" s="5">
        <f t="shared" ref="C1237:C1238" si="60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601"/>
        <v>41142</v>
      </c>
      <c r="V1237">
        <f t="shared" si="596"/>
        <v>21</v>
      </c>
      <c r="W1237">
        <f t="shared" si="592"/>
        <v>8</v>
      </c>
      <c r="X1237">
        <f t="shared" si="593"/>
        <v>2012</v>
      </c>
    </row>
    <row r="1238" spans="1:24" ht="12" customHeight="1">
      <c r="A1238" s="4">
        <v>5724</v>
      </c>
      <c r="B1238" s="4">
        <v>40608</v>
      </c>
      <c r="C1238" s="5">
        <f t="shared" si="60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  <c r="V1238">
        <f t="shared" si="596"/>
        <v>20</v>
      </c>
      <c r="W1238">
        <f t="shared" si="592"/>
        <v>8</v>
      </c>
      <c r="X1238">
        <f t="shared" si="593"/>
        <v>2012</v>
      </c>
    </row>
    <row r="1239" spans="1:24" ht="12" customHeight="1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  <c r="V1239">
        <f t="shared" si="596"/>
        <v>1</v>
      </c>
      <c r="W1239">
        <f t="shared" si="592"/>
        <v>7</v>
      </c>
      <c r="X1239">
        <f t="shared" si="593"/>
        <v>2012</v>
      </c>
    </row>
    <row r="1240" spans="1:24" ht="12" customHeight="1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603">C1240+1</f>
        <v>40138</v>
      </c>
      <c r="V1240">
        <f t="shared" si="596"/>
        <v>21</v>
      </c>
      <c r="W1240">
        <f t="shared" si="592"/>
        <v>11</v>
      </c>
      <c r="X1240">
        <f t="shared" si="593"/>
        <v>2009</v>
      </c>
    </row>
    <row r="1241" spans="1:24" ht="12" customHeight="1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603"/>
        <v>41169</v>
      </c>
      <c r="V1241">
        <f t="shared" si="596"/>
        <v>17</v>
      </c>
      <c r="W1241">
        <f t="shared" si="592"/>
        <v>9</v>
      </c>
      <c r="X1241">
        <f t="shared" si="593"/>
        <v>2012</v>
      </c>
    </row>
    <row r="1242" spans="1:24" ht="12" customHeight="1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604">C1242+2</f>
        <v>40075</v>
      </c>
      <c r="V1242">
        <f t="shared" si="596"/>
        <v>19</v>
      </c>
      <c r="W1242">
        <f t="shared" si="592"/>
        <v>9</v>
      </c>
      <c r="X1242">
        <f t="shared" si="593"/>
        <v>2009</v>
      </c>
    </row>
    <row r="1243" spans="1:24" ht="12" customHeight="1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604"/>
        <v>40382</v>
      </c>
      <c r="V1243">
        <f t="shared" si="596"/>
        <v>23</v>
      </c>
      <c r="W1243">
        <f t="shared" si="592"/>
        <v>7</v>
      </c>
      <c r="X1243">
        <f t="shared" si="593"/>
        <v>2010</v>
      </c>
    </row>
    <row r="1244" spans="1:24" ht="12" customHeight="1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  <c r="V1244">
        <f t="shared" si="596"/>
        <v>9</v>
      </c>
      <c r="W1244">
        <f t="shared" si="592"/>
        <v>11</v>
      </c>
      <c r="X1244">
        <f t="shared" si="593"/>
        <v>2010</v>
      </c>
    </row>
    <row r="1245" spans="1:24" ht="12" customHeight="1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605">C1245+2</f>
        <v>40555</v>
      </c>
      <c r="V1245">
        <f t="shared" si="596"/>
        <v>12</v>
      </c>
      <c r="W1245">
        <f t="shared" si="592"/>
        <v>1</v>
      </c>
      <c r="X1245">
        <f t="shared" si="593"/>
        <v>2011</v>
      </c>
    </row>
    <row r="1246" spans="1:24" ht="12" customHeight="1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605"/>
        <v>40538</v>
      </c>
      <c r="V1246">
        <f t="shared" si="596"/>
        <v>26</v>
      </c>
      <c r="W1246">
        <f t="shared" si="592"/>
        <v>12</v>
      </c>
      <c r="X1246">
        <f t="shared" si="593"/>
        <v>2010</v>
      </c>
    </row>
    <row r="1247" spans="1:24" ht="12" customHeight="1">
      <c r="A1247" s="4">
        <v>5942</v>
      </c>
      <c r="B1247" s="4">
        <v>42177</v>
      </c>
      <c r="C1247" s="5">
        <f t="shared" ref="C1247:C1248" si="60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  <c r="V1247">
        <f t="shared" si="596"/>
        <v>31</v>
      </c>
      <c r="W1247">
        <f t="shared" si="592"/>
        <v>5</v>
      </c>
      <c r="X1247">
        <f t="shared" si="593"/>
        <v>2012</v>
      </c>
    </row>
    <row r="1248" spans="1:24" ht="12" customHeight="1">
      <c r="A1248" s="4">
        <v>5943</v>
      </c>
      <c r="B1248" s="4">
        <v>42177</v>
      </c>
      <c r="C1248" s="5">
        <f t="shared" si="60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  <c r="V1248">
        <f t="shared" si="596"/>
        <v>2</v>
      </c>
      <c r="W1248">
        <f t="shared" si="592"/>
        <v>6</v>
      </c>
      <c r="X1248">
        <f t="shared" si="593"/>
        <v>2012</v>
      </c>
    </row>
    <row r="1249" spans="1:24" ht="12" customHeight="1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  <c r="V1249">
        <f t="shared" si="596"/>
        <v>12</v>
      </c>
      <c r="W1249">
        <f t="shared" si="592"/>
        <v>2</v>
      </c>
      <c r="X1249">
        <f t="shared" si="593"/>
        <v>2009</v>
      </c>
    </row>
    <row r="1250" spans="1:24" ht="12" customHeight="1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  <c r="V1250">
        <f t="shared" si="596"/>
        <v>5</v>
      </c>
      <c r="W1250">
        <f t="shared" si="592"/>
        <v>9</v>
      </c>
      <c r="X1250">
        <f t="shared" si="593"/>
        <v>2009</v>
      </c>
    </row>
    <row r="1251" spans="1:24" ht="12" customHeight="1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  <c r="V1251">
        <f t="shared" si="596"/>
        <v>28</v>
      </c>
      <c r="W1251">
        <f t="shared" si="592"/>
        <v>8</v>
      </c>
      <c r="X1251">
        <f t="shared" si="593"/>
        <v>2010</v>
      </c>
    </row>
    <row r="1252" spans="1:24" ht="12" customHeight="1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607">C1252+1</f>
        <v>40016</v>
      </c>
      <c r="V1252">
        <f t="shared" si="596"/>
        <v>22</v>
      </c>
      <c r="W1252">
        <f t="shared" si="592"/>
        <v>7</v>
      </c>
      <c r="X1252">
        <f t="shared" si="593"/>
        <v>2009</v>
      </c>
    </row>
    <row r="1253" spans="1:24" ht="12" customHeight="1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607"/>
        <v>40799</v>
      </c>
      <c r="V1253">
        <f t="shared" si="596"/>
        <v>13</v>
      </c>
      <c r="W1253">
        <f t="shared" si="592"/>
        <v>9</v>
      </c>
      <c r="X1253">
        <f t="shared" si="593"/>
        <v>2011</v>
      </c>
    </row>
    <row r="1254" spans="1:24" ht="12" customHeight="1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  <c r="V1254">
        <f t="shared" si="596"/>
        <v>20</v>
      </c>
      <c r="W1254">
        <f t="shared" si="592"/>
        <v>3</v>
      </c>
      <c r="X1254">
        <f t="shared" si="593"/>
        <v>2009</v>
      </c>
    </row>
    <row r="1255" spans="1:24" ht="12" customHeight="1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  <c r="V1255">
        <f t="shared" si="596"/>
        <v>31</v>
      </c>
      <c r="W1255">
        <f t="shared" si="592"/>
        <v>1</v>
      </c>
      <c r="X1255">
        <f t="shared" si="593"/>
        <v>2010</v>
      </c>
    </row>
    <row r="1256" spans="1:24" ht="12" customHeight="1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  <c r="V1256">
        <f t="shared" si="596"/>
        <v>13</v>
      </c>
      <c r="W1256">
        <f t="shared" si="592"/>
        <v>9</v>
      </c>
      <c r="X1256">
        <f t="shared" si="593"/>
        <v>2011</v>
      </c>
    </row>
    <row r="1257" spans="1:24" ht="12" customHeight="1">
      <c r="A1257" s="4">
        <v>6354</v>
      </c>
      <c r="B1257" s="4">
        <v>45059</v>
      </c>
      <c r="C1257" s="5">
        <f t="shared" ref="C1257:C1258" si="60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  <c r="V1257">
        <f t="shared" si="596"/>
        <v>4</v>
      </c>
      <c r="W1257">
        <f t="shared" si="592"/>
        <v>2</v>
      </c>
      <c r="X1257">
        <f t="shared" si="593"/>
        <v>2011</v>
      </c>
    </row>
    <row r="1258" spans="1:24" ht="12" customHeight="1">
      <c r="A1258" s="4">
        <v>6355</v>
      </c>
      <c r="B1258" s="4">
        <v>45059</v>
      </c>
      <c r="C1258" s="5">
        <f t="shared" si="60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  <c r="V1258">
        <f t="shared" si="596"/>
        <v>5</v>
      </c>
      <c r="W1258">
        <f t="shared" si="592"/>
        <v>2</v>
      </c>
      <c r="X1258">
        <f t="shared" si="593"/>
        <v>2011</v>
      </c>
    </row>
    <row r="1259" spans="1:24" ht="12" customHeight="1">
      <c r="A1259" s="4">
        <v>6362</v>
      </c>
      <c r="B1259" s="4">
        <v>45155</v>
      </c>
      <c r="C1259" s="5">
        <f t="shared" ref="C1259:C1260" si="60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  <c r="V1259">
        <f t="shared" si="596"/>
        <v>22</v>
      </c>
      <c r="W1259">
        <f t="shared" si="592"/>
        <v>2</v>
      </c>
      <c r="X1259">
        <f t="shared" si="593"/>
        <v>2011</v>
      </c>
    </row>
    <row r="1260" spans="1:24" ht="12" customHeight="1">
      <c r="A1260" s="4">
        <v>6363</v>
      </c>
      <c r="B1260" s="4">
        <v>45155</v>
      </c>
      <c r="C1260" s="5">
        <f t="shared" si="60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  <c r="V1260">
        <f t="shared" si="596"/>
        <v>15</v>
      </c>
      <c r="W1260">
        <f t="shared" si="592"/>
        <v>2</v>
      </c>
      <c r="X1260">
        <f t="shared" si="593"/>
        <v>2011</v>
      </c>
    </row>
    <row r="1261" spans="1:24" ht="12" customHeight="1">
      <c r="A1261" s="4">
        <v>6380</v>
      </c>
      <c r="B1261" s="4">
        <v>45317</v>
      </c>
      <c r="C1261" s="5">
        <f t="shared" ref="C1261:C1262" si="61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611">C1261+7</f>
        <v>40976</v>
      </c>
      <c r="V1261">
        <f t="shared" si="596"/>
        <v>8</v>
      </c>
      <c r="W1261">
        <f t="shared" si="592"/>
        <v>3</v>
      </c>
      <c r="X1261">
        <f t="shared" si="593"/>
        <v>2012</v>
      </c>
    </row>
    <row r="1262" spans="1:24" ht="12" customHeight="1">
      <c r="A1262" s="4">
        <v>6381</v>
      </c>
      <c r="B1262" s="4">
        <v>45317</v>
      </c>
      <c r="C1262" s="5">
        <f t="shared" si="61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611"/>
        <v>40976</v>
      </c>
      <c r="V1262">
        <f t="shared" si="596"/>
        <v>8</v>
      </c>
      <c r="W1262">
        <f t="shared" si="592"/>
        <v>3</v>
      </c>
      <c r="X1262">
        <f t="shared" si="593"/>
        <v>2012</v>
      </c>
    </row>
    <row r="1263" spans="1:24" ht="12" customHeight="1">
      <c r="A1263" s="4">
        <v>6432</v>
      </c>
      <c r="B1263" s="4">
        <v>45731</v>
      </c>
      <c r="C1263" s="5">
        <f t="shared" ref="C1263:C1264" si="61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  <c r="V1263">
        <f t="shared" si="596"/>
        <v>11</v>
      </c>
      <c r="W1263">
        <f t="shared" si="592"/>
        <v>8</v>
      </c>
      <c r="X1263">
        <f t="shared" si="593"/>
        <v>2009</v>
      </c>
    </row>
    <row r="1264" spans="1:24" ht="12" customHeight="1">
      <c r="A1264" s="4">
        <v>6433</v>
      </c>
      <c r="B1264" s="4">
        <v>45731</v>
      </c>
      <c r="C1264" s="5">
        <f t="shared" si="61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  <c r="V1264">
        <f t="shared" si="596"/>
        <v>12</v>
      </c>
      <c r="W1264">
        <f t="shared" si="592"/>
        <v>8</v>
      </c>
      <c r="X1264">
        <f t="shared" si="593"/>
        <v>2009</v>
      </c>
    </row>
    <row r="1265" spans="1:24" ht="12" customHeight="1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613">C1265+1</f>
        <v>40526</v>
      </c>
      <c r="V1265">
        <f t="shared" si="596"/>
        <v>14</v>
      </c>
      <c r="W1265">
        <f t="shared" si="592"/>
        <v>12</v>
      </c>
      <c r="X1265">
        <f t="shared" si="593"/>
        <v>2010</v>
      </c>
    </row>
    <row r="1266" spans="1:24" ht="12" customHeight="1">
      <c r="A1266" s="4">
        <v>6621</v>
      </c>
      <c r="B1266" s="4">
        <v>47108</v>
      </c>
      <c r="C1266" s="5">
        <f t="shared" ref="C1266:C1269" si="61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613"/>
        <v>40102</v>
      </c>
      <c r="V1266">
        <f t="shared" si="596"/>
        <v>16</v>
      </c>
      <c r="W1266">
        <f t="shared" si="592"/>
        <v>10</v>
      </c>
      <c r="X1266">
        <f t="shared" si="593"/>
        <v>2009</v>
      </c>
    </row>
    <row r="1267" spans="1:24" ht="12" customHeight="1">
      <c r="A1267" s="4">
        <v>6622</v>
      </c>
      <c r="B1267" s="4">
        <v>47108</v>
      </c>
      <c r="C1267" s="5">
        <f t="shared" si="61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  <c r="V1267">
        <f t="shared" si="596"/>
        <v>17</v>
      </c>
      <c r="W1267">
        <f t="shared" si="592"/>
        <v>10</v>
      </c>
      <c r="X1267">
        <f t="shared" si="593"/>
        <v>2009</v>
      </c>
    </row>
    <row r="1268" spans="1:24" ht="12" customHeight="1">
      <c r="A1268" s="4">
        <v>6623</v>
      </c>
      <c r="B1268" s="4">
        <v>47108</v>
      </c>
      <c r="C1268" s="5">
        <f t="shared" si="61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  <c r="V1268">
        <f t="shared" si="596"/>
        <v>18</v>
      </c>
      <c r="W1268">
        <f t="shared" si="592"/>
        <v>10</v>
      </c>
      <c r="X1268">
        <f t="shared" si="593"/>
        <v>2009</v>
      </c>
    </row>
    <row r="1269" spans="1:24" ht="12" customHeight="1">
      <c r="A1269" s="4">
        <v>6624</v>
      </c>
      <c r="B1269" s="4">
        <v>47108</v>
      </c>
      <c r="C1269" s="5">
        <f t="shared" si="61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  <c r="V1269">
        <f t="shared" si="596"/>
        <v>16</v>
      </c>
      <c r="W1269">
        <f t="shared" si="592"/>
        <v>10</v>
      </c>
      <c r="X1269">
        <f t="shared" si="593"/>
        <v>2009</v>
      </c>
    </row>
    <row r="1270" spans="1:24" ht="12" customHeight="1">
      <c r="A1270" s="4">
        <v>6676</v>
      </c>
      <c r="B1270" s="4">
        <v>47520</v>
      </c>
      <c r="C1270" s="5">
        <f t="shared" ref="C1270:C1272" si="61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616">C1270+2</f>
        <v>40095</v>
      </c>
      <c r="V1270">
        <f t="shared" si="596"/>
        <v>9</v>
      </c>
      <c r="W1270">
        <f t="shared" si="592"/>
        <v>10</v>
      </c>
      <c r="X1270">
        <f t="shared" si="593"/>
        <v>2009</v>
      </c>
    </row>
    <row r="1271" spans="1:24" ht="12" customHeight="1">
      <c r="A1271" s="4">
        <v>6677</v>
      </c>
      <c r="B1271" s="4">
        <v>47520</v>
      </c>
      <c r="C1271" s="5">
        <f t="shared" si="61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616"/>
        <v>40095</v>
      </c>
      <c r="V1271">
        <f t="shared" si="596"/>
        <v>9</v>
      </c>
      <c r="W1271">
        <f t="shared" si="592"/>
        <v>10</v>
      </c>
      <c r="X1271">
        <f t="shared" si="593"/>
        <v>2009</v>
      </c>
    </row>
    <row r="1272" spans="1:24" ht="12" customHeight="1">
      <c r="A1272" s="4">
        <v>6678</v>
      </c>
      <c r="B1272" s="4">
        <v>47520</v>
      </c>
      <c r="C1272" s="5">
        <f t="shared" si="61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616"/>
        <v>40095</v>
      </c>
      <c r="V1272">
        <f t="shared" si="596"/>
        <v>9</v>
      </c>
      <c r="W1272">
        <f t="shared" si="592"/>
        <v>10</v>
      </c>
      <c r="X1272">
        <f t="shared" si="593"/>
        <v>2009</v>
      </c>
    </row>
    <row r="1273" spans="1:24" ht="12" customHeight="1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  <c r="V1273">
        <f t="shared" si="596"/>
        <v>18</v>
      </c>
      <c r="W1273">
        <f t="shared" si="592"/>
        <v>9</v>
      </c>
      <c r="X1273">
        <f t="shared" si="593"/>
        <v>2010</v>
      </c>
    </row>
    <row r="1274" spans="1:24" ht="12" customHeight="1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617">C1274+0</f>
        <v>39997</v>
      </c>
      <c r="V1274">
        <f t="shared" si="596"/>
        <v>3</v>
      </c>
      <c r="W1274">
        <f t="shared" si="592"/>
        <v>7</v>
      </c>
      <c r="X1274">
        <f t="shared" si="593"/>
        <v>2009</v>
      </c>
    </row>
    <row r="1275" spans="1:24" ht="12" customHeight="1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617"/>
        <v>40344</v>
      </c>
      <c r="V1275">
        <f t="shared" si="596"/>
        <v>15</v>
      </c>
      <c r="W1275">
        <f t="shared" si="592"/>
        <v>6</v>
      </c>
      <c r="X1275">
        <f t="shared" si="593"/>
        <v>2010</v>
      </c>
    </row>
    <row r="1276" spans="1:24" ht="12" customHeight="1">
      <c r="A1276" s="4">
        <v>6797</v>
      </c>
      <c r="B1276" s="4">
        <v>48452</v>
      </c>
      <c r="C1276" s="5">
        <f t="shared" ref="C1276:C1280" si="61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  <c r="V1276">
        <f t="shared" si="596"/>
        <v>11</v>
      </c>
      <c r="W1276">
        <f t="shared" si="592"/>
        <v>10</v>
      </c>
      <c r="X1276">
        <f t="shared" si="593"/>
        <v>2010</v>
      </c>
    </row>
    <row r="1277" spans="1:24" ht="12" customHeight="1">
      <c r="A1277" s="4">
        <v>6798</v>
      </c>
      <c r="B1277" s="4">
        <v>48452</v>
      </c>
      <c r="C1277" s="5">
        <f t="shared" si="61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  <c r="V1277">
        <f t="shared" si="596"/>
        <v>9</v>
      </c>
      <c r="W1277">
        <f t="shared" si="592"/>
        <v>10</v>
      </c>
      <c r="X1277">
        <f t="shared" si="593"/>
        <v>2010</v>
      </c>
    </row>
    <row r="1278" spans="1:24" ht="12" customHeight="1">
      <c r="A1278" s="4">
        <v>6799</v>
      </c>
      <c r="B1278" s="4">
        <v>48452</v>
      </c>
      <c r="C1278" s="5">
        <f t="shared" si="61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  <c r="V1278">
        <f t="shared" si="596"/>
        <v>10</v>
      </c>
      <c r="W1278">
        <f t="shared" si="592"/>
        <v>10</v>
      </c>
      <c r="X1278">
        <f t="shared" si="593"/>
        <v>2010</v>
      </c>
    </row>
    <row r="1279" spans="1:24" ht="12" customHeight="1">
      <c r="A1279" s="4">
        <v>6800</v>
      </c>
      <c r="B1279" s="4">
        <v>48452</v>
      </c>
      <c r="C1279" s="5">
        <f t="shared" si="61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619">C1279+2</f>
        <v>40462</v>
      </c>
      <c r="V1279">
        <f t="shared" si="596"/>
        <v>11</v>
      </c>
      <c r="W1279">
        <f t="shared" si="592"/>
        <v>10</v>
      </c>
      <c r="X1279">
        <f t="shared" si="593"/>
        <v>2010</v>
      </c>
    </row>
    <row r="1280" spans="1:24" ht="12" customHeight="1">
      <c r="A1280" s="4">
        <v>6801</v>
      </c>
      <c r="B1280" s="4">
        <v>48452</v>
      </c>
      <c r="C1280" s="5">
        <f t="shared" si="61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619"/>
        <v>40462</v>
      </c>
      <c r="V1280">
        <f t="shared" si="596"/>
        <v>11</v>
      </c>
      <c r="W1280">
        <f t="shared" si="592"/>
        <v>10</v>
      </c>
      <c r="X1280">
        <f t="shared" si="593"/>
        <v>2010</v>
      </c>
    </row>
    <row r="1281" spans="1:24" ht="12" customHeight="1">
      <c r="A1281" s="4">
        <v>6885</v>
      </c>
      <c r="B1281" s="4">
        <v>49088</v>
      </c>
      <c r="C1281" s="5">
        <f t="shared" ref="C1281:C1283" si="62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621">C1281+1</f>
        <v>40080</v>
      </c>
      <c r="V1281">
        <f t="shared" si="596"/>
        <v>24</v>
      </c>
      <c r="W1281">
        <f t="shared" si="592"/>
        <v>9</v>
      </c>
      <c r="X1281">
        <f t="shared" si="593"/>
        <v>2009</v>
      </c>
    </row>
    <row r="1282" spans="1:24" ht="12" customHeight="1">
      <c r="A1282" s="4">
        <v>6886</v>
      </c>
      <c r="B1282" s="4">
        <v>49088</v>
      </c>
      <c r="C1282" s="5">
        <f t="shared" si="62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621"/>
        <v>40080</v>
      </c>
      <c r="V1282">
        <f t="shared" si="596"/>
        <v>24</v>
      </c>
      <c r="W1282">
        <f t="shared" si="592"/>
        <v>9</v>
      </c>
      <c r="X1282">
        <f t="shared" si="593"/>
        <v>2009</v>
      </c>
    </row>
    <row r="1283" spans="1:24" ht="12" customHeight="1">
      <c r="A1283" s="4">
        <v>6887</v>
      </c>
      <c r="B1283" s="4">
        <v>49088</v>
      </c>
      <c r="C1283" s="5">
        <f t="shared" si="62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  <c r="V1283">
        <f t="shared" si="596"/>
        <v>25</v>
      </c>
      <c r="W1283">
        <f t="shared" ref="W1283:W1346" si="622">MONTH(U1283)</f>
        <v>9</v>
      </c>
      <c r="X1283">
        <f t="shared" ref="X1283:X1346" si="623">YEAR(U1283)</f>
        <v>2009</v>
      </c>
    </row>
    <row r="1284" spans="1:24" ht="12" customHeight="1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  <c r="V1284">
        <f t="shared" ref="V1284:V1347" si="624">DAY(U1284)</f>
        <v>2</v>
      </c>
      <c r="W1284">
        <f t="shared" si="622"/>
        <v>10</v>
      </c>
      <c r="X1284">
        <f t="shared" si="623"/>
        <v>2011</v>
      </c>
    </row>
    <row r="1285" spans="1:24" ht="12" customHeight="1">
      <c r="A1285" s="4">
        <v>6947</v>
      </c>
      <c r="B1285" s="4">
        <v>49634</v>
      </c>
      <c r="C1285" s="5">
        <f t="shared" ref="C1285:C1286" si="625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  <c r="V1285">
        <f t="shared" si="624"/>
        <v>24</v>
      </c>
      <c r="W1285">
        <f t="shared" si="622"/>
        <v>3</v>
      </c>
      <c r="X1285">
        <f t="shared" si="623"/>
        <v>2012</v>
      </c>
    </row>
    <row r="1286" spans="1:24" ht="12" customHeight="1">
      <c r="A1286" s="4">
        <v>6948</v>
      </c>
      <c r="B1286" s="4">
        <v>49634</v>
      </c>
      <c r="C1286" s="5">
        <f t="shared" si="625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  <c r="V1286">
        <f t="shared" si="624"/>
        <v>25</v>
      </c>
      <c r="W1286">
        <f t="shared" si="622"/>
        <v>3</v>
      </c>
      <c r="X1286">
        <f t="shared" si="623"/>
        <v>2012</v>
      </c>
    </row>
    <row r="1287" spans="1:24" ht="12" customHeight="1">
      <c r="A1287" s="4">
        <v>6999</v>
      </c>
      <c r="B1287" s="4">
        <v>49987</v>
      </c>
      <c r="C1287" s="5">
        <f t="shared" ref="C1287:C1288" si="626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627">C1287+3</f>
        <v>40565</v>
      </c>
      <c r="V1287">
        <f t="shared" si="624"/>
        <v>22</v>
      </c>
      <c r="W1287">
        <f t="shared" si="622"/>
        <v>1</v>
      </c>
      <c r="X1287">
        <f t="shared" si="623"/>
        <v>2011</v>
      </c>
    </row>
    <row r="1288" spans="1:24" ht="12" customHeight="1">
      <c r="A1288" s="4">
        <v>7000</v>
      </c>
      <c r="B1288" s="4">
        <v>49987</v>
      </c>
      <c r="C1288" s="5">
        <f t="shared" si="626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627"/>
        <v>40565</v>
      </c>
      <c r="V1288">
        <f t="shared" si="624"/>
        <v>22</v>
      </c>
      <c r="W1288">
        <f t="shared" si="622"/>
        <v>1</v>
      </c>
      <c r="X1288">
        <f t="shared" si="623"/>
        <v>2011</v>
      </c>
    </row>
    <row r="1289" spans="1:24" ht="12" customHeight="1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  <c r="V1289">
        <f t="shared" si="624"/>
        <v>23</v>
      </c>
      <c r="W1289">
        <f t="shared" si="622"/>
        <v>1</v>
      </c>
      <c r="X1289">
        <f t="shared" si="623"/>
        <v>2011</v>
      </c>
    </row>
    <row r="1290" spans="1:24" ht="12" customHeight="1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628">C1290+2</f>
        <v>39897</v>
      </c>
      <c r="V1290">
        <f t="shared" si="624"/>
        <v>25</v>
      </c>
      <c r="W1290">
        <f t="shared" si="622"/>
        <v>3</v>
      </c>
      <c r="X1290">
        <f t="shared" si="623"/>
        <v>2009</v>
      </c>
    </row>
    <row r="1291" spans="1:24" ht="12" customHeight="1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628"/>
        <v>40552</v>
      </c>
      <c r="V1291">
        <f t="shared" si="624"/>
        <v>9</v>
      </c>
      <c r="W1291">
        <f t="shared" si="622"/>
        <v>1</v>
      </c>
      <c r="X1291">
        <f t="shared" si="623"/>
        <v>2011</v>
      </c>
    </row>
    <row r="1292" spans="1:24" ht="12" customHeight="1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628"/>
        <v>40718</v>
      </c>
      <c r="V1292">
        <f t="shared" si="624"/>
        <v>24</v>
      </c>
      <c r="W1292">
        <f t="shared" si="622"/>
        <v>6</v>
      </c>
      <c r="X1292">
        <f t="shared" si="623"/>
        <v>2011</v>
      </c>
    </row>
    <row r="1293" spans="1:24" ht="12" customHeight="1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628"/>
        <v>40760</v>
      </c>
      <c r="V1293">
        <f t="shared" si="624"/>
        <v>5</v>
      </c>
      <c r="W1293">
        <f t="shared" si="622"/>
        <v>8</v>
      </c>
      <c r="X1293">
        <f t="shared" si="623"/>
        <v>2011</v>
      </c>
    </row>
    <row r="1294" spans="1:24" ht="12" customHeight="1">
      <c r="A1294" s="4">
        <v>7221</v>
      </c>
      <c r="B1294" s="4">
        <v>51525</v>
      </c>
      <c r="C1294" s="5">
        <f t="shared" ref="C1294:C1295" si="629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628"/>
        <v>40856</v>
      </c>
      <c r="V1294">
        <f t="shared" si="624"/>
        <v>9</v>
      </c>
      <c r="W1294">
        <f t="shared" si="622"/>
        <v>11</v>
      </c>
      <c r="X1294">
        <f t="shared" si="623"/>
        <v>2011</v>
      </c>
    </row>
    <row r="1295" spans="1:24" ht="12" customHeight="1">
      <c r="A1295" s="4">
        <v>7222</v>
      </c>
      <c r="B1295" s="4">
        <v>51525</v>
      </c>
      <c r="C1295" s="5">
        <f t="shared" si="629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628"/>
        <v>40856</v>
      </c>
      <c r="V1295">
        <f t="shared" si="624"/>
        <v>9</v>
      </c>
      <c r="W1295">
        <f t="shared" si="622"/>
        <v>11</v>
      </c>
      <c r="X1295">
        <f t="shared" si="623"/>
        <v>2011</v>
      </c>
    </row>
    <row r="1296" spans="1:24" ht="12" customHeight="1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  <c r="V1296">
        <f t="shared" si="624"/>
        <v>2</v>
      </c>
      <c r="W1296">
        <f t="shared" si="622"/>
        <v>9</v>
      </c>
      <c r="X1296">
        <f t="shared" si="623"/>
        <v>2010</v>
      </c>
    </row>
    <row r="1297" spans="1:24" ht="12" customHeight="1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630">C1297+1</f>
        <v>40255</v>
      </c>
      <c r="V1297">
        <f t="shared" si="624"/>
        <v>18</v>
      </c>
      <c r="W1297">
        <f t="shared" si="622"/>
        <v>3</v>
      </c>
      <c r="X1297">
        <f t="shared" si="623"/>
        <v>2010</v>
      </c>
    </row>
    <row r="1298" spans="1:24" ht="12" customHeight="1">
      <c r="A1298" s="4">
        <v>7539</v>
      </c>
      <c r="B1298" s="4">
        <v>53894</v>
      </c>
      <c r="C1298" s="5">
        <f t="shared" ref="C1298:C1300" si="631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630"/>
        <v>40002</v>
      </c>
      <c r="V1298">
        <f t="shared" si="624"/>
        <v>8</v>
      </c>
      <c r="W1298">
        <f t="shared" si="622"/>
        <v>7</v>
      </c>
      <c r="X1298">
        <f t="shared" si="623"/>
        <v>2009</v>
      </c>
    </row>
    <row r="1299" spans="1:24" ht="12" customHeight="1">
      <c r="A1299" s="4">
        <v>7540</v>
      </c>
      <c r="B1299" s="4">
        <v>53894</v>
      </c>
      <c r="C1299" s="5">
        <f t="shared" si="631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630"/>
        <v>40002</v>
      </c>
      <c r="V1299">
        <f t="shared" si="624"/>
        <v>8</v>
      </c>
      <c r="W1299">
        <f t="shared" si="622"/>
        <v>7</v>
      </c>
      <c r="X1299">
        <f t="shared" si="623"/>
        <v>2009</v>
      </c>
    </row>
    <row r="1300" spans="1:24" ht="12" customHeight="1">
      <c r="A1300" s="4">
        <v>7541</v>
      </c>
      <c r="B1300" s="4">
        <v>53894</v>
      </c>
      <c r="C1300" s="5">
        <f t="shared" si="631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  <c r="V1300">
        <f t="shared" si="624"/>
        <v>7</v>
      </c>
      <c r="W1300">
        <f t="shared" si="622"/>
        <v>7</v>
      </c>
      <c r="X1300">
        <f t="shared" si="623"/>
        <v>2009</v>
      </c>
    </row>
    <row r="1301" spans="1:24" ht="12" customHeight="1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  <c r="V1301">
        <f t="shared" si="624"/>
        <v>28</v>
      </c>
      <c r="W1301">
        <f t="shared" si="622"/>
        <v>3</v>
      </c>
      <c r="X1301">
        <f t="shared" si="623"/>
        <v>2009</v>
      </c>
    </row>
    <row r="1302" spans="1:24" ht="12" customHeight="1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  <c r="V1302">
        <f t="shared" si="624"/>
        <v>19</v>
      </c>
      <c r="W1302">
        <f t="shared" si="622"/>
        <v>2</v>
      </c>
      <c r="X1302">
        <f t="shared" si="623"/>
        <v>2010</v>
      </c>
    </row>
    <row r="1303" spans="1:24" ht="12" customHeight="1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  <c r="V1303">
        <f t="shared" si="624"/>
        <v>4</v>
      </c>
      <c r="W1303">
        <f t="shared" si="622"/>
        <v>2</v>
      </c>
      <c r="X1303">
        <f t="shared" si="623"/>
        <v>2011</v>
      </c>
    </row>
    <row r="1304" spans="1:24" ht="12" customHeight="1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632">C1304+1</f>
        <v>40986</v>
      </c>
      <c r="V1304">
        <f t="shared" si="624"/>
        <v>18</v>
      </c>
      <c r="W1304">
        <f t="shared" si="622"/>
        <v>3</v>
      </c>
      <c r="X1304">
        <f t="shared" si="623"/>
        <v>2012</v>
      </c>
    </row>
    <row r="1305" spans="1:24" ht="12" customHeight="1">
      <c r="A1305" s="4">
        <v>7731</v>
      </c>
      <c r="B1305" s="4">
        <v>55367</v>
      </c>
      <c r="C1305" s="5">
        <f t="shared" ref="C1305:C1306" si="633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632"/>
        <v>39824</v>
      </c>
      <c r="V1305">
        <f t="shared" si="624"/>
        <v>11</v>
      </c>
      <c r="W1305">
        <f t="shared" si="622"/>
        <v>1</v>
      </c>
      <c r="X1305">
        <f t="shared" si="623"/>
        <v>2009</v>
      </c>
    </row>
    <row r="1306" spans="1:24" ht="12" customHeight="1">
      <c r="A1306" s="4">
        <v>7732</v>
      </c>
      <c r="B1306" s="4">
        <v>55367</v>
      </c>
      <c r="C1306" s="5">
        <f t="shared" si="633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634">C1306+2</f>
        <v>39825</v>
      </c>
      <c r="V1306">
        <f t="shared" si="624"/>
        <v>12</v>
      </c>
      <c r="W1306">
        <f t="shared" si="622"/>
        <v>1</v>
      </c>
      <c r="X1306">
        <f t="shared" si="623"/>
        <v>2009</v>
      </c>
    </row>
    <row r="1307" spans="1:24" ht="12" customHeight="1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634"/>
        <v>40286</v>
      </c>
      <c r="V1307">
        <f t="shared" si="624"/>
        <v>18</v>
      </c>
      <c r="W1307">
        <f t="shared" si="622"/>
        <v>4</v>
      </c>
      <c r="X1307">
        <f t="shared" si="623"/>
        <v>2010</v>
      </c>
    </row>
    <row r="1308" spans="1:24" ht="12" customHeight="1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  <c r="V1308">
        <f t="shared" si="624"/>
        <v>7</v>
      </c>
      <c r="W1308">
        <f t="shared" si="622"/>
        <v>3</v>
      </c>
      <c r="X1308">
        <f t="shared" si="623"/>
        <v>2010</v>
      </c>
    </row>
    <row r="1309" spans="1:24" ht="12" customHeight="1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  <c r="V1309">
        <f t="shared" si="624"/>
        <v>23</v>
      </c>
      <c r="W1309">
        <f t="shared" si="622"/>
        <v>10</v>
      </c>
      <c r="X1309">
        <f t="shared" si="623"/>
        <v>2012</v>
      </c>
    </row>
    <row r="1310" spans="1:24" ht="12" customHeight="1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  <c r="V1310">
        <f t="shared" si="624"/>
        <v>13</v>
      </c>
      <c r="W1310">
        <f t="shared" si="622"/>
        <v>9</v>
      </c>
      <c r="X1310">
        <f t="shared" si="623"/>
        <v>2009</v>
      </c>
    </row>
    <row r="1311" spans="1:24" ht="12" customHeight="1">
      <c r="A1311" s="4">
        <v>8020</v>
      </c>
      <c r="B1311" s="4">
        <v>57314</v>
      </c>
      <c r="C1311" s="5">
        <f t="shared" ref="C1311:C1312" si="635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  <c r="V1311">
        <f t="shared" si="624"/>
        <v>16</v>
      </c>
      <c r="W1311">
        <f t="shared" si="622"/>
        <v>10</v>
      </c>
      <c r="X1311">
        <f t="shared" si="623"/>
        <v>2010</v>
      </c>
    </row>
    <row r="1312" spans="1:24" ht="12" customHeight="1">
      <c r="A1312" s="4">
        <v>8021</v>
      </c>
      <c r="B1312" s="4">
        <v>57314</v>
      </c>
      <c r="C1312" s="5">
        <f t="shared" si="635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  <c r="V1312">
        <f t="shared" si="624"/>
        <v>19</v>
      </c>
      <c r="W1312">
        <f t="shared" si="622"/>
        <v>10</v>
      </c>
      <c r="X1312">
        <f t="shared" si="623"/>
        <v>2010</v>
      </c>
    </row>
    <row r="1313" spans="1:24" ht="12" customHeight="1">
      <c r="A1313" s="4">
        <v>8027</v>
      </c>
      <c r="B1313" s="4">
        <v>57376</v>
      </c>
      <c r="C1313" s="5">
        <f t="shared" ref="C1313:C1314" si="636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  <c r="V1313">
        <f t="shared" si="624"/>
        <v>21</v>
      </c>
      <c r="W1313">
        <f t="shared" si="622"/>
        <v>6</v>
      </c>
      <c r="X1313">
        <f t="shared" si="623"/>
        <v>2011</v>
      </c>
    </row>
    <row r="1314" spans="1:24" ht="12" customHeight="1">
      <c r="A1314" s="4">
        <v>8028</v>
      </c>
      <c r="B1314" s="4">
        <v>57376</v>
      </c>
      <c r="C1314" s="5">
        <f t="shared" si="636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  <c r="V1314">
        <f t="shared" si="624"/>
        <v>19</v>
      </c>
      <c r="W1314">
        <f t="shared" si="622"/>
        <v>6</v>
      </c>
      <c r="X1314">
        <f t="shared" si="623"/>
        <v>2011</v>
      </c>
    </row>
    <row r="1315" spans="1:24" ht="12" customHeight="1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  <c r="V1315">
        <f t="shared" si="624"/>
        <v>8</v>
      </c>
      <c r="W1315">
        <f t="shared" si="622"/>
        <v>11</v>
      </c>
      <c r="X1315">
        <f t="shared" si="623"/>
        <v>2012</v>
      </c>
    </row>
    <row r="1316" spans="1:24" ht="12" customHeight="1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  <c r="V1316">
        <f t="shared" si="624"/>
        <v>12</v>
      </c>
      <c r="W1316">
        <f t="shared" si="622"/>
        <v>11</v>
      </c>
      <c r="X1316">
        <f t="shared" si="623"/>
        <v>2011</v>
      </c>
    </row>
    <row r="1317" spans="1:24" ht="12" customHeight="1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  <c r="V1317">
        <f t="shared" si="624"/>
        <v>9</v>
      </c>
      <c r="W1317">
        <f t="shared" si="622"/>
        <v>5</v>
      </c>
      <c r="X1317">
        <f t="shared" si="623"/>
        <v>2011</v>
      </c>
    </row>
    <row r="1318" spans="1:24" ht="12" customHeight="1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  <c r="V1318">
        <f t="shared" si="624"/>
        <v>9</v>
      </c>
      <c r="W1318">
        <f t="shared" si="622"/>
        <v>9</v>
      </c>
      <c r="X1318">
        <f t="shared" si="623"/>
        <v>2011</v>
      </c>
    </row>
    <row r="1319" spans="1:24" ht="12" customHeight="1">
      <c r="A1319" s="4">
        <v>8238</v>
      </c>
      <c r="B1319" s="4">
        <v>58884</v>
      </c>
      <c r="C1319" s="5">
        <f t="shared" ref="C1319:C1320" si="637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638">C1319+5</f>
        <v>40628</v>
      </c>
      <c r="V1319">
        <f t="shared" si="624"/>
        <v>26</v>
      </c>
      <c r="W1319">
        <f t="shared" si="622"/>
        <v>3</v>
      </c>
      <c r="X1319">
        <f t="shared" si="623"/>
        <v>2011</v>
      </c>
    </row>
    <row r="1320" spans="1:24" ht="12" customHeight="1">
      <c r="A1320" s="4">
        <v>8239</v>
      </c>
      <c r="B1320" s="4">
        <v>58884</v>
      </c>
      <c r="C1320" s="5">
        <f t="shared" si="637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638"/>
        <v>40628</v>
      </c>
      <c r="V1320">
        <f t="shared" si="624"/>
        <v>26</v>
      </c>
      <c r="W1320">
        <f t="shared" si="622"/>
        <v>3</v>
      </c>
      <c r="X1320">
        <f t="shared" si="623"/>
        <v>2011</v>
      </c>
    </row>
    <row r="1321" spans="1:24" ht="12" customHeight="1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  <c r="V1321">
        <f t="shared" si="624"/>
        <v>13</v>
      </c>
      <c r="W1321">
        <f t="shared" si="622"/>
        <v>5</v>
      </c>
      <c r="X1321">
        <f t="shared" si="623"/>
        <v>2010</v>
      </c>
    </row>
    <row r="1322" spans="1:24" ht="12" customHeight="1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  <c r="V1322">
        <f t="shared" si="624"/>
        <v>13</v>
      </c>
      <c r="W1322">
        <f t="shared" si="622"/>
        <v>2</v>
      </c>
      <c r="X1322">
        <f t="shared" si="623"/>
        <v>2012</v>
      </c>
    </row>
    <row r="1323" spans="1:24" ht="12" customHeight="1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639">C1323+2</f>
        <v>40542</v>
      </c>
      <c r="V1323">
        <f t="shared" si="624"/>
        <v>30</v>
      </c>
      <c r="W1323">
        <f t="shared" si="622"/>
        <v>12</v>
      </c>
      <c r="X1323">
        <f t="shared" si="623"/>
        <v>2010</v>
      </c>
    </row>
    <row r="1324" spans="1:24" ht="12" customHeight="1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639"/>
        <v>40796</v>
      </c>
      <c r="V1324">
        <f t="shared" si="624"/>
        <v>10</v>
      </c>
      <c r="W1324">
        <f t="shared" si="622"/>
        <v>9</v>
      </c>
      <c r="X1324">
        <f t="shared" si="623"/>
        <v>2011</v>
      </c>
    </row>
    <row r="1325" spans="1:24" ht="12" customHeight="1">
      <c r="A1325" s="4">
        <v>193</v>
      </c>
      <c r="B1325" s="4">
        <v>1285</v>
      </c>
      <c r="C1325" s="5">
        <f t="shared" ref="C1325:C1326" si="640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  <c r="V1325">
        <f t="shared" si="624"/>
        <v>31</v>
      </c>
      <c r="W1325">
        <f t="shared" si="622"/>
        <v>5</v>
      </c>
      <c r="X1325">
        <f t="shared" si="623"/>
        <v>2012</v>
      </c>
    </row>
    <row r="1326" spans="1:24" ht="12" customHeight="1">
      <c r="A1326" s="4">
        <v>194</v>
      </c>
      <c r="B1326" s="4">
        <v>1285</v>
      </c>
      <c r="C1326" s="5">
        <f t="shared" si="640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  <c r="V1326">
        <f t="shared" si="624"/>
        <v>1</v>
      </c>
      <c r="W1326">
        <f t="shared" si="622"/>
        <v>6</v>
      </c>
      <c r="X1326">
        <f t="shared" si="623"/>
        <v>2012</v>
      </c>
    </row>
    <row r="1327" spans="1:24" ht="12" customHeight="1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641">C1327+2</f>
        <v>40070</v>
      </c>
      <c r="V1327">
        <f t="shared" si="624"/>
        <v>14</v>
      </c>
      <c r="W1327">
        <f t="shared" si="622"/>
        <v>9</v>
      </c>
      <c r="X1327">
        <f t="shared" si="623"/>
        <v>2009</v>
      </c>
    </row>
    <row r="1328" spans="1:24" ht="12" customHeight="1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641"/>
        <v>41079</v>
      </c>
      <c r="V1328">
        <f t="shared" si="624"/>
        <v>19</v>
      </c>
      <c r="W1328">
        <f t="shared" si="622"/>
        <v>6</v>
      </c>
      <c r="X1328">
        <f t="shared" si="623"/>
        <v>2012</v>
      </c>
    </row>
    <row r="1329" spans="1:24" ht="12" customHeight="1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  <c r="V1329">
        <f t="shared" si="624"/>
        <v>23</v>
      </c>
      <c r="W1329">
        <f t="shared" si="622"/>
        <v>3</v>
      </c>
      <c r="X1329">
        <f t="shared" si="623"/>
        <v>2011</v>
      </c>
    </row>
    <row r="1330" spans="1:24" ht="12" customHeight="1">
      <c r="A1330" s="4">
        <v>314</v>
      </c>
      <c r="B1330" s="4">
        <v>2208</v>
      </c>
      <c r="C1330" s="5">
        <f t="shared" ref="C1330:C1331" si="642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  <c r="V1330">
        <f t="shared" si="624"/>
        <v>2</v>
      </c>
      <c r="W1330">
        <f t="shared" si="622"/>
        <v>5</v>
      </c>
      <c r="X1330">
        <f t="shared" si="623"/>
        <v>2011</v>
      </c>
    </row>
    <row r="1331" spans="1:24" ht="12" customHeight="1">
      <c r="A1331" s="4">
        <v>315</v>
      </c>
      <c r="B1331" s="4">
        <v>2208</v>
      </c>
      <c r="C1331" s="5">
        <f t="shared" si="642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643">C1331+1</f>
        <v>40664</v>
      </c>
      <c r="V1331">
        <f t="shared" si="624"/>
        <v>1</v>
      </c>
      <c r="W1331">
        <f t="shared" si="622"/>
        <v>5</v>
      </c>
      <c r="X1331">
        <f t="shared" si="623"/>
        <v>2011</v>
      </c>
    </row>
    <row r="1332" spans="1:24" ht="12" customHeight="1">
      <c r="A1332" s="4">
        <v>382</v>
      </c>
      <c r="B1332" s="4">
        <v>2656</v>
      </c>
      <c r="C1332" s="5">
        <f t="shared" ref="C1332:C1333" si="644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643"/>
        <v>40302</v>
      </c>
      <c r="V1332">
        <f t="shared" si="624"/>
        <v>4</v>
      </c>
      <c r="W1332">
        <f t="shared" si="622"/>
        <v>5</v>
      </c>
      <c r="X1332">
        <f t="shared" si="623"/>
        <v>2010</v>
      </c>
    </row>
    <row r="1333" spans="1:24" ht="12" customHeight="1">
      <c r="A1333" s="4">
        <v>383</v>
      </c>
      <c r="B1333" s="4">
        <v>2656</v>
      </c>
      <c r="C1333" s="5">
        <f t="shared" si="644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  <c r="V1333">
        <f t="shared" si="624"/>
        <v>5</v>
      </c>
      <c r="W1333">
        <f t="shared" si="622"/>
        <v>5</v>
      </c>
      <c r="X1333">
        <f t="shared" si="623"/>
        <v>2010</v>
      </c>
    </row>
    <row r="1334" spans="1:24" ht="12" customHeight="1">
      <c r="A1334" s="4">
        <v>483</v>
      </c>
      <c r="B1334" s="4">
        <v>3361</v>
      </c>
      <c r="C1334" s="5">
        <f t="shared" ref="C1334:C1335" si="645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  <c r="V1334">
        <f t="shared" si="624"/>
        <v>22</v>
      </c>
      <c r="W1334">
        <f t="shared" si="622"/>
        <v>8</v>
      </c>
      <c r="X1334">
        <f t="shared" si="623"/>
        <v>2012</v>
      </c>
    </row>
    <row r="1335" spans="1:24" ht="12" customHeight="1">
      <c r="A1335" s="4">
        <v>484</v>
      </c>
      <c r="B1335" s="4">
        <v>3361</v>
      </c>
      <c r="C1335" s="5">
        <f t="shared" si="645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646">C1335+1</f>
        <v>41144</v>
      </c>
      <c r="V1335">
        <f t="shared" si="624"/>
        <v>23</v>
      </c>
      <c r="W1335">
        <f t="shared" si="622"/>
        <v>8</v>
      </c>
      <c r="X1335">
        <f t="shared" si="623"/>
        <v>2012</v>
      </c>
    </row>
    <row r="1336" spans="1:24" ht="12" customHeight="1">
      <c r="A1336" s="4">
        <v>488</v>
      </c>
      <c r="B1336" s="4">
        <v>3393</v>
      </c>
      <c r="C1336" s="5">
        <f t="shared" ref="C1336:C1337" si="647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646"/>
        <v>40728</v>
      </c>
      <c r="V1336">
        <f t="shared" si="624"/>
        <v>4</v>
      </c>
      <c r="W1336">
        <f t="shared" si="622"/>
        <v>7</v>
      </c>
      <c r="X1336">
        <f t="shared" si="623"/>
        <v>2011</v>
      </c>
    </row>
    <row r="1337" spans="1:24" ht="12" customHeight="1">
      <c r="A1337" s="4">
        <v>489</v>
      </c>
      <c r="B1337" s="4">
        <v>3393</v>
      </c>
      <c r="C1337" s="5">
        <f t="shared" si="647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  <c r="V1337">
        <f t="shared" si="624"/>
        <v>3</v>
      </c>
      <c r="W1337">
        <f t="shared" si="622"/>
        <v>7</v>
      </c>
      <c r="X1337">
        <f t="shared" si="623"/>
        <v>2011</v>
      </c>
    </row>
    <row r="1338" spans="1:24" ht="12" customHeight="1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648">C1338+1</f>
        <v>40232</v>
      </c>
      <c r="V1338">
        <f t="shared" si="624"/>
        <v>23</v>
      </c>
      <c r="W1338">
        <f t="shared" si="622"/>
        <v>2</v>
      </c>
      <c r="X1338">
        <f t="shared" si="623"/>
        <v>2010</v>
      </c>
    </row>
    <row r="1339" spans="1:24" ht="12" customHeight="1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648"/>
        <v>40878</v>
      </c>
      <c r="V1339">
        <f t="shared" si="624"/>
        <v>1</v>
      </c>
      <c r="W1339">
        <f t="shared" si="622"/>
        <v>12</v>
      </c>
      <c r="X1339">
        <f t="shared" si="623"/>
        <v>2011</v>
      </c>
    </row>
    <row r="1340" spans="1:24" ht="12" customHeight="1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  <c r="V1340">
        <f t="shared" si="624"/>
        <v>15</v>
      </c>
      <c r="W1340">
        <f t="shared" si="622"/>
        <v>8</v>
      </c>
      <c r="X1340">
        <f t="shared" si="623"/>
        <v>2010</v>
      </c>
    </row>
    <row r="1341" spans="1:24" ht="12" customHeight="1">
      <c r="A1341" s="4">
        <v>714</v>
      </c>
      <c r="B1341" s="4">
        <v>5092</v>
      </c>
      <c r="C1341" s="5">
        <f t="shared" ref="C1341:C1342" si="649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  <c r="V1341">
        <f t="shared" si="624"/>
        <v>29</v>
      </c>
      <c r="W1341">
        <f t="shared" si="622"/>
        <v>10</v>
      </c>
      <c r="X1341">
        <f t="shared" si="623"/>
        <v>2011</v>
      </c>
    </row>
    <row r="1342" spans="1:24" ht="12" customHeight="1">
      <c r="A1342" s="4">
        <v>715</v>
      </c>
      <c r="B1342" s="4">
        <v>5092</v>
      </c>
      <c r="C1342" s="5">
        <f t="shared" si="649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  <c r="V1342">
        <f t="shared" si="624"/>
        <v>3</v>
      </c>
      <c r="W1342">
        <f t="shared" si="622"/>
        <v>11</v>
      </c>
      <c r="X1342">
        <f t="shared" si="623"/>
        <v>2011</v>
      </c>
    </row>
    <row r="1343" spans="1:24" ht="12" customHeight="1">
      <c r="A1343" s="4">
        <v>773</v>
      </c>
      <c r="B1343" s="4">
        <v>5511</v>
      </c>
      <c r="C1343" s="5">
        <f t="shared" ref="C1343:C1344" si="650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651">C1343+1</f>
        <v>40146</v>
      </c>
      <c r="V1343">
        <f t="shared" si="624"/>
        <v>29</v>
      </c>
      <c r="W1343">
        <f t="shared" si="622"/>
        <v>11</v>
      </c>
      <c r="X1343">
        <f t="shared" si="623"/>
        <v>2009</v>
      </c>
    </row>
    <row r="1344" spans="1:24" ht="12" customHeight="1">
      <c r="A1344" s="4">
        <v>774</v>
      </c>
      <c r="B1344" s="4">
        <v>5511</v>
      </c>
      <c r="C1344" s="5">
        <f t="shared" si="650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651"/>
        <v>40146</v>
      </c>
      <c r="V1344">
        <f t="shared" si="624"/>
        <v>29</v>
      </c>
      <c r="W1344">
        <f t="shared" si="622"/>
        <v>11</v>
      </c>
      <c r="X1344">
        <f t="shared" si="623"/>
        <v>2009</v>
      </c>
    </row>
    <row r="1345" spans="1:24" ht="12" customHeight="1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  <c r="V1345">
        <f t="shared" si="624"/>
        <v>4</v>
      </c>
      <c r="W1345">
        <f t="shared" si="622"/>
        <v>8</v>
      </c>
      <c r="X1345">
        <f t="shared" si="623"/>
        <v>2011</v>
      </c>
    </row>
    <row r="1346" spans="1:24" ht="12" customHeight="1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  <c r="V1346">
        <f t="shared" si="624"/>
        <v>4</v>
      </c>
      <c r="W1346">
        <f t="shared" si="622"/>
        <v>11</v>
      </c>
      <c r="X1346">
        <f t="shared" si="623"/>
        <v>2012</v>
      </c>
    </row>
    <row r="1347" spans="1:24" ht="12" customHeight="1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  <c r="V1347">
        <f t="shared" si="624"/>
        <v>26</v>
      </c>
      <c r="W1347">
        <f t="shared" ref="W1347:W1410" si="652">MONTH(U1347)</f>
        <v>7</v>
      </c>
      <c r="X1347">
        <f t="shared" ref="X1347:X1410" si="653">YEAR(U1347)</f>
        <v>2011</v>
      </c>
    </row>
    <row r="1348" spans="1:24" ht="12" customHeight="1">
      <c r="A1348" s="4">
        <v>967</v>
      </c>
      <c r="B1348" s="4">
        <v>7015</v>
      </c>
      <c r="C1348" s="5">
        <f t="shared" ref="C1348:C1349" si="654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  <c r="V1348">
        <f t="shared" ref="V1348:V1411" si="655">DAY(U1348)</f>
        <v>14</v>
      </c>
      <c r="W1348">
        <f t="shared" si="652"/>
        <v>10</v>
      </c>
      <c r="X1348">
        <f t="shared" si="653"/>
        <v>2010</v>
      </c>
    </row>
    <row r="1349" spans="1:24" ht="12" customHeight="1">
      <c r="A1349" s="4">
        <v>968</v>
      </c>
      <c r="B1349" s="4">
        <v>7015</v>
      </c>
      <c r="C1349" s="5">
        <f t="shared" si="654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  <c r="V1349">
        <f t="shared" si="655"/>
        <v>13</v>
      </c>
      <c r="W1349">
        <f t="shared" si="652"/>
        <v>10</v>
      </c>
      <c r="X1349">
        <f t="shared" si="653"/>
        <v>2010</v>
      </c>
    </row>
    <row r="1350" spans="1:24" ht="12" customHeight="1">
      <c r="A1350" s="4">
        <v>982</v>
      </c>
      <c r="B1350" s="4">
        <v>7106</v>
      </c>
      <c r="C1350" s="5">
        <f t="shared" ref="C1350:C1352" si="656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657">C1350+2</f>
        <v>41041</v>
      </c>
      <c r="V1350">
        <f t="shared" si="655"/>
        <v>12</v>
      </c>
      <c r="W1350">
        <f t="shared" si="652"/>
        <v>5</v>
      </c>
      <c r="X1350">
        <f t="shared" si="653"/>
        <v>2012</v>
      </c>
    </row>
    <row r="1351" spans="1:24" ht="12" customHeight="1">
      <c r="A1351" s="4">
        <v>983</v>
      </c>
      <c r="B1351" s="4">
        <v>7106</v>
      </c>
      <c r="C1351" s="5">
        <f t="shared" si="656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657"/>
        <v>41041</v>
      </c>
      <c r="V1351">
        <f t="shared" si="655"/>
        <v>12</v>
      </c>
      <c r="W1351">
        <f t="shared" si="652"/>
        <v>5</v>
      </c>
      <c r="X1351">
        <f t="shared" si="653"/>
        <v>2012</v>
      </c>
    </row>
    <row r="1352" spans="1:24" ht="12" customHeight="1">
      <c r="A1352" s="4">
        <v>984</v>
      </c>
      <c r="B1352" s="4">
        <v>7106</v>
      </c>
      <c r="C1352" s="5">
        <f t="shared" si="656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657"/>
        <v>41041</v>
      </c>
      <c r="V1352">
        <f t="shared" si="655"/>
        <v>12</v>
      </c>
      <c r="W1352">
        <f t="shared" si="652"/>
        <v>5</v>
      </c>
      <c r="X1352">
        <f t="shared" si="653"/>
        <v>2012</v>
      </c>
    </row>
    <row r="1353" spans="1:24" ht="12" customHeight="1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658">C1353+0</f>
        <v>40950</v>
      </c>
      <c r="V1353">
        <f t="shared" si="655"/>
        <v>11</v>
      </c>
      <c r="W1353">
        <f t="shared" si="652"/>
        <v>2</v>
      </c>
      <c r="X1353">
        <f t="shared" si="653"/>
        <v>2012</v>
      </c>
    </row>
    <row r="1354" spans="1:24" ht="12" customHeight="1">
      <c r="A1354" s="4">
        <v>1127</v>
      </c>
      <c r="B1354" s="4">
        <v>8257</v>
      </c>
      <c r="C1354" s="5">
        <f t="shared" ref="C1354:C1356" si="659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658"/>
        <v>39894</v>
      </c>
      <c r="V1354">
        <f t="shared" si="655"/>
        <v>22</v>
      </c>
      <c r="W1354">
        <f t="shared" si="652"/>
        <v>3</v>
      </c>
      <c r="X1354">
        <f t="shared" si="653"/>
        <v>2009</v>
      </c>
    </row>
    <row r="1355" spans="1:24" ht="12" customHeight="1">
      <c r="A1355" s="4">
        <v>1128</v>
      </c>
      <c r="B1355" s="4">
        <v>8257</v>
      </c>
      <c r="C1355" s="5">
        <f t="shared" si="659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  <c r="V1355">
        <f t="shared" si="655"/>
        <v>26</v>
      </c>
      <c r="W1355">
        <f t="shared" si="652"/>
        <v>3</v>
      </c>
      <c r="X1355">
        <f t="shared" si="653"/>
        <v>2009</v>
      </c>
    </row>
    <row r="1356" spans="1:24" ht="12" customHeight="1">
      <c r="A1356" s="4">
        <v>1129</v>
      </c>
      <c r="B1356" s="4">
        <v>8257</v>
      </c>
      <c r="C1356" s="5">
        <f t="shared" si="659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  <c r="V1356">
        <f t="shared" si="655"/>
        <v>29</v>
      </c>
      <c r="W1356">
        <f t="shared" si="652"/>
        <v>3</v>
      </c>
      <c r="X1356">
        <f t="shared" si="653"/>
        <v>2009</v>
      </c>
    </row>
    <row r="1357" spans="1:24" ht="12" customHeight="1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660">C1357+0</f>
        <v>40838</v>
      </c>
      <c r="V1357">
        <f t="shared" si="655"/>
        <v>22</v>
      </c>
      <c r="W1357">
        <f t="shared" si="652"/>
        <v>10</v>
      </c>
      <c r="X1357">
        <f t="shared" si="653"/>
        <v>2011</v>
      </c>
    </row>
    <row r="1358" spans="1:24" ht="12" customHeight="1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660"/>
        <v>40121</v>
      </c>
      <c r="V1358">
        <f t="shared" si="655"/>
        <v>4</v>
      </c>
      <c r="W1358">
        <f t="shared" si="652"/>
        <v>11</v>
      </c>
      <c r="X1358">
        <f t="shared" si="653"/>
        <v>2009</v>
      </c>
    </row>
    <row r="1359" spans="1:24" ht="12" customHeight="1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  <c r="V1359">
        <f t="shared" si="655"/>
        <v>4</v>
      </c>
      <c r="W1359">
        <f t="shared" si="652"/>
        <v>1</v>
      </c>
      <c r="X1359">
        <f t="shared" si="653"/>
        <v>2009</v>
      </c>
    </row>
    <row r="1360" spans="1:24" ht="12" customHeight="1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  <c r="V1360">
        <f t="shared" si="655"/>
        <v>1</v>
      </c>
      <c r="W1360">
        <f t="shared" si="652"/>
        <v>11</v>
      </c>
      <c r="X1360">
        <f t="shared" si="653"/>
        <v>2012</v>
      </c>
    </row>
    <row r="1361" spans="1:24" ht="12" customHeight="1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  <c r="V1361">
        <f t="shared" si="655"/>
        <v>4</v>
      </c>
      <c r="W1361">
        <f t="shared" si="652"/>
        <v>4</v>
      </c>
      <c r="X1361">
        <f t="shared" si="653"/>
        <v>2011</v>
      </c>
    </row>
    <row r="1362" spans="1:24" ht="12" customHeight="1">
      <c r="A1362" s="4">
        <v>1364</v>
      </c>
      <c r="B1362" s="4">
        <v>9923</v>
      </c>
      <c r="C1362" s="5">
        <f t="shared" ref="C1362:C1363" si="661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  <c r="V1362">
        <f t="shared" si="655"/>
        <v>5</v>
      </c>
      <c r="W1362">
        <f t="shared" si="652"/>
        <v>10</v>
      </c>
      <c r="X1362">
        <f t="shared" si="653"/>
        <v>2009</v>
      </c>
    </row>
    <row r="1363" spans="1:24" ht="12" customHeight="1">
      <c r="A1363" s="4">
        <v>1365</v>
      </c>
      <c r="B1363" s="4">
        <v>9923</v>
      </c>
      <c r="C1363" s="5">
        <f t="shared" si="661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  <c r="V1363">
        <f t="shared" si="655"/>
        <v>6</v>
      </c>
      <c r="W1363">
        <f t="shared" si="652"/>
        <v>10</v>
      </c>
      <c r="X1363">
        <f t="shared" si="653"/>
        <v>2009</v>
      </c>
    </row>
    <row r="1364" spans="1:24" ht="12" customHeight="1">
      <c r="A1364" s="4">
        <v>1366</v>
      </c>
      <c r="B1364" s="4">
        <v>9925</v>
      </c>
      <c r="C1364" s="5">
        <f t="shared" ref="C1364:C1366" si="662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  <c r="V1364">
        <f t="shared" si="655"/>
        <v>2</v>
      </c>
      <c r="W1364">
        <f t="shared" si="652"/>
        <v>2</v>
      </c>
      <c r="X1364">
        <f t="shared" si="653"/>
        <v>2012</v>
      </c>
    </row>
    <row r="1365" spans="1:24" ht="12" customHeight="1">
      <c r="A1365" s="4">
        <v>1367</v>
      </c>
      <c r="B1365" s="4">
        <v>9925</v>
      </c>
      <c r="C1365" s="5">
        <f t="shared" si="662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663">C1365+2</f>
        <v>40940</v>
      </c>
      <c r="V1365">
        <f t="shared" si="655"/>
        <v>1</v>
      </c>
      <c r="W1365">
        <f t="shared" si="652"/>
        <v>2</v>
      </c>
      <c r="X1365">
        <f t="shared" si="653"/>
        <v>2012</v>
      </c>
    </row>
    <row r="1366" spans="1:24" ht="12" customHeight="1">
      <c r="A1366" s="4">
        <v>1368</v>
      </c>
      <c r="B1366" s="4">
        <v>9925</v>
      </c>
      <c r="C1366" s="5">
        <f t="shared" si="662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663"/>
        <v>40940</v>
      </c>
      <c r="V1366">
        <f t="shared" si="655"/>
        <v>1</v>
      </c>
      <c r="W1366">
        <f t="shared" si="652"/>
        <v>2</v>
      </c>
      <c r="X1366">
        <f t="shared" si="653"/>
        <v>2012</v>
      </c>
    </row>
    <row r="1367" spans="1:24" ht="12" customHeight="1">
      <c r="A1367" s="4">
        <v>1468</v>
      </c>
      <c r="B1367" s="4">
        <v>10593</v>
      </c>
      <c r="C1367" s="5">
        <f t="shared" ref="C1367:C1368" si="664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  <c r="V1367">
        <f t="shared" si="655"/>
        <v>13</v>
      </c>
      <c r="W1367">
        <f t="shared" si="652"/>
        <v>2</v>
      </c>
      <c r="X1367">
        <f t="shared" si="653"/>
        <v>2012</v>
      </c>
    </row>
    <row r="1368" spans="1:24" ht="12" customHeight="1">
      <c r="A1368" s="4">
        <v>1469</v>
      </c>
      <c r="B1368" s="4">
        <v>10593</v>
      </c>
      <c r="C1368" s="5">
        <f t="shared" si="664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  <c r="V1368">
        <f t="shared" si="655"/>
        <v>14</v>
      </c>
      <c r="W1368">
        <f t="shared" si="652"/>
        <v>2</v>
      </c>
      <c r="X1368">
        <f t="shared" si="653"/>
        <v>2012</v>
      </c>
    </row>
    <row r="1369" spans="1:24" ht="12" customHeight="1">
      <c r="A1369" s="4">
        <v>1660</v>
      </c>
      <c r="B1369" s="4">
        <v>11969</v>
      </c>
      <c r="C1369" s="5">
        <f t="shared" ref="C1369:C1371" si="665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  <c r="V1369">
        <f t="shared" si="655"/>
        <v>20</v>
      </c>
      <c r="W1369">
        <f t="shared" si="652"/>
        <v>1</v>
      </c>
      <c r="X1369">
        <f t="shared" si="653"/>
        <v>2012</v>
      </c>
    </row>
    <row r="1370" spans="1:24" ht="12" customHeight="1">
      <c r="A1370" s="4">
        <v>1661</v>
      </c>
      <c r="B1370" s="4">
        <v>11969</v>
      </c>
      <c r="C1370" s="5">
        <f t="shared" si="665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66">C1370+2</f>
        <v>40929</v>
      </c>
      <c r="V1370">
        <f t="shared" si="655"/>
        <v>21</v>
      </c>
      <c r="W1370">
        <f t="shared" si="652"/>
        <v>1</v>
      </c>
      <c r="X1370">
        <f t="shared" si="653"/>
        <v>2012</v>
      </c>
    </row>
    <row r="1371" spans="1:24" ht="12" customHeight="1">
      <c r="A1371" s="4">
        <v>1662</v>
      </c>
      <c r="B1371" s="4">
        <v>11969</v>
      </c>
      <c r="C1371" s="5">
        <f t="shared" si="665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66"/>
        <v>40929</v>
      </c>
      <c r="V1371">
        <f t="shared" si="655"/>
        <v>21</v>
      </c>
      <c r="W1371">
        <f t="shared" si="652"/>
        <v>1</v>
      </c>
      <c r="X1371">
        <f t="shared" si="653"/>
        <v>2012</v>
      </c>
    </row>
    <row r="1372" spans="1:24" ht="12" customHeight="1">
      <c r="A1372" s="4">
        <v>1694</v>
      </c>
      <c r="B1372" s="4">
        <v>12228</v>
      </c>
      <c r="C1372" s="5">
        <f t="shared" ref="C1372:C1373" si="667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  <c r="V1372">
        <f t="shared" si="655"/>
        <v>28</v>
      </c>
      <c r="W1372">
        <f t="shared" si="652"/>
        <v>6</v>
      </c>
      <c r="X1372">
        <f t="shared" si="653"/>
        <v>2009</v>
      </c>
    </row>
    <row r="1373" spans="1:24" ht="12" customHeight="1">
      <c r="A1373" s="4">
        <v>1695</v>
      </c>
      <c r="B1373" s="4">
        <v>12228</v>
      </c>
      <c r="C1373" s="5">
        <f t="shared" si="667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  <c r="V1373">
        <f t="shared" si="655"/>
        <v>25</v>
      </c>
      <c r="W1373">
        <f t="shared" si="652"/>
        <v>6</v>
      </c>
      <c r="X1373">
        <f t="shared" si="653"/>
        <v>2009</v>
      </c>
    </row>
    <row r="1374" spans="1:24" ht="12" customHeight="1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68">C1374+2</f>
        <v>40693</v>
      </c>
      <c r="V1374">
        <f t="shared" si="655"/>
        <v>30</v>
      </c>
      <c r="W1374">
        <f t="shared" si="652"/>
        <v>5</v>
      </c>
      <c r="X1374">
        <f t="shared" si="653"/>
        <v>2011</v>
      </c>
    </row>
    <row r="1375" spans="1:24" ht="12" customHeight="1">
      <c r="A1375" s="4">
        <v>1723</v>
      </c>
      <c r="B1375" s="4">
        <v>12389</v>
      </c>
      <c r="C1375" s="5">
        <f t="shared" ref="C1375:C1376" si="669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68"/>
        <v>40031</v>
      </c>
      <c r="V1375">
        <f t="shared" si="655"/>
        <v>6</v>
      </c>
      <c r="W1375">
        <f t="shared" si="652"/>
        <v>8</v>
      </c>
      <c r="X1375">
        <f t="shared" si="653"/>
        <v>2009</v>
      </c>
    </row>
    <row r="1376" spans="1:24" ht="12" customHeight="1">
      <c r="A1376" s="4">
        <v>1724</v>
      </c>
      <c r="B1376" s="4">
        <v>12389</v>
      </c>
      <c r="C1376" s="5">
        <f t="shared" si="669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  <c r="V1376">
        <f t="shared" si="655"/>
        <v>5</v>
      </c>
      <c r="W1376">
        <f t="shared" si="652"/>
        <v>8</v>
      </c>
      <c r="X1376">
        <f t="shared" si="653"/>
        <v>2009</v>
      </c>
    </row>
    <row r="1377" spans="1:24" ht="12" customHeight="1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  <c r="V1377">
        <f t="shared" si="655"/>
        <v>17</v>
      </c>
      <c r="W1377">
        <f t="shared" si="652"/>
        <v>8</v>
      </c>
      <c r="X1377">
        <f t="shared" si="653"/>
        <v>2010</v>
      </c>
    </row>
    <row r="1378" spans="1:24" ht="12" customHeight="1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  <c r="V1378">
        <f t="shared" si="655"/>
        <v>26</v>
      </c>
      <c r="W1378">
        <f t="shared" si="652"/>
        <v>1</v>
      </c>
      <c r="X1378">
        <f t="shared" si="653"/>
        <v>2009</v>
      </c>
    </row>
    <row r="1379" spans="1:24" ht="12" customHeight="1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  <c r="V1379">
        <f t="shared" si="655"/>
        <v>8</v>
      </c>
      <c r="W1379">
        <f t="shared" si="652"/>
        <v>3</v>
      </c>
      <c r="X1379">
        <f t="shared" si="653"/>
        <v>2011</v>
      </c>
    </row>
    <row r="1380" spans="1:24" ht="12" customHeight="1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  <c r="V1380">
        <f t="shared" si="655"/>
        <v>7</v>
      </c>
      <c r="W1380">
        <f t="shared" si="652"/>
        <v>2</v>
      </c>
      <c r="X1380">
        <f t="shared" si="653"/>
        <v>2010</v>
      </c>
    </row>
    <row r="1381" spans="1:24" ht="12" customHeight="1">
      <c r="A1381" s="4">
        <v>2021</v>
      </c>
      <c r="B1381" s="4">
        <v>14406</v>
      </c>
      <c r="C1381" s="5">
        <f t="shared" ref="C1381:C1383" si="670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71">C1381+2</f>
        <v>40247</v>
      </c>
      <c r="V1381">
        <f t="shared" si="655"/>
        <v>10</v>
      </c>
      <c r="W1381">
        <f t="shared" si="652"/>
        <v>3</v>
      </c>
      <c r="X1381">
        <f t="shared" si="653"/>
        <v>2010</v>
      </c>
    </row>
    <row r="1382" spans="1:24" ht="12" customHeight="1">
      <c r="A1382" s="4">
        <v>2022</v>
      </c>
      <c r="B1382" s="4">
        <v>14406</v>
      </c>
      <c r="C1382" s="5">
        <f t="shared" si="670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71"/>
        <v>40247</v>
      </c>
      <c r="V1382">
        <f t="shared" si="655"/>
        <v>10</v>
      </c>
      <c r="W1382">
        <f t="shared" si="652"/>
        <v>3</v>
      </c>
      <c r="X1382">
        <f t="shared" si="653"/>
        <v>2010</v>
      </c>
    </row>
    <row r="1383" spans="1:24" ht="12" customHeight="1">
      <c r="A1383" s="4">
        <v>2023</v>
      </c>
      <c r="B1383" s="4">
        <v>14406</v>
      </c>
      <c r="C1383" s="5">
        <f t="shared" si="670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71"/>
        <v>40247</v>
      </c>
      <c r="V1383">
        <f t="shared" si="655"/>
        <v>10</v>
      </c>
      <c r="W1383">
        <f t="shared" si="652"/>
        <v>3</v>
      </c>
      <c r="X1383">
        <f t="shared" si="653"/>
        <v>2010</v>
      </c>
    </row>
    <row r="1384" spans="1:24" ht="12" customHeight="1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71"/>
        <v>40488</v>
      </c>
      <c r="V1384">
        <f t="shared" si="655"/>
        <v>6</v>
      </c>
      <c r="W1384">
        <f t="shared" si="652"/>
        <v>11</v>
      </c>
      <c r="X1384">
        <f t="shared" si="653"/>
        <v>2010</v>
      </c>
    </row>
    <row r="1385" spans="1:24" ht="12" customHeight="1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71"/>
        <v>40083</v>
      </c>
      <c r="V1385">
        <f t="shared" si="655"/>
        <v>27</v>
      </c>
      <c r="W1385">
        <f t="shared" si="652"/>
        <v>9</v>
      </c>
      <c r="X1385">
        <f t="shared" si="653"/>
        <v>2009</v>
      </c>
    </row>
    <row r="1386" spans="1:24" ht="12" customHeight="1">
      <c r="A1386" s="4">
        <v>2304</v>
      </c>
      <c r="B1386" s="4">
        <v>16612</v>
      </c>
      <c r="C1386" s="5">
        <f t="shared" ref="C1386:C1387" si="672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  <c r="V1386">
        <f t="shared" si="655"/>
        <v>14</v>
      </c>
      <c r="W1386">
        <f t="shared" si="652"/>
        <v>2</v>
      </c>
      <c r="X1386">
        <f t="shared" si="653"/>
        <v>2009</v>
      </c>
    </row>
    <row r="1387" spans="1:24" ht="12" customHeight="1">
      <c r="A1387" s="4">
        <v>2305</v>
      </c>
      <c r="B1387" s="4">
        <v>16612</v>
      </c>
      <c r="C1387" s="5">
        <f t="shared" si="672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73">C1387+2</f>
        <v>39859</v>
      </c>
      <c r="V1387">
        <f t="shared" si="655"/>
        <v>15</v>
      </c>
      <c r="W1387">
        <f t="shared" si="652"/>
        <v>2</v>
      </c>
      <c r="X1387">
        <f t="shared" si="653"/>
        <v>2009</v>
      </c>
    </row>
    <row r="1388" spans="1:24" ht="12" customHeight="1">
      <c r="A1388" s="4">
        <v>2352</v>
      </c>
      <c r="B1388" s="4">
        <v>16967</v>
      </c>
      <c r="C1388" s="5">
        <f t="shared" ref="C1388:C1389" si="674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73"/>
        <v>40776</v>
      </c>
      <c r="V1388">
        <f t="shared" si="655"/>
        <v>21</v>
      </c>
      <c r="W1388">
        <f t="shared" si="652"/>
        <v>8</v>
      </c>
      <c r="X1388">
        <f t="shared" si="653"/>
        <v>2011</v>
      </c>
    </row>
    <row r="1389" spans="1:24" ht="12" customHeight="1">
      <c r="A1389" s="4">
        <v>2353</v>
      </c>
      <c r="B1389" s="4">
        <v>16967</v>
      </c>
      <c r="C1389" s="5">
        <f t="shared" si="674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75">C1389+0</f>
        <v>40774</v>
      </c>
      <c r="V1389">
        <f t="shared" si="655"/>
        <v>19</v>
      </c>
      <c r="W1389">
        <f t="shared" si="652"/>
        <v>8</v>
      </c>
      <c r="X1389">
        <f t="shared" si="653"/>
        <v>2011</v>
      </c>
    </row>
    <row r="1390" spans="1:24" ht="12" customHeight="1">
      <c r="A1390" s="4">
        <v>2540</v>
      </c>
      <c r="B1390" s="4">
        <v>18432</v>
      </c>
      <c r="C1390" s="5">
        <f t="shared" ref="C1390:C1393" si="676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75"/>
        <v>40614</v>
      </c>
      <c r="V1390">
        <f t="shared" si="655"/>
        <v>12</v>
      </c>
      <c r="W1390">
        <f t="shared" si="652"/>
        <v>3</v>
      </c>
      <c r="X1390">
        <f t="shared" si="653"/>
        <v>2011</v>
      </c>
    </row>
    <row r="1391" spans="1:24" ht="12" customHeight="1">
      <c r="A1391" s="4">
        <v>2541</v>
      </c>
      <c r="B1391" s="4">
        <v>18432</v>
      </c>
      <c r="C1391" s="5">
        <f t="shared" si="676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75"/>
        <v>40614</v>
      </c>
      <c r="V1391">
        <f t="shared" si="655"/>
        <v>12</v>
      </c>
      <c r="W1391">
        <f t="shared" si="652"/>
        <v>3</v>
      </c>
      <c r="X1391">
        <f t="shared" si="653"/>
        <v>2011</v>
      </c>
    </row>
    <row r="1392" spans="1:24" ht="12" customHeight="1">
      <c r="A1392" s="4">
        <v>2542</v>
      </c>
      <c r="B1392" s="4">
        <v>18432</v>
      </c>
      <c r="C1392" s="5">
        <f t="shared" si="676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77">C1392+2</f>
        <v>40616</v>
      </c>
      <c r="V1392">
        <f t="shared" si="655"/>
        <v>14</v>
      </c>
      <c r="W1392">
        <f t="shared" si="652"/>
        <v>3</v>
      </c>
      <c r="X1392">
        <f t="shared" si="653"/>
        <v>2011</v>
      </c>
    </row>
    <row r="1393" spans="1:24" ht="12" customHeight="1">
      <c r="A1393" s="4">
        <v>2543</v>
      </c>
      <c r="B1393" s="4">
        <v>18432</v>
      </c>
      <c r="C1393" s="5">
        <f t="shared" si="676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77"/>
        <v>40616</v>
      </c>
      <c r="V1393">
        <f t="shared" si="655"/>
        <v>14</v>
      </c>
      <c r="W1393">
        <f t="shared" si="652"/>
        <v>3</v>
      </c>
      <c r="X1393">
        <f t="shared" si="653"/>
        <v>2011</v>
      </c>
    </row>
    <row r="1394" spans="1:24" ht="12" customHeight="1">
      <c r="A1394" s="4">
        <v>2544</v>
      </c>
      <c r="B1394" s="4">
        <v>18464</v>
      </c>
      <c r="C1394" s="5">
        <f t="shared" ref="C1394:C1397" si="678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77"/>
        <v>40998</v>
      </c>
      <c r="V1394">
        <f t="shared" si="655"/>
        <v>30</v>
      </c>
      <c r="W1394">
        <f t="shared" si="652"/>
        <v>3</v>
      </c>
      <c r="X1394">
        <f t="shared" si="653"/>
        <v>2012</v>
      </c>
    </row>
    <row r="1395" spans="1:24" ht="12" customHeight="1">
      <c r="A1395" s="4">
        <v>2545</v>
      </c>
      <c r="B1395" s="4">
        <v>18464</v>
      </c>
      <c r="C1395" s="5">
        <f t="shared" si="678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  <c r="V1395">
        <f t="shared" si="655"/>
        <v>28</v>
      </c>
      <c r="W1395">
        <f t="shared" si="652"/>
        <v>3</v>
      </c>
      <c r="X1395">
        <f t="shared" si="653"/>
        <v>2012</v>
      </c>
    </row>
    <row r="1396" spans="1:24" ht="12" customHeight="1">
      <c r="A1396" s="4">
        <v>2546</v>
      </c>
      <c r="B1396" s="4">
        <v>18464</v>
      </c>
      <c r="C1396" s="5">
        <f t="shared" si="678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79">C1396+2</f>
        <v>40998</v>
      </c>
      <c r="V1396">
        <f t="shared" si="655"/>
        <v>30</v>
      </c>
      <c r="W1396">
        <f t="shared" si="652"/>
        <v>3</v>
      </c>
      <c r="X1396">
        <f t="shared" si="653"/>
        <v>2012</v>
      </c>
    </row>
    <row r="1397" spans="1:24" ht="12" customHeight="1">
      <c r="A1397" s="4">
        <v>2547</v>
      </c>
      <c r="B1397" s="4">
        <v>18464</v>
      </c>
      <c r="C1397" s="5">
        <f t="shared" si="678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79"/>
        <v>40998</v>
      </c>
      <c r="V1397">
        <f t="shared" si="655"/>
        <v>30</v>
      </c>
      <c r="W1397">
        <f t="shared" si="652"/>
        <v>3</v>
      </c>
      <c r="X1397">
        <f t="shared" si="653"/>
        <v>2012</v>
      </c>
    </row>
    <row r="1398" spans="1:24" ht="12" customHeight="1">
      <c r="A1398" s="4">
        <v>2594</v>
      </c>
      <c r="B1398" s="4">
        <v>18754</v>
      </c>
      <c r="C1398" s="5">
        <f t="shared" ref="C1398:C1399" si="680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79"/>
        <v>40083</v>
      </c>
      <c r="V1398">
        <f t="shared" si="655"/>
        <v>27</v>
      </c>
      <c r="W1398">
        <f t="shared" si="652"/>
        <v>9</v>
      </c>
      <c r="X1398">
        <f t="shared" si="653"/>
        <v>2009</v>
      </c>
    </row>
    <row r="1399" spans="1:24" ht="12" customHeight="1">
      <c r="A1399" s="4">
        <v>2595</v>
      </c>
      <c r="B1399" s="4">
        <v>18754</v>
      </c>
      <c r="C1399" s="5">
        <f t="shared" si="680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  <c r="V1399">
        <f t="shared" si="655"/>
        <v>26</v>
      </c>
      <c r="W1399">
        <f t="shared" si="652"/>
        <v>9</v>
      </c>
      <c r="X1399">
        <f t="shared" si="653"/>
        <v>2009</v>
      </c>
    </row>
    <row r="1400" spans="1:24" ht="12" customHeight="1">
      <c r="A1400" s="4">
        <v>2753</v>
      </c>
      <c r="B1400" s="4">
        <v>19905</v>
      </c>
      <c r="C1400" s="5">
        <f t="shared" ref="C1400:C1401" si="681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82">C1400+2</f>
        <v>41135</v>
      </c>
      <c r="V1400">
        <f t="shared" si="655"/>
        <v>14</v>
      </c>
      <c r="W1400">
        <f t="shared" si="652"/>
        <v>8</v>
      </c>
      <c r="X1400">
        <f t="shared" si="653"/>
        <v>2012</v>
      </c>
    </row>
    <row r="1401" spans="1:24" ht="12" customHeight="1">
      <c r="A1401" s="4">
        <v>2754</v>
      </c>
      <c r="B1401" s="4">
        <v>19905</v>
      </c>
      <c r="C1401" s="5">
        <f t="shared" si="681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82"/>
        <v>41135</v>
      </c>
      <c r="V1401">
        <f t="shared" si="655"/>
        <v>14</v>
      </c>
      <c r="W1401">
        <f t="shared" si="652"/>
        <v>8</v>
      </c>
      <c r="X1401">
        <f t="shared" si="653"/>
        <v>2012</v>
      </c>
    </row>
    <row r="1402" spans="1:24" ht="12" customHeight="1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  <c r="V1402">
        <f t="shared" si="655"/>
        <v>5</v>
      </c>
      <c r="W1402">
        <f t="shared" si="652"/>
        <v>2</v>
      </c>
      <c r="X1402">
        <f t="shared" si="653"/>
        <v>2012</v>
      </c>
    </row>
    <row r="1403" spans="1:24" ht="12" customHeight="1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  <c r="V1403">
        <f t="shared" si="655"/>
        <v>27</v>
      </c>
      <c r="W1403">
        <f t="shared" si="652"/>
        <v>2</v>
      </c>
      <c r="X1403">
        <f t="shared" si="653"/>
        <v>2010</v>
      </c>
    </row>
    <row r="1404" spans="1:24" ht="12" customHeight="1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83">C1404+1</f>
        <v>40358</v>
      </c>
      <c r="V1404">
        <f t="shared" si="655"/>
        <v>29</v>
      </c>
      <c r="W1404">
        <f t="shared" si="652"/>
        <v>6</v>
      </c>
      <c r="X1404">
        <f t="shared" si="653"/>
        <v>2010</v>
      </c>
    </row>
    <row r="1405" spans="1:24" ht="12" customHeight="1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83"/>
        <v>41049</v>
      </c>
      <c r="V1405">
        <f t="shared" si="655"/>
        <v>20</v>
      </c>
      <c r="W1405">
        <f t="shared" si="652"/>
        <v>5</v>
      </c>
      <c r="X1405">
        <f t="shared" si="653"/>
        <v>2012</v>
      </c>
    </row>
    <row r="1406" spans="1:24" ht="12" customHeight="1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84">C1406+2</f>
        <v>40559</v>
      </c>
      <c r="V1406">
        <f t="shared" si="655"/>
        <v>16</v>
      </c>
      <c r="W1406">
        <f t="shared" si="652"/>
        <v>1</v>
      </c>
      <c r="X1406">
        <f t="shared" si="653"/>
        <v>2011</v>
      </c>
    </row>
    <row r="1407" spans="1:24" ht="12" customHeight="1">
      <c r="A1407" s="4">
        <v>3027</v>
      </c>
      <c r="B1407" s="4">
        <v>21766</v>
      </c>
      <c r="C1407" s="5">
        <f t="shared" ref="C1407:C1408" si="685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84"/>
        <v>39967</v>
      </c>
      <c r="V1407">
        <f t="shared" si="655"/>
        <v>3</v>
      </c>
      <c r="W1407">
        <f t="shared" si="652"/>
        <v>6</v>
      </c>
      <c r="X1407">
        <f t="shared" si="653"/>
        <v>2009</v>
      </c>
    </row>
    <row r="1408" spans="1:24" ht="12" customHeight="1">
      <c r="A1408" s="4">
        <v>3028</v>
      </c>
      <c r="B1408" s="4">
        <v>21766</v>
      </c>
      <c r="C1408" s="5">
        <f t="shared" si="685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84"/>
        <v>39967</v>
      </c>
      <c r="V1408">
        <f t="shared" si="655"/>
        <v>3</v>
      </c>
      <c r="W1408">
        <f t="shared" si="652"/>
        <v>6</v>
      </c>
      <c r="X1408">
        <f t="shared" si="653"/>
        <v>2009</v>
      </c>
    </row>
    <row r="1409" spans="1:24" ht="12" customHeight="1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84"/>
        <v>40413</v>
      </c>
      <c r="V1409">
        <f t="shared" si="655"/>
        <v>23</v>
      </c>
      <c r="W1409">
        <f t="shared" si="652"/>
        <v>8</v>
      </c>
      <c r="X1409">
        <f t="shared" si="653"/>
        <v>2010</v>
      </c>
    </row>
    <row r="1410" spans="1:24" ht="12" customHeight="1">
      <c r="A1410" s="4">
        <v>3111</v>
      </c>
      <c r="B1410" s="4">
        <v>22368</v>
      </c>
      <c r="C1410" s="5">
        <f t="shared" ref="C1410:C1412" si="686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  <c r="V1410">
        <f t="shared" si="655"/>
        <v>20</v>
      </c>
      <c r="W1410">
        <f t="shared" si="652"/>
        <v>2</v>
      </c>
      <c r="X1410">
        <f t="shared" si="653"/>
        <v>2010</v>
      </c>
    </row>
    <row r="1411" spans="1:24" ht="12" customHeight="1">
      <c r="A1411" s="4">
        <v>3112</v>
      </c>
      <c r="B1411" s="4">
        <v>22368</v>
      </c>
      <c r="C1411" s="5">
        <f t="shared" si="686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  <c r="V1411">
        <f t="shared" si="655"/>
        <v>21</v>
      </c>
      <c r="W1411">
        <f t="shared" ref="W1411:W1474" si="687">MONTH(U1411)</f>
        <v>2</v>
      </c>
      <c r="X1411">
        <f t="shared" ref="X1411:X1474" si="688">YEAR(U1411)</f>
        <v>2010</v>
      </c>
    </row>
    <row r="1412" spans="1:24" ht="12" customHeight="1">
      <c r="A1412" s="4">
        <v>3113</v>
      </c>
      <c r="B1412" s="4">
        <v>22368</v>
      </c>
      <c r="C1412" s="5">
        <f t="shared" si="686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  <c r="V1412">
        <f t="shared" ref="V1412:V1475" si="689">DAY(U1412)</f>
        <v>20</v>
      </c>
      <c r="W1412">
        <f t="shared" si="687"/>
        <v>2</v>
      </c>
      <c r="X1412">
        <f t="shared" si="688"/>
        <v>2010</v>
      </c>
    </row>
    <row r="1413" spans="1:24" ht="12" customHeight="1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  <c r="V1413">
        <f t="shared" si="689"/>
        <v>25</v>
      </c>
      <c r="W1413">
        <f t="shared" si="687"/>
        <v>11</v>
      </c>
      <c r="X1413">
        <f t="shared" si="688"/>
        <v>2009</v>
      </c>
    </row>
    <row r="1414" spans="1:24" ht="12" customHeight="1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  <c r="V1414">
        <f t="shared" si="689"/>
        <v>25</v>
      </c>
      <c r="W1414">
        <f t="shared" si="687"/>
        <v>12</v>
      </c>
      <c r="X1414">
        <f t="shared" si="688"/>
        <v>2009</v>
      </c>
    </row>
    <row r="1415" spans="1:24" ht="12" customHeight="1">
      <c r="A1415" s="4">
        <v>3334</v>
      </c>
      <c r="B1415" s="4">
        <v>23844</v>
      </c>
      <c r="C1415" s="5">
        <f t="shared" ref="C1415:C1417" si="690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91">C1415+2</f>
        <v>40002</v>
      </c>
      <c r="V1415">
        <f t="shared" si="689"/>
        <v>8</v>
      </c>
      <c r="W1415">
        <f t="shared" si="687"/>
        <v>7</v>
      </c>
      <c r="X1415">
        <f t="shared" si="688"/>
        <v>2009</v>
      </c>
    </row>
    <row r="1416" spans="1:24" ht="12" customHeight="1">
      <c r="A1416" s="4">
        <v>3335</v>
      </c>
      <c r="B1416" s="4">
        <v>23844</v>
      </c>
      <c r="C1416" s="5">
        <f t="shared" si="690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91"/>
        <v>40002</v>
      </c>
      <c r="V1416">
        <f t="shared" si="689"/>
        <v>8</v>
      </c>
      <c r="W1416">
        <f t="shared" si="687"/>
        <v>7</v>
      </c>
      <c r="X1416">
        <f t="shared" si="688"/>
        <v>2009</v>
      </c>
    </row>
    <row r="1417" spans="1:24" ht="12" customHeight="1">
      <c r="A1417" s="4">
        <v>3336</v>
      </c>
      <c r="B1417" s="4">
        <v>23844</v>
      </c>
      <c r="C1417" s="5">
        <f t="shared" si="690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  <c r="V1417">
        <f t="shared" si="689"/>
        <v>7</v>
      </c>
      <c r="W1417">
        <f t="shared" si="687"/>
        <v>7</v>
      </c>
      <c r="X1417">
        <f t="shared" si="688"/>
        <v>2009</v>
      </c>
    </row>
    <row r="1418" spans="1:24" ht="12" customHeight="1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  <c r="V1418">
        <f t="shared" si="689"/>
        <v>19</v>
      </c>
      <c r="W1418">
        <f t="shared" si="687"/>
        <v>7</v>
      </c>
      <c r="X1418">
        <f t="shared" si="688"/>
        <v>2012</v>
      </c>
    </row>
    <row r="1419" spans="1:24" ht="12" customHeight="1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  <c r="V1419">
        <f t="shared" si="689"/>
        <v>19</v>
      </c>
      <c r="W1419">
        <f t="shared" si="687"/>
        <v>6</v>
      </c>
      <c r="X1419">
        <f t="shared" si="688"/>
        <v>2009</v>
      </c>
    </row>
    <row r="1420" spans="1:24" ht="12" customHeight="1">
      <c r="A1420" s="4">
        <v>3613</v>
      </c>
      <c r="B1420" s="4">
        <v>25825</v>
      </c>
      <c r="C1420" s="5">
        <f t="shared" ref="C1420:C1421" si="692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  <c r="V1420">
        <f t="shared" si="689"/>
        <v>22</v>
      </c>
      <c r="W1420">
        <f t="shared" si="687"/>
        <v>7</v>
      </c>
      <c r="X1420">
        <f t="shared" si="688"/>
        <v>2012</v>
      </c>
    </row>
    <row r="1421" spans="1:24" ht="12" customHeight="1">
      <c r="A1421" s="4">
        <v>3614</v>
      </c>
      <c r="B1421" s="4">
        <v>25825</v>
      </c>
      <c r="C1421" s="5">
        <f t="shared" si="692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  <c r="V1421">
        <f t="shared" si="689"/>
        <v>19</v>
      </c>
      <c r="W1421">
        <f t="shared" si="687"/>
        <v>7</v>
      </c>
      <c r="X1421">
        <f t="shared" si="688"/>
        <v>2012</v>
      </c>
    </row>
    <row r="1422" spans="1:24" ht="12" customHeight="1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  <c r="V1422">
        <f t="shared" si="689"/>
        <v>20</v>
      </c>
      <c r="W1422">
        <f t="shared" si="687"/>
        <v>3</v>
      </c>
      <c r="X1422">
        <f t="shared" si="688"/>
        <v>2011</v>
      </c>
    </row>
    <row r="1423" spans="1:24" ht="12" customHeight="1">
      <c r="A1423" s="4">
        <v>3740</v>
      </c>
      <c r="B1423" s="4">
        <v>26726</v>
      </c>
      <c r="C1423" s="5">
        <f t="shared" ref="C1423:C1425" si="693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  <c r="V1423">
        <f t="shared" si="689"/>
        <v>27</v>
      </c>
      <c r="W1423">
        <f t="shared" si="687"/>
        <v>12</v>
      </c>
      <c r="X1423">
        <f t="shared" si="688"/>
        <v>2012</v>
      </c>
    </row>
    <row r="1424" spans="1:24" ht="12" customHeight="1">
      <c r="A1424" s="4">
        <v>3741</v>
      </c>
      <c r="B1424" s="4">
        <v>26726</v>
      </c>
      <c r="C1424" s="5">
        <f t="shared" si="693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  <c r="V1424">
        <f t="shared" si="689"/>
        <v>29</v>
      </c>
      <c r="W1424">
        <f t="shared" si="687"/>
        <v>12</v>
      </c>
      <c r="X1424">
        <f t="shared" si="688"/>
        <v>2012</v>
      </c>
    </row>
    <row r="1425" spans="1:24" ht="12" customHeight="1">
      <c r="A1425" s="4">
        <v>3742</v>
      </c>
      <c r="B1425" s="4">
        <v>26726</v>
      </c>
      <c r="C1425" s="5">
        <f t="shared" si="693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  <c r="V1425">
        <f t="shared" si="689"/>
        <v>28</v>
      </c>
      <c r="W1425">
        <f t="shared" si="687"/>
        <v>12</v>
      </c>
      <c r="X1425">
        <f t="shared" si="688"/>
        <v>2012</v>
      </c>
    </row>
    <row r="1426" spans="1:24" ht="12" customHeight="1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  <c r="V1426">
        <f t="shared" si="689"/>
        <v>11</v>
      </c>
      <c r="W1426">
        <f t="shared" si="687"/>
        <v>9</v>
      </c>
      <c r="X1426">
        <f t="shared" si="688"/>
        <v>2011</v>
      </c>
    </row>
    <row r="1427" spans="1:24" ht="12" customHeight="1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  <c r="V1427">
        <f t="shared" si="689"/>
        <v>10</v>
      </c>
      <c r="W1427">
        <f t="shared" si="687"/>
        <v>12</v>
      </c>
      <c r="X1427">
        <f t="shared" si="688"/>
        <v>2010</v>
      </c>
    </row>
    <row r="1428" spans="1:24" ht="12" customHeight="1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94">C1428+1</f>
        <v>39888</v>
      </c>
      <c r="V1428">
        <f t="shared" si="689"/>
        <v>16</v>
      </c>
      <c r="W1428">
        <f t="shared" si="687"/>
        <v>3</v>
      </c>
      <c r="X1428">
        <f t="shared" si="688"/>
        <v>2009</v>
      </c>
    </row>
    <row r="1429" spans="1:24" ht="12" customHeight="1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94"/>
        <v>40837</v>
      </c>
      <c r="V1429">
        <f t="shared" si="689"/>
        <v>21</v>
      </c>
      <c r="W1429">
        <f t="shared" si="687"/>
        <v>10</v>
      </c>
      <c r="X1429">
        <f t="shared" si="688"/>
        <v>2011</v>
      </c>
    </row>
    <row r="1430" spans="1:24" ht="12" customHeight="1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  <c r="V1430">
        <f t="shared" si="689"/>
        <v>15</v>
      </c>
      <c r="W1430">
        <f t="shared" si="687"/>
        <v>1</v>
      </c>
      <c r="X1430">
        <f t="shared" si="688"/>
        <v>2011</v>
      </c>
    </row>
    <row r="1431" spans="1:24" ht="12" customHeight="1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  <c r="V1431">
        <f t="shared" si="689"/>
        <v>15</v>
      </c>
      <c r="W1431">
        <f t="shared" si="687"/>
        <v>8</v>
      </c>
      <c r="X1431">
        <f t="shared" si="688"/>
        <v>2009</v>
      </c>
    </row>
    <row r="1432" spans="1:24" ht="12" customHeight="1">
      <c r="A1432" s="4">
        <v>4259</v>
      </c>
      <c r="B1432" s="4">
        <v>30341</v>
      </c>
      <c r="C1432" s="5">
        <f t="shared" ref="C1432:C1434" si="695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96">C1432+0</f>
        <v>39844</v>
      </c>
      <c r="V1432">
        <f t="shared" si="689"/>
        <v>31</v>
      </c>
      <c r="W1432">
        <f t="shared" si="687"/>
        <v>1</v>
      </c>
      <c r="X1432">
        <f t="shared" si="688"/>
        <v>2009</v>
      </c>
    </row>
    <row r="1433" spans="1:24" ht="12" customHeight="1">
      <c r="A1433" s="4">
        <v>4260</v>
      </c>
      <c r="B1433" s="4">
        <v>30341</v>
      </c>
      <c r="C1433" s="5">
        <f t="shared" si="695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96"/>
        <v>39844</v>
      </c>
      <c r="V1433">
        <f t="shared" si="689"/>
        <v>31</v>
      </c>
      <c r="W1433">
        <f t="shared" si="687"/>
        <v>1</v>
      </c>
      <c r="X1433">
        <f t="shared" si="688"/>
        <v>2009</v>
      </c>
    </row>
    <row r="1434" spans="1:24" ht="12" customHeight="1">
      <c r="A1434" s="4">
        <v>4261</v>
      </c>
      <c r="B1434" s="4">
        <v>30341</v>
      </c>
      <c r="C1434" s="5">
        <f t="shared" si="695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  <c r="V1434">
        <f t="shared" si="689"/>
        <v>7</v>
      </c>
      <c r="W1434">
        <f t="shared" si="687"/>
        <v>2</v>
      </c>
      <c r="X1434">
        <f t="shared" si="688"/>
        <v>2009</v>
      </c>
    </row>
    <row r="1435" spans="1:24" ht="12" customHeight="1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  <c r="V1435">
        <f t="shared" si="689"/>
        <v>16</v>
      </c>
      <c r="W1435">
        <f t="shared" si="687"/>
        <v>8</v>
      </c>
      <c r="X1435">
        <f t="shared" si="688"/>
        <v>2009</v>
      </c>
    </row>
    <row r="1436" spans="1:24" ht="12" customHeight="1">
      <c r="A1436" s="4">
        <v>4321</v>
      </c>
      <c r="B1436" s="4">
        <v>30785</v>
      </c>
      <c r="C1436" s="5">
        <f t="shared" ref="C1436:C1437" si="697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  <c r="V1436">
        <f t="shared" si="689"/>
        <v>5</v>
      </c>
      <c r="W1436">
        <f t="shared" si="687"/>
        <v>7</v>
      </c>
      <c r="X1436">
        <f t="shared" si="688"/>
        <v>2009</v>
      </c>
    </row>
    <row r="1437" spans="1:24" ht="12" customHeight="1">
      <c r="A1437" s="4">
        <v>4322</v>
      </c>
      <c r="B1437" s="4">
        <v>30785</v>
      </c>
      <c r="C1437" s="5">
        <f t="shared" si="697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  <c r="V1437">
        <f t="shared" si="689"/>
        <v>6</v>
      </c>
      <c r="W1437">
        <f t="shared" si="687"/>
        <v>7</v>
      </c>
      <c r="X1437">
        <f t="shared" si="688"/>
        <v>2009</v>
      </c>
    </row>
    <row r="1438" spans="1:24" ht="12" customHeight="1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  <c r="V1438">
        <f t="shared" si="689"/>
        <v>9</v>
      </c>
      <c r="W1438">
        <f t="shared" si="687"/>
        <v>4</v>
      </c>
      <c r="X1438">
        <f t="shared" si="688"/>
        <v>2009</v>
      </c>
    </row>
    <row r="1439" spans="1:24" ht="12" customHeight="1">
      <c r="A1439" s="4">
        <v>4394</v>
      </c>
      <c r="B1439" s="4">
        <v>31297</v>
      </c>
      <c r="C1439" s="5">
        <f t="shared" ref="C1439:C1440" si="698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  <c r="V1439">
        <f t="shared" si="689"/>
        <v>25</v>
      </c>
      <c r="W1439">
        <f t="shared" si="687"/>
        <v>8</v>
      </c>
      <c r="X1439">
        <f t="shared" si="688"/>
        <v>2012</v>
      </c>
    </row>
    <row r="1440" spans="1:24" ht="12" customHeight="1">
      <c r="A1440" s="4">
        <v>4395</v>
      </c>
      <c r="B1440" s="4">
        <v>31297</v>
      </c>
      <c r="C1440" s="5">
        <f t="shared" si="698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  <c r="V1440">
        <f t="shared" si="689"/>
        <v>27</v>
      </c>
      <c r="W1440">
        <f t="shared" si="687"/>
        <v>8</v>
      </c>
      <c r="X1440">
        <f t="shared" si="688"/>
        <v>2012</v>
      </c>
    </row>
    <row r="1441" spans="1:24" ht="12" customHeight="1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99">C1441+2</f>
        <v>39825</v>
      </c>
      <c r="V1441">
        <f t="shared" si="689"/>
        <v>12</v>
      </c>
      <c r="W1441">
        <f t="shared" si="687"/>
        <v>1</v>
      </c>
      <c r="X1441">
        <f t="shared" si="688"/>
        <v>2009</v>
      </c>
    </row>
    <row r="1442" spans="1:24" ht="12" customHeight="1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99"/>
        <v>40000</v>
      </c>
      <c r="V1442">
        <f t="shared" si="689"/>
        <v>6</v>
      </c>
      <c r="W1442">
        <f t="shared" si="687"/>
        <v>7</v>
      </c>
      <c r="X1442">
        <f t="shared" si="688"/>
        <v>2009</v>
      </c>
    </row>
    <row r="1443" spans="1:24" ht="12" customHeight="1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  <c r="V1443">
        <f t="shared" si="689"/>
        <v>26</v>
      </c>
      <c r="W1443">
        <f t="shared" si="687"/>
        <v>6</v>
      </c>
      <c r="X1443">
        <f t="shared" si="688"/>
        <v>2010</v>
      </c>
    </row>
    <row r="1444" spans="1:24" ht="12" customHeight="1">
      <c r="A1444" s="4">
        <v>4713</v>
      </c>
      <c r="B1444" s="4">
        <v>33570</v>
      </c>
      <c r="C1444" s="5">
        <f t="shared" ref="C1444:C1446" si="700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701">C1444+2</f>
        <v>41261</v>
      </c>
      <c r="V1444">
        <f t="shared" si="689"/>
        <v>18</v>
      </c>
      <c r="W1444">
        <f t="shared" si="687"/>
        <v>12</v>
      </c>
      <c r="X1444">
        <f t="shared" si="688"/>
        <v>2012</v>
      </c>
    </row>
    <row r="1445" spans="1:24" ht="12" customHeight="1">
      <c r="A1445" s="4">
        <v>4714</v>
      </c>
      <c r="B1445" s="4">
        <v>33570</v>
      </c>
      <c r="C1445" s="5">
        <f t="shared" si="700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701"/>
        <v>41261</v>
      </c>
      <c r="V1445">
        <f t="shared" si="689"/>
        <v>18</v>
      </c>
      <c r="W1445">
        <f t="shared" si="687"/>
        <v>12</v>
      </c>
      <c r="X1445">
        <f t="shared" si="688"/>
        <v>2012</v>
      </c>
    </row>
    <row r="1446" spans="1:24" ht="12" customHeight="1">
      <c r="A1446" s="4">
        <v>4715</v>
      </c>
      <c r="B1446" s="4">
        <v>33570</v>
      </c>
      <c r="C1446" s="5">
        <f t="shared" si="700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  <c r="V1446">
        <f t="shared" si="689"/>
        <v>16</v>
      </c>
      <c r="W1446">
        <f t="shared" si="687"/>
        <v>12</v>
      </c>
      <c r="X1446">
        <f t="shared" si="688"/>
        <v>2012</v>
      </c>
    </row>
    <row r="1447" spans="1:24" ht="12" customHeight="1">
      <c r="A1447" s="4">
        <v>4770</v>
      </c>
      <c r="B1447" s="4">
        <v>33893</v>
      </c>
      <c r="C1447" s="5">
        <f t="shared" ref="C1447:C1448" si="702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  <c r="V1447">
        <f t="shared" si="689"/>
        <v>22</v>
      </c>
      <c r="W1447">
        <f t="shared" si="687"/>
        <v>9</v>
      </c>
      <c r="X1447">
        <f t="shared" si="688"/>
        <v>2012</v>
      </c>
    </row>
    <row r="1448" spans="1:24" ht="12" customHeight="1">
      <c r="A1448" s="4">
        <v>4771</v>
      </c>
      <c r="B1448" s="4">
        <v>33893</v>
      </c>
      <c r="C1448" s="5">
        <f t="shared" si="702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  <c r="V1448">
        <f t="shared" si="689"/>
        <v>21</v>
      </c>
      <c r="W1448">
        <f t="shared" si="687"/>
        <v>9</v>
      </c>
      <c r="X1448">
        <f t="shared" si="688"/>
        <v>2012</v>
      </c>
    </row>
    <row r="1449" spans="1:24" ht="12" customHeight="1">
      <c r="A1449" s="4">
        <v>4862</v>
      </c>
      <c r="B1449" s="4">
        <v>34599</v>
      </c>
      <c r="C1449" s="5">
        <f t="shared" ref="C1449:C1450" si="703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704">C1449+4</f>
        <v>40244</v>
      </c>
      <c r="V1449">
        <f t="shared" si="689"/>
        <v>7</v>
      </c>
      <c r="W1449">
        <f t="shared" si="687"/>
        <v>3</v>
      </c>
      <c r="X1449">
        <f t="shared" si="688"/>
        <v>2010</v>
      </c>
    </row>
    <row r="1450" spans="1:24" ht="12" customHeight="1">
      <c r="A1450" s="4">
        <v>4863</v>
      </c>
      <c r="B1450" s="4">
        <v>34599</v>
      </c>
      <c r="C1450" s="5">
        <f t="shared" si="703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704"/>
        <v>40244</v>
      </c>
      <c r="V1450">
        <f t="shared" si="689"/>
        <v>7</v>
      </c>
      <c r="W1450">
        <f t="shared" si="687"/>
        <v>3</v>
      </c>
      <c r="X1450">
        <f t="shared" si="688"/>
        <v>2010</v>
      </c>
    </row>
    <row r="1451" spans="1:24" ht="12" customHeight="1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  <c r="V1451">
        <f t="shared" si="689"/>
        <v>2</v>
      </c>
      <c r="W1451">
        <f t="shared" si="687"/>
        <v>11</v>
      </c>
      <c r="X1451">
        <f t="shared" si="688"/>
        <v>2010</v>
      </c>
    </row>
    <row r="1452" spans="1:24" ht="12" customHeight="1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705">C1452+2</f>
        <v>40239</v>
      </c>
      <c r="V1452">
        <f t="shared" si="689"/>
        <v>2</v>
      </c>
      <c r="W1452">
        <f t="shared" si="687"/>
        <v>3</v>
      </c>
      <c r="X1452">
        <f t="shared" si="688"/>
        <v>2010</v>
      </c>
    </row>
    <row r="1453" spans="1:24" ht="12" customHeight="1">
      <c r="A1453" s="4">
        <v>4891</v>
      </c>
      <c r="B1453" s="4">
        <v>34791</v>
      </c>
      <c r="C1453" s="5">
        <f t="shared" ref="C1453:C1454" si="706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705"/>
        <v>40672</v>
      </c>
      <c r="V1453">
        <f t="shared" si="689"/>
        <v>9</v>
      </c>
      <c r="W1453">
        <f t="shared" si="687"/>
        <v>5</v>
      </c>
      <c r="X1453">
        <f t="shared" si="688"/>
        <v>2011</v>
      </c>
    </row>
    <row r="1454" spans="1:24" ht="12" customHeight="1">
      <c r="A1454" s="4">
        <v>4892</v>
      </c>
      <c r="B1454" s="4">
        <v>34791</v>
      </c>
      <c r="C1454" s="5">
        <f t="shared" si="706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  <c r="V1454">
        <f t="shared" si="689"/>
        <v>7</v>
      </c>
      <c r="W1454">
        <f t="shared" si="687"/>
        <v>5</v>
      </c>
      <c r="X1454">
        <f t="shared" si="688"/>
        <v>2011</v>
      </c>
    </row>
    <row r="1455" spans="1:24" ht="12" customHeight="1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  <c r="V1455">
        <f t="shared" si="689"/>
        <v>11</v>
      </c>
      <c r="W1455">
        <f t="shared" si="687"/>
        <v>7</v>
      </c>
      <c r="X1455">
        <f t="shared" si="688"/>
        <v>2012</v>
      </c>
    </row>
    <row r="1456" spans="1:24" ht="12" customHeight="1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  <c r="V1456">
        <f t="shared" si="689"/>
        <v>2</v>
      </c>
      <c r="W1456">
        <f t="shared" si="687"/>
        <v>10</v>
      </c>
      <c r="X1456">
        <f t="shared" si="688"/>
        <v>2011</v>
      </c>
    </row>
    <row r="1457" spans="1:24" ht="12" customHeight="1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  <c r="V1457">
        <f t="shared" si="689"/>
        <v>1</v>
      </c>
      <c r="W1457">
        <f t="shared" si="687"/>
        <v>11</v>
      </c>
      <c r="X1457">
        <f t="shared" si="688"/>
        <v>2010</v>
      </c>
    </row>
    <row r="1458" spans="1:24" ht="12" customHeight="1">
      <c r="A1458" s="4">
        <v>5062</v>
      </c>
      <c r="B1458" s="4">
        <v>36099</v>
      </c>
      <c r="C1458" s="5">
        <f t="shared" ref="C1458:C1459" si="707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708">C1458+5</f>
        <v>40443</v>
      </c>
      <c r="V1458">
        <f t="shared" si="689"/>
        <v>22</v>
      </c>
      <c r="W1458">
        <f t="shared" si="687"/>
        <v>9</v>
      </c>
      <c r="X1458">
        <f t="shared" si="688"/>
        <v>2010</v>
      </c>
    </row>
    <row r="1459" spans="1:24" ht="12" customHeight="1">
      <c r="A1459" s="4">
        <v>5063</v>
      </c>
      <c r="B1459" s="4">
        <v>36099</v>
      </c>
      <c r="C1459" s="5">
        <f t="shared" si="707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708"/>
        <v>40443</v>
      </c>
      <c r="V1459">
        <f t="shared" si="689"/>
        <v>22</v>
      </c>
      <c r="W1459">
        <f t="shared" si="687"/>
        <v>9</v>
      </c>
      <c r="X1459">
        <f t="shared" si="688"/>
        <v>2010</v>
      </c>
    </row>
    <row r="1460" spans="1:24" ht="12" customHeight="1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709">C1460+1</f>
        <v>40871</v>
      </c>
      <c r="V1460">
        <f t="shared" si="689"/>
        <v>24</v>
      </c>
      <c r="W1460">
        <f t="shared" si="687"/>
        <v>11</v>
      </c>
      <c r="X1460">
        <f t="shared" si="688"/>
        <v>2011</v>
      </c>
    </row>
    <row r="1461" spans="1:24" ht="12" customHeight="1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709"/>
        <v>41166</v>
      </c>
      <c r="V1461">
        <f t="shared" si="689"/>
        <v>14</v>
      </c>
      <c r="W1461">
        <f t="shared" si="687"/>
        <v>9</v>
      </c>
      <c r="X1461">
        <f t="shared" si="688"/>
        <v>2012</v>
      </c>
    </row>
    <row r="1462" spans="1:24" ht="12" customHeight="1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710">C1462+2</f>
        <v>41126</v>
      </c>
      <c r="V1462">
        <f t="shared" si="689"/>
        <v>5</v>
      </c>
      <c r="W1462">
        <f t="shared" si="687"/>
        <v>8</v>
      </c>
      <c r="X1462">
        <f t="shared" si="688"/>
        <v>2012</v>
      </c>
    </row>
    <row r="1463" spans="1:24" ht="12" customHeight="1">
      <c r="A1463" s="4">
        <v>5437</v>
      </c>
      <c r="B1463" s="4">
        <v>38625</v>
      </c>
      <c r="C1463" s="5">
        <f t="shared" ref="C1463:C1464" si="711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710"/>
        <v>40501</v>
      </c>
      <c r="V1463">
        <f t="shared" si="689"/>
        <v>19</v>
      </c>
      <c r="W1463">
        <f t="shared" si="687"/>
        <v>11</v>
      </c>
      <c r="X1463">
        <f t="shared" si="688"/>
        <v>2010</v>
      </c>
    </row>
    <row r="1464" spans="1:24" ht="12" customHeight="1">
      <c r="A1464" s="4">
        <v>5438</v>
      </c>
      <c r="B1464" s="4">
        <v>38625</v>
      </c>
      <c r="C1464" s="5">
        <f t="shared" si="711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710"/>
        <v>40501</v>
      </c>
      <c r="V1464">
        <f t="shared" si="689"/>
        <v>19</v>
      </c>
      <c r="W1464">
        <f t="shared" si="687"/>
        <v>11</v>
      </c>
      <c r="X1464">
        <f t="shared" si="688"/>
        <v>2010</v>
      </c>
    </row>
    <row r="1465" spans="1:24" ht="12" customHeight="1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  <c r="V1465">
        <f t="shared" si="689"/>
        <v>10</v>
      </c>
      <c r="W1465">
        <f t="shared" si="687"/>
        <v>8</v>
      </c>
      <c r="X1465">
        <f t="shared" si="688"/>
        <v>2012</v>
      </c>
    </row>
    <row r="1466" spans="1:24" ht="12" customHeight="1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  <c r="V1466">
        <f t="shared" si="689"/>
        <v>5</v>
      </c>
      <c r="W1466">
        <f t="shared" si="687"/>
        <v>2</v>
      </c>
      <c r="X1466">
        <f t="shared" si="688"/>
        <v>2011</v>
      </c>
    </row>
    <row r="1467" spans="1:24" ht="12" customHeight="1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  <c r="V1467">
        <f t="shared" si="689"/>
        <v>15</v>
      </c>
      <c r="W1467">
        <f t="shared" si="687"/>
        <v>12</v>
      </c>
      <c r="X1467">
        <f t="shared" si="688"/>
        <v>2009</v>
      </c>
    </row>
    <row r="1468" spans="1:24" ht="12" customHeight="1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  <c r="V1468">
        <f t="shared" si="689"/>
        <v>26</v>
      </c>
      <c r="W1468">
        <f t="shared" si="687"/>
        <v>4</v>
      </c>
      <c r="X1468">
        <f t="shared" si="688"/>
        <v>2011</v>
      </c>
    </row>
    <row r="1469" spans="1:24" ht="12" customHeight="1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  <c r="V1469">
        <f t="shared" si="689"/>
        <v>7</v>
      </c>
      <c r="W1469">
        <f t="shared" si="687"/>
        <v>9</v>
      </c>
      <c r="X1469">
        <f t="shared" si="688"/>
        <v>2009</v>
      </c>
    </row>
    <row r="1470" spans="1:24" ht="12" customHeight="1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  <c r="V1470">
        <f t="shared" si="689"/>
        <v>18</v>
      </c>
      <c r="W1470">
        <f t="shared" si="687"/>
        <v>8</v>
      </c>
      <c r="X1470">
        <f t="shared" si="688"/>
        <v>2012</v>
      </c>
    </row>
    <row r="1471" spans="1:24" ht="12" customHeight="1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  <c r="V1471">
        <f t="shared" si="689"/>
        <v>13</v>
      </c>
      <c r="W1471">
        <f t="shared" si="687"/>
        <v>10</v>
      </c>
      <c r="X1471">
        <f t="shared" si="688"/>
        <v>2010</v>
      </c>
    </row>
    <row r="1472" spans="1:24" ht="12" customHeight="1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712">C1472+2</f>
        <v>40739</v>
      </c>
      <c r="V1472">
        <f t="shared" si="689"/>
        <v>15</v>
      </c>
      <c r="W1472">
        <f t="shared" si="687"/>
        <v>7</v>
      </c>
      <c r="X1472">
        <f t="shared" si="688"/>
        <v>2011</v>
      </c>
    </row>
    <row r="1473" spans="1:24" ht="12" customHeight="1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712"/>
        <v>41248</v>
      </c>
      <c r="V1473">
        <f t="shared" si="689"/>
        <v>5</v>
      </c>
      <c r="W1473">
        <f t="shared" si="687"/>
        <v>12</v>
      </c>
      <c r="X1473">
        <f t="shared" si="688"/>
        <v>2012</v>
      </c>
    </row>
    <row r="1474" spans="1:24" ht="12" customHeight="1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  <c r="V1474">
        <f t="shared" si="689"/>
        <v>16</v>
      </c>
      <c r="W1474">
        <f t="shared" si="687"/>
        <v>7</v>
      </c>
      <c r="X1474">
        <f t="shared" si="688"/>
        <v>2012</v>
      </c>
    </row>
    <row r="1475" spans="1:24" ht="12" customHeight="1">
      <c r="A1475" s="4">
        <v>5919</v>
      </c>
      <c r="B1475" s="4">
        <v>41988</v>
      </c>
      <c r="C1475" s="5">
        <f t="shared" ref="C1475:C1477" si="713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  <c r="V1475">
        <f t="shared" si="689"/>
        <v>4</v>
      </c>
      <c r="W1475">
        <f t="shared" ref="W1475:W1538" si="714">MONTH(U1475)</f>
        <v>2</v>
      </c>
      <c r="X1475">
        <f t="shared" ref="X1475:X1538" si="715">YEAR(U1475)</f>
        <v>2009</v>
      </c>
    </row>
    <row r="1476" spans="1:24" ht="12" customHeight="1">
      <c r="A1476" s="4">
        <v>5920</v>
      </c>
      <c r="B1476" s="4">
        <v>41988</v>
      </c>
      <c r="C1476" s="5">
        <f t="shared" si="713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716">C1476+4</f>
        <v>39852</v>
      </c>
      <c r="V1476">
        <f t="shared" ref="V1476:V1539" si="717">DAY(U1476)</f>
        <v>8</v>
      </c>
      <c r="W1476">
        <f t="shared" si="714"/>
        <v>2</v>
      </c>
      <c r="X1476">
        <f t="shared" si="715"/>
        <v>2009</v>
      </c>
    </row>
    <row r="1477" spans="1:24" ht="12" customHeight="1">
      <c r="A1477" s="4">
        <v>5921</v>
      </c>
      <c r="B1477" s="4">
        <v>41988</v>
      </c>
      <c r="C1477" s="5">
        <f t="shared" si="713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716"/>
        <v>39852</v>
      </c>
      <c r="V1477">
        <f t="shared" si="717"/>
        <v>8</v>
      </c>
      <c r="W1477">
        <f t="shared" si="714"/>
        <v>2</v>
      </c>
      <c r="X1477">
        <f t="shared" si="715"/>
        <v>2009</v>
      </c>
    </row>
    <row r="1478" spans="1:24" ht="12" customHeight="1">
      <c r="A1478" s="4">
        <v>6026</v>
      </c>
      <c r="B1478" s="4">
        <v>42692</v>
      </c>
      <c r="C1478" s="5">
        <f t="shared" ref="C1478:C1479" si="718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  <c r="V1478">
        <f t="shared" si="717"/>
        <v>22</v>
      </c>
      <c r="W1478">
        <f t="shared" si="714"/>
        <v>12</v>
      </c>
      <c r="X1478">
        <f t="shared" si="715"/>
        <v>2011</v>
      </c>
    </row>
    <row r="1479" spans="1:24" ht="12" customHeight="1">
      <c r="A1479" s="4">
        <v>6027</v>
      </c>
      <c r="B1479" s="4">
        <v>42692</v>
      </c>
      <c r="C1479" s="5">
        <f t="shared" si="718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  <c r="V1479">
        <f t="shared" si="717"/>
        <v>21</v>
      </c>
      <c r="W1479">
        <f t="shared" si="714"/>
        <v>12</v>
      </c>
      <c r="X1479">
        <f t="shared" si="715"/>
        <v>2011</v>
      </c>
    </row>
    <row r="1480" spans="1:24" ht="12" customHeight="1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  <c r="V1480">
        <f t="shared" si="717"/>
        <v>30</v>
      </c>
      <c r="W1480">
        <f t="shared" si="714"/>
        <v>5</v>
      </c>
      <c r="X1480">
        <f t="shared" si="715"/>
        <v>2011</v>
      </c>
    </row>
    <row r="1481" spans="1:24" ht="12" customHeight="1">
      <c r="A1481" s="4">
        <v>6279</v>
      </c>
      <c r="B1481" s="4">
        <v>44450</v>
      </c>
      <c r="C1481" s="5">
        <f t="shared" ref="C1481:C1482" si="719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  <c r="V1481">
        <f t="shared" si="717"/>
        <v>10</v>
      </c>
      <c r="W1481">
        <f t="shared" si="714"/>
        <v>10</v>
      </c>
      <c r="X1481">
        <f t="shared" si="715"/>
        <v>2010</v>
      </c>
    </row>
    <row r="1482" spans="1:24" ht="12" customHeight="1">
      <c r="A1482" s="4">
        <v>6280</v>
      </c>
      <c r="B1482" s="4">
        <v>44450</v>
      </c>
      <c r="C1482" s="5">
        <f t="shared" si="719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720">C1482+0</f>
        <v>40460</v>
      </c>
      <c r="V1482">
        <f t="shared" si="717"/>
        <v>9</v>
      </c>
      <c r="W1482">
        <f t="shared" si="714"/>
        <v>10</v>
      </c>
      <c r="X1482">
        <f t="shared" si="715"/>
        <v>2010</v>
      </c>
    </row>
    <row r="1483" spans="1:24" ht="12" customHeight="1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720"/>
        <v>40612</v>
      </c>
      <c r="V1483">
        <f t="shared" si="717"/>
        <v>10</v>
      </c>
      <c r="W1483">
        <f t="shared" si="714"/>
        <v>3</v>
      </c>
      <c r="X1483">
        <f t="shared" si="715"/>
        <v>2011</v>
      </c>
    </row>
    <row r="1484" spans="1:24" ht="12" customHeight="1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  <c r="V1484">
        <f t="shared" si="717"/>
        <v>23</v>
      </c>
      <c r="W1484">
        <f t="shared" si="714"/>
        <v>1</v>
      </c>
      <c r="X1484">
        <f t="shared" si="715"/>
        <v>2010</v>
      </c>
    </row>
    <row r="1485" spans="1:24" ht="12" customHeight="1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  <c r="V1485">
        <f t="shared" si="717"/>
        <v>14</v>
      </c>
      <c r="W1485">
        <f t="shared" si="714"/>
        <v>4</v>
      </c>
      <c r="X1485">
        <f t="shared" si="715"/>
        <v>2011</v>
      </c>
    </row>
    <row r="1486" spans="1:24" ht="12" customHeight="1">
      <c r="A1486" s="4">
        <v>6374</v>
      </c>
      <c r="B1486" s="4">
        <v>45248</v>
      </c>
      <c r="C1486" s="5">
        <f t="shared" ref="C1486:C1487" si="721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722">C1486+2</f>
        <v>40651</v>
      </c>
      <c r="V1486">
        <f t="shared" si="717"/>
        <v>18</v>
      </c>
      <c r="W1486">
        <f t="shared" si="714"/>
        <v>4</v>
      </c>
      <c r="X1486">
        <f t="shared" si="715"/>
        <v>2011</v>
      </c>
    </row>
    <row r="1487" spans="1:24" ht="12" customHeight="1">
      <c r="A1487" s="4">
        <v>6375</v>
      </c>
      <c r="B1487" s="4">
        <v>45248</v>
      </c>
      <c r="C1487" s="5">
        <f t="shared" si="721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722"/>
        <v>40651</v>
      </c>
      <c r="V1487">
        <f t="shared" si="717"/>
        <v>18</v>
      </c>
      <c r="W1487">
        <f t="shared" si="714"/>
        <v>4</v>
      </c>
      <c r="X1487">
        <f t="shared" si="715"/>
        <v>2011</v>
      </c>
    </row>
    <row r="1488" spans="1:24" ht="12" customHeight="1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  <c r="V1488">
        <f t="shared" si="717"/>
        <v>2</v>
      </c>
      <c r="W1488">
        <f t="shared" si="714"/>
        <v>12</v>
      </c>
      <c r="X1488">
        <f t="shared" si="715"/>
        <v>2010</v>
      </c>
    </row>
    <row r="1489" spans="1:24" ht="12" customHeight="1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723">C1489+1</f>
        <v>40400</v>
      </c>
      <c r="V1489">
        <f t="shared" si="717"/>
        <v>10</v>
      </c>
      <c r="W1489">
        <f t="shared" si="714"/>
        <v>8</v>
      </c>
      <c r="X1489">
        <f t="shared" si="715"/>
        <v>2010</v>
      </c>
    </row>
    <row r="1490" spans="1:24" ht="12" customHeight="1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723"/>
        <v>40036</v>
      </c>
      <c r="V1490">
        <f t="shared" si="717"/>
        <v>11</v>
      </c>
      <c r="W1490">
        <f t="shared" si="714"/>
        <v>8</v>
      </c>
      <c r="X1490">
        <f t="shared" si="715"/>
        <v>2009</v>
      </c>
    </row>
    <row r="1491" spans="1:24" ht="12" customHeight="1">
      <c r="A1491" s="4">
        <v>6517</v>
      </c>
      <c r="B1491" s="4">
        <v>46375</v>
      </c>
      <c r="C1491" s="5">
        <f t="shared" ref="C1491:C1492" si="724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  <c r="V1491">
        <f t="shared" si="717"/>
        <v>28</v>
      </c>
      <c r="W1491">
        <f t="shared" si="714"/>
        <v>8</v>
      </c>
      <c r="X1491">
        <f t="shared" si="715"/>
        <v>2010</v>
      </c>
    </row>
    <row r="1492" spans="1:24" ht="12" customHeight="1">
      <c r="A1492" s="4">
        <v>6518</v>
      </c>
      <c r="B1492" s="4">
        <v>46375</v>
      </c>
      <c r="C1492" s="5">
        <f t="shared" si="724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  <c r="V1492">
        <f t="shared" si="717"/>
        <v>27</v>
      </c>
      <c r="W1492">
        <f t="shared" si="714"/>
        <v>8</v>
      </c>
      <c r="X1492">
        <f t="shared" si="715"/>
        <v>2010</v>
      </c>
    </row>
    <row r="1493" spans="1:24" ht="12" customHeight="1">
      <c r="A1493" s="4">
        <v>6588</v>
      </c>
      <c r="B1493" s="4">
        <v>46885</v>
      </c>
      <c r="C1493" s="5">
        <f t="shared" ref="C1493:C1495" si="725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726">C1493+4</f>
        <v>40705</v>
      </c>
      <c r="V1493">
        <f t="shared" si="717"/>
        <v>11</v>
      </c>
      <c r="W1493">
        <f t="shared" si="714"/>
        <v>6</v>
      </c>
      <c r="X1493">
        <f t="shared" si="715"/>
        <v>2011</v>
      </c>
    </row>
    <row r="1494" spans="1:24" ht="12" customHeight="1">
      <c r="A1494" s="4">
        <v>6589</v>
      </c>
      <c r="B1494" s="4">
        <v>46885</v>
      </c>
      <c r="C1494" s="5">
        <f t="shared" si="725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726"/>
        <v>40705</v>
      </c>
      <c r="V1494">
        <f t="shared" si="717"/>
        <v>11</v>
      </c>
      <c r="W1494">
        <f t="shared" si="714"/>
        <v>6</v>
      </c>
      <c r="X1494">
        <f t="shared" si="715"/>
        <v>2011</v>
      </c>
    </row>
    <row r="1495" spans="1:24" ht="12" customHeight="1">
      <c r="A1495" s="4">
        <v>6590</v>
      </c>
      <c r="B1495" s="4">
        <v>46885</v>
      </c>
      <c r="C1495" s="5">
        <f t="shared" si="725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  <c r="V1495">
        <f t="shared" si="717"/>
        <v>12</v>
      </c>
      <c r="W1495">
        <f t="shared" si="714"/>
        <v>6</v>
      </c>
      <c r="X1495">
        <f t="shared" si="715"/>
        <v>2011</v>
      </c>
    </row>
    <row r="1496" spans="1:24" ht="12" customHeight="1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  <c r="V1496">
        <f t="shared" si="717"/>
        <v>24</v>
      </c>
      <c r="W1496">
        <f t="shared" si="714"/>
        <v>5</v>
      </c>
      <c r="X1496">
        <f t="shared" si="715"/>
        <v>2010</v>
      </c>
    </row>
    <row r="1497" spans="1:24" ht="12" customHeight="1">
      <c r="A1497" s="4">
        <v>6644</v>
      </c>
      <c r="B1497" s="4">
        <v>47267</v>
      </c>
      <c r="C1497" s="5">
        <f t="shared" ref="C1497:C1498" si="727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728">C1497+1</f>
        <v>40542</v>
      </c>
      <c r="V1497">
        <f t="shared" si="717"/>
        <v>30</v>
      </c>
      <c r="W1497">
        <f t="shared" si="714"/>
        <v>12</v>
      </c>
      <c r="X1497">
        <f t="shared" si="715"/>
        <v>2010</v>
      </c>
    </row>
    <row r="1498" spans="1:24" ht="12" customHeight="1">
      <c r="A1498" s="4">
        <v>6645</v>
      </c>
      <c r="B1498" s="4">
        <v>47267</v>
      </c>
      <c r="C1498" s="5">
        <f t="shared" si="727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728"/>
        <v>40542</v>
      </c>
      <c r="V1498">
        <f t="shared" si="717"/>
        <v>30</v>
      </c>
      <c r="W1498">
        <f t="shared" si="714"/>
        <v>12</v>
      </c>
      <c r="X1498">
        <f t="shared" si="715"/>
        <v>2010</v>
      </c>
    </row>
    <row r="1499" spans="1:24" ht="12" customHeight="1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  <c r="V1499">
        <f t="shared" si="717"/>
        <v>7</v>
      </c>
      <c r="W1499">
        <f t="shared" si="714"/>
        <v>9</v>
      </c>
      <c r="X1499">
        <f t="shared" si="715"/>
        <v>2011</v>
      </c>
    </row>
    <row r="1500" spans="1:24" ht="12" customHeight="1">
      <c r="A1500" s="4">
        <v>6762</v>
      </c>
      <c r="B1500" s="4">
        <v>48167</v>
      </c>
      <c r="C1500" s="5">
        <f t="shared" ref="C1500:C1502" si="729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  <c r="V1500">
        <f t="shared" si="717"/>
        <v>9</v>
      </c>
      <c r="W1500">
        <f t="shared" si="714"/>
        <v>9</v>
      </c>
      <c r="X1500">
        <f t="shared" si="715"/>
        <v>2009</v>
      </c>
    </row>
    <row r="1501" spans="1:24" ht="12" customHeight="1">
      <c r="A1501" s="4">
        <v>6763</v>
      </c>
      <c r="B1501" s="4">
        <v>48167</v>
      </c>
      <c r="C1501" s="5">
        <f t="shared" si="729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730">C1501+1</f>
        <v>40063</v>
      </c>
      <c r="V1501">
        <f t="shared" si="717"/>
        <v>7</v>
      </c>
      <c r="W1501">
        <f t="shared" si="714"/>
        <v>9</v>
      </c>
      <c r="X1501">
        <f t="shared" si="715"/>
        <v>2009</v>
      </c>
    </row>
    <row r="1502" spans="1:24" ht="12" customHeight="1">
      <c r="A1502" s="4">
        <v>6764</v>
      </c>
      <c r="B1502" s="4">
        <v>48167</v>
      </c>
      <c r="C1502" s="5">
        <f t="shared" si="729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730"/>
        <v>40063</v>
      </c>
      <c r="V1502">
        <f t="shared" si="717"/>
        <v>7</v>
      </c>
      <c r="W1502">
        <f t="shared" si="714"/>
        <v>9</v>
      </c>
      <c r="X1502">
        <f t="shared" si="715"/>
        <v>2009</v>
      </c>
    </row>
    <row r="1503" spans="1:24" ht="12" customHeight="1">
      <c r="A1503" s="4">
        <v>6774</v>
      </c>
      <c r="B1503" s="4">
        <v>48230</v>
      </c>
      <c r="C1503" s="5">
        <f t="shared" ref="C1503:C1504" si="731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732">C1503+2</f>
        <v>39871</v>
      </c>
      <c r="V1503">
        <f t="shared" si="717"/>
        <v>27</v>
      </c>
      <c r="W1503">
        <f t="shared" si="714"/>
        <v>2</v>
      </c>
      <c r="X1503">
        <f t="shared" si="715"/>
        <v>2009</v>
      </c>
    </row>
    <row r="1504" spans="1:24" ht="12" customHeight="1">
      <c r="A1504" s="4">
        <v>6775</v>
      </c>
      <c r="B1504" s="4">
        <v>48230</v>
      </c>
      <c r="C1504" s="5">
        <f t="shared" si="731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732"/>
        <v>39871</v>
      </c>
      <c r="V1504">
        <f t="shared" si="717"/>
        <v>27</v>
      </c>
      <c r="W1504">
        <f t="shared" si="714"/>
        <v>2</v>
      </c>
      <c r="X1504">
        <f t="shared" si="715"/>
        <v>2009</v>
      </c>
    </row>
    <row r="1505" spans="1:24" ht="12" customHeight="1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  <c r="V1505">
        <f t="shared" si="717"/>
        <v>5</v>
      </c>
      <c r="W1505">
        <f t="shared" si="714"/>
        <v>1</v>
      </c>
      <c r="X1505">
        <f t="shared" si="715"/>
        <v>2010</v>
      </c>
    </row>
    <row r="1506" spans="1:24" ht="12" customHeight="1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  <c r="V1506">
        <f t="shared" si="717"/>
        <v>31</v>
      </c>
      <c r="W1506">
        <f t="shared" si="714"/>
        <v>5</v>
      </c>
      <c r="X1506">
        <f t="shared" si="715"/>
        <v>2012</v>
      </c>
    </row>
    <row r="1507" spans="1:24" ht="12" customHeight="1">
      <c r="A1507" s="4">
        <v>6844</v>
      </c>
      <c r="B1507" s="4">
        <v>48772</v>
      </c>
      <c r="C1507" s="5">
        <f t="shared" ref="C1507:C1511" si="733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  <c r="V1507">
        <f t="shared" si="717"/>
        <v>14</v>
      </c>
      <c r="W1507">
        <f t="shared" si="714"/>
        <v>5</v>
      </c>
      <c r="X1507">
        <f t="shared" si="715"/>
        <v>2009</v>
      </c>
    </row>
    <row r="1508" spans="1:24" ht="12" customHeight="1">
      <c r="A1508" s="4">
        <v>6845</v>
      </c>
      <c r="B1508" s="4">
        <v>48772</v>
      </c>
      <c r="C1508" s="5">
        <f t="shared" si="733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734">C1508+1</f>
        <v>39946</v>
      </c>
      <c r="V1508">
        <f t="shared" si="717"/>
        <v>13</v>
      </c>
      <c r="W1508">
        <f t="shared" si="714"/>
        <v>5</v>
      </c>
      <c r="X1508">
        <f t="shared" si="715"/>
        <v>2009</v>
      </c>
    </row>
    <row r="1509" spans="1:24" ht="12" customHeight="1">
      <c r="A1509" s="4">
        <v>6846</v>
      </c>
      <c r="B1509" s="4">
        <v>48772</v>
      </c>
      <c r="C1509" s="5">
        <f t="shared" si="733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734"/>
        <v>39946</v>
      </c>
      <c r="V1509">
        <f t="shared" si="717"/>
        <v>13</v>
      </c>
      <c r="W1509">
        <f t="shared" si="714"/>
        <v>5</v>
      </c>
      <c r="X1509">
        <f t="shared" si="715"/>
        <v>2009</v>
      </c>
    </row>
    <row r="1510" spans="1:24" ht="12" customHeight="1">
      <c r="A1510" s="4">
        <v>6847</v>
      </c>
      <c r="B1510" s="4">
        <v>48772</v>
      </c>
      <c r="C1510" s="5">
        <f t="shared" si="733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734"/>
        <v>39946</v>
      </c>
      <c r="V1510">
        <f t="shared" si="717"/>
        <v>13</v>
      </c>
      <c r="W1510">
        <f t="shared" si="714"/>
        <v>5</v>
      </c>
      <c r="X1510">
        <f t="shared" si="715"/>
        <v>2009</v>
      </c>
    </row>
    <row r="1511" spans="1:24" ht="12" customHeight="1">
      <c r="A1511" s="4">
        <v>6848</v>
      </c>
      <c r="B1511" s="4">
        <v>48772</v>
      </c>
      <c r="C1511" s="5">
        <f t="shared" si="733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734"/>
        <v>39946</v>
      </c>
      <c r="V1511">
        <f t="shared" si="717"/>
        <v>13</v>
      </c>
      <c r="W1511">
        <f t="shared" si="714"/>
        <v>5</v>
      </c>
      <c r="X1511">
        <f t="shared" si="715"/>
        <v>2009</v>
      </c>
    </row>
    <row r="1512" spans="1:24" ht="12" customHeight="1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734"/>
        <v>40474</v>
      </c>
      <c r="V1512">
        <f t="shared" si="717"/>
        <v>23</v>
      </c>
      <c r="W1512">
        <f t="shared" si="714"/>
        <v>10</v>
      </c>
      <c r="X1512">
        <f t="shared" si="715"/>
        <v>2010</v>
      </c>
    </row>
    <row r="1513" spans="1:24" ht="12" customHeight="1">
      <c r="A1513" s="4">
        <v>6867</v>
      </c>
      <c r="B1513" s="4">
        <v>48931</v>
      </c>
      <c r="C1513" s="5">
        <f t="shared" ref="C1513:C1515" si="735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  <c r="V1513">
        <f t="shared" si="717"/>
        <v>24</v>
      </c>
      <c r="W1513">
        <f t="shared" si="714"/>
        <v>6</v>
      </c>
      <c r="X1513">
        <f t="shared" si="715"/>
        <v>2009</v>
      </c>
    </row>
    <row r="1514" spans="1:24" ht="12" customHeight="1">
      <c r="A1514" s="4">
        <v>6868</v>
      </c>
      <c r="B1514" s="4">
        <v>48931</v>
      </c>
      <c r="C1514" s="5">
        <f t="shared" si="735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  <c r="V1514">
        <f t="shared" si="717"/>
        <v>19</v>
      </c>
      <c r="W1514">
        <f t="shared" si="714"/>
        <v>6</v>
      </c>
      <c r="X1514">
        <f t="shared" si="715"/>
        <v>2009</v>
      </c>
    </row>
    <row r="1515" spans="1:24" ht="12" customHeight="1">
      <c r="A1515" s="4">
        <v>6869</v>
      </c>
      <c r="B1515" s="4">
        <v>48931</v>
      </c>
      <c r="C1515" s="5">
        <f t="shared" si="735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  <c r="V1515">
        <f t="shared" si="717"/>
        <v>22</v>
      </c>
      <c r="W1515">
        <f t="shared" si="714"/>
        <v>6</v>
      </c>
      <c r="X1515">
        <f t="shared" si="715"/>
        <v>2009</v>
      </c>
    </row>
    <row r="1516" spans="1:24" ht="12" customHeight="1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  <c r="V1516">
        <f t="shared" si="717"/>
        <v>17</v>
      </c>
      <c r="W1516">
        <f t="shared" si="714"/>
        <v>7</v>
      </c>
      <c r="X1516">
        <f t="shared" si="715"/>
        <v>2011</v>
      </c>
    </row>
    <row r="1517" spans="1:24" ht="12" customHeight="1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736">C1517+1</f>
        <v>40159</v>
      </c>
      <c r="V1517">
        <f t="shared" si="717"/>
        <v>12</v>
      </c>
      <c r="W1517">
        <f t="shared" si="714"/>
        <v>12</v>
      </c>
      <c r="X1517">
        <f t="shared" si="715"/>
        <v>2009</v>
      </c>
    </row>
    <row r="1518" spans="1:24" ht="12" customHeight="1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736"/>
        <v>40084</v>
      </c>
      <c r="V1518">
        <f t="shared" si="717"/>
        <v>28</v>
      </c>
      <c r="W1518">
        <f t="shared" si="714"/>
        <v>9</v>
      </c>
      <c r="X1518">
        <f t="shared" si="715"/>
        <v>2009</v>
      </c>
    </row>
    <row r="1519" spans="1:24" ht="12" customHeight="1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  <c r="V1519">
        <f t="shared" si="717"/>
        <v>2</v>
      </c>
      <c r="W1519">
        <f t="shared" si="714"/>
        <v>2</v>
      </c>
      <c r="X1519">
        <f t="shared" si="715"/>
        <v>2011</v>
      </c>
    </row>
    <row r="1520" spans="1:24" ht="12" customHeight="1">
      <c r="A1520" s="4">
        <v>6960</v>
      </c>
      <c r="B1520" s="4">
        <v>49763</v>
      </c>
      <c r="C1520" s="5">
        <f t="shared" ref="C1520:C1521" si="737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  <c r="V1520">
        <f t="shared" si="717"/>
        <v>14</v>
      </c>
      <c r="W1520">
        <f t="shared" si="714"/>
        <v>2</v>
      </c>
      <c r="X1520">
        <f t="shared" si="715"/>
        <v>2011</v>
      </c>
    </row>
    <row r="1521" spans="1:24" ht="12" customHeight="1">
      <c r="A1521" s="4">
        <v>6961</v>
      </c>
      <c r="B1521" s="4">
        <v>49763</v>
      </c>
      <c r="C1521" s="5">
        <f t="shared" si="737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738">C1521+0</f>
        <v>40587</v>
      </c>
      <c r="V1521">
        <f t="shared" si="717"/>
        <v>13</v>
      </c>
      <c r="W1521">
        <f t="shared" si="714"/>
        <v>2</v>
      </c>
      <c r="X1521">
        <f t="shared" si="715"/>
        <v>2011</v>
      </c>
    </row>
    <row r="1522" spans="1:24" ht="12" customHeight="1">
      <c r="A1522" s="4">
        <v>6988</v>
      </c>
      <c r="B1522" s="4">
        <v>49927</v>
      </c>
      <c r="C1522" s="5">
        <f t="shared" ref="C1522:C1524" si="739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738"/>
        <v>41110</v>
      </c>
      <c r="V1522">
        <f t="shared" si="717"/>
        <v>20</v>
      </c>
      <c r="W1522">
        <f t="shared" si="714"/>
        <v>7</v>
      </c>
      <c r="X1522">
        <f t="shared" si="715"/>
        <v>2012</v>
      </c>
    </row>
    <row r="1523" spans="1:24" ht="12" customHeight="1">
      <c r="A1523" s="4">
        <v>6989</v>
      </c>
      <c r="B1523" s="4">
        <v>49927</v>
      </c>
      <c r="C1523" s="5">
        <f t="shared" si="739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  <c r="V1523">
        <f t="shared" si="717"/>
        <v>22</v>
      </c>
      <c r="W1523">
        <f t="shared" si="714"/>
        <v>7</v>
      </c>
      <c r="X1523">
        <f t="shared" si="715"/>
        <v>2012</v>
      </c>
    </row>
    <row r="1524" spans="1:24" ht="12" customHeight="1">
      <c r="A1524" s="4">
        <v>6990</v>
      </c>
      <c r="B1524" s="4">
        <v>49927</v>
      </c>
      <c r="C1524" s="5">
        <f t="shared" si="739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  <c r="V1524">
        <f t="shared" si="717"/>
        <v>21</v>
      </c>
      <c r="W1524">
        <f t="shared" si="714"/>
        <v>7</v>
      </c>
      <c r="X1524">
        <f t="shared" si="715"/>
        <v>2012</v>
      </c>
    </row>
    <row r="1525" spans="1:24" ht="12" customHeight="1">
      <c r="A1525" s="4">
        <v>7009</v>
      </c>
      <c r="B1525" s="4">
        <v>50048</v>
      </c>
      <c r="C1525" s="5">
        <f t="shared" ref="C1525:C1526" si="740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741">C1525+2</f>
        <v>40198</v>
      </c>
      <c r="V1525">
        <f t="shared" si="717"/>
        <v>20</v>
      </c>
      <c r="W1525">
        <f t="shared" si="714"/>
        <v>1</v>
      </c>
      <c r="X1525">
        <f t="shared" si="715"/>
        <v>2010</v>
      </c>
    </row>
    <row r="1526" spans="1:24" ht="12" customHeight="1">
      <c r="A1526" s="4">
        <v>7010</v>
      </c>
      <c r="B1526" s="4">
        <v>50048</v>
      </c>
      <c r="C1526" s="5">
        <f t="shared" si="740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741"/>
        <v>40198</v>
      </c>
      <c r="V1526">
        <f t="shared" si="717"/>
        <v>20</v>
      </c>
      <c r="W1526">
        <f t="shared" si="714"/>
        <v>1</v>
      </c>
      <c r="X1526">
        <f t="shared" si="715"/>
        <v>2010</v>
      </c>
    </row>
    <row r="1527" spans="1:24" ht="12" customHeight="1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742">C1527+1</f>
        <v>40829</v>
      </c>
      <c r="V1527">
        <f t="shared" si="717"/>
        <v>13</v>
      </c>
      <c r="W1527">
        <f t="shared" si="714"/>
        <v>10</v>
      </c>
      <c r="X1527">
        <f t="shared" si="715"/>
        <v>2011</v>
      </c>
    </row>
    <row r="1528" spans="1:24" ht="12" customHeight="1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742"/>
        <v>40389</v>
      </c>
      <c r="V1528">
        <f t="shared" si="717"/>
        <v>30</v>
      </c>
      <c r="W1528">
        <f t="shared" si="714"/>
        <v>7</v>
      </c>
      <c r="X1528">
        <f t="shared" si="715"/>
        <v>2010</v>
      </c>
    </row>
    <row r="1529" spans="1:24" ht="12" customHeight="1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  <c r="V1529">
        <f t="shared" si="717"/>
        <v>31</v>
      </c>
      <c r="W1529">
        <f t="shared" si="714"/>
        <v>10</v>
      </c>
      <c r="X1529">
        <f t="shared" si="715"/>
        <v>2010</v>
      </c>
    </row>
    <row r="1530" spans="1:24" ht="12" customHeight="1">
      <c r="A1530" s="4">
        <v>7195</v>
      </c>
      <c r="B1530" s="4">
        <v>51333</v>
      </c>
      <c r="C1530" s="5">
        <f t="shared" ref="C1530:C1531" si="743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744">C1530+2</f>
        <v>41188</v>
      </c>
      <c r="V1530">
        <f t="shared" si="717"/>
        <v>6</v>
      </c>
      <c r="W1530">
        <f t="shared" si="714"/>
        <v>10</v>
      </c>
      <c r="X1530">
        <f t="shared" si="715"/>
        <v>2012</v>
      </c>
    </row>
    <row r="1531" spans="1:24" ht="12" customHeight="1">
      <c r="A1531" s="4">
        <v>7196</v>
      </c>
      <c r="B1531" s="4">
        <v>51333</v>
      </c>
      <c r="C1531" s="5">
        <f t="shared" si="743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744"/>
        <v>41188</v>
      </c>
      <c r="V1531">
        <f t="shared" si="717"/>
        <v>6</v>
      </c>
      <c r="W1531">
        <f t="shared" si="714"/>
        <v>10</v>
      </c>
      <c r="X1531">
        <f t="shared" si="715"/>
        <v>2012</v>
      </c>
    </row>
    <row r="1532" spans="1:24" ht="12" customHeight="1">
      <c r="A1532" s="4">
        <v>7201</v>
      </c>
      <c r="B1532" s="4">
        <v>51365</v>
      </c>
      <c r="C1532" s="5">
        <f t="shared" ref="C1532:C1533" si="745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744"/>
        <v>41130</v>
      </c>
      <c r="V1532">
        <f t="shared" si="717"/>
        <v>9</v>
      </c>
      <c r="W1532">
        <f t="shared" si="714"/>
        <v>8</v>
      </c>
      <c r="X1532">
        <f t="shared" si="715"/>
        <v>2012</v>
      </c>
    </row>
    <row r="1533" spans="1:24" ht="12" customHeight="1">
      <c r="A1533" s="4">
        <v>7202</v>
      </c>
      <c r="B1533" s="4">
        <v>51365</v>
      </c>
      <c r="C1533" s="5">
        <f t="shared" si="745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746">C1533+1</f>
        <v>41129</v>
      </c>
      <c r="V1533">
        <f t="shared" si="717"/>
        <v>8</v>
      </c>
      <c r="W1533">
        <f t="shared" si="714"/>
        <v>8</v>
      </c>
      <c r="X1533">
        <f t="shared" si="715"/>
        <v>2012</v>
      </c>
    </row>
    <row r="1534" spans="1:24" ht="12" customHeight="1">
      <c r="A1534" s="4">
        <v>7253</v>
      </c>
      <c r="B1534" s="4">
        <v>51777</v>
      </c>
      <c r="C1534" s="5">
        <f t="shared" ref="C1534:C1535" si="747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746"/>
        <v>40594</v>
      </c>
      <c r="V1534">
        <f t="shared" si="717"/>
        <v>20</v>
      </c>
      <c r="W1534">
        <f t="shared" si="714"/>
        <v>2</v>
      </c>
      <c r="X1534">
        <f t="shared" si="715"/>
        <v>2011</v>
      </c>
    </row>
    <row r="1535" spans="1:24" ht="12" customHeight="1">
      <c r="A1535" s="4">
        <v>7254</v>
      </c>
      <c r="B1535" s="4">
        <v>51777</v>
      </c>
      <c r="C1535" s="5">
        <f t="shared" si="747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748">C1535+2</f>
        <v>40595</v>
      </c>
      <c r="V1535">
        <f t="shared" si="717"/>
        <v>21</v>
      </c>
      <c r="W1535">
        <f t="shared" si="714"/>
        <v>2</v>
      </c>
      <c r="X1535">
        <f t="shared" si="715"/>
        <v>2011</v>
      </c>
    </row>
    <row r="1536" spans="1:24" ht="12" customHeight="1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748"/>
        <v>40447</v>
      </c>
      <c r="V1536">
        <f t="shared" si="717"/>
        <v>26</v>
      </c>
      <c r="W1536">
        <f t="shared" si="714"/>
        <v>9</v>
      </c>
      <c r="X1536">
        <f t="shared" si="715"/>
        <v>2010</v>
      </c>
    </row>
    <row r="1537" spans="1:24" ht="12" customHeight="1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  <c r="V1537">
        <f t="shared" si="717"/>
        <v>22</v>
      </c>
      <c r="W1537">
        <f t="shared" si="714"/>
        <v>12</v>
      </c>
      <c r="X1537">
        <f t="shared" si="715"/>
        <v>2009</v>
      </c>
    </row>
    <row r="1538" spans="1:24" ht="12" customHeight="1">
      <c r="A1538" s="4">
        <v>7328</v>
      </c>
      <c r="B1538" s="4">
        <v>52225</v>
      </c>
      <c r="C1538" s="5">
        <f t="shared" ref="C1538:C1539" si="749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750">C1538+1</f>
        <v>41012</v>
      </c>
      <c r="V1538">
        <f t="shared" si="717"/>
        <v>13</v>
      </c>
      <c r="W1538">
        <f t="shared" si="714"/>
        <v>4</v>
      </c>
      <c r="X1538">
        <f t="shared" si="715"/>
        <v>2012</v>
      </c>
    </row>
    <row r="1539" spans="1:24" ht="12" customHeight="1">
      <c r="A1539" s="4">
        <v>7329</v>
      </c>
      <c r="B1539" s="4">
        <v>52225</v>
      </c>
      <c r="C1539" s="5">
        <f t="shared" si="749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750"/>
        <v>41012</v>
      </c>
      <c r="V1539">
        <f t="shared" si="717"/>
        <v>13</v>
      </c>
      <c r="W1539">
        <f t="shared" ref="W1539:W1602" si="751">MONTH(U1539)</f>
        <v>4</v>
      </c>
      <c r="X1539">
        <f t="shared" ref="X1539:X1602" si="752">YEAR(U1539)</f>
        <v>2012</v>
      </c>
    </row>
    <row r="1540" spans="1:24" ht="12" customHeight="1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750"/>
        <v>39966</v>
      </c>
      <c r="V1540">
        <f t="shared" ref="V1540:V1603" si="753">DAY(U1540)</f>
        <v>2</v>
      </c>
      <c r="W1540">
        <f t="shared" si="751"/>
        <v>6</v>
      </c>
      <c r="X1540">
        <f t="shared" si="752"/>
        <v>2009</v>
      </c>
    </row>
    <row r="1541" spans="1:24" ht="12" customHeight="1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  <c r="V1541">
        <f t="shared" si="753"/>
        <v>18</v>
      </c>
      <c r="W1541">
        <f t="shared" si="751"/>
        <v>2</v>
      </c>
      <c r="X1541">
        <f t="shared" si="752"/>
        <v>2011</v>
      </c>
    </row>
    <row r="1542" spans="1:24" ht="12" customHeight="1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754">C1542+1</f>
        <v>40966</v>
      </c>
      <c r="V1542">
        <f t="shared" si="753"/>
        <v>27</v>
      </c>
      <c r="W1542">
        <f t="shared" si="751"/>
        <v>2</v>
      </c>
      <c r="X1542">
        <f t="shared" si="752"/>
        <v>2012</v>
      </c>
    </row>
    <row r="1543" spans="1:24" ht="12" customHeight="1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754"/>
        <v>41101</v>
      </c>
      <c r="V1543">
        <f t="shared" si="753"/>
        <v>11</v>
      </c>
      <c r="W1543">
        <f t="shared" si="751"/>
        <v>7</v>
      </c>
      <c r="X1543">
        <f t="shared" si="752"/>
        <v>2012</v>
      </c>
    </row>
    <row r="1544" spans="1:24" ht="12" customHeight="1">
      <c r="A1544" s="4">
        <v>7515</v>
      </c>
      <c r="B1544" s="4">
        <v>53667</v>
      </c>
      <c r="C1544" s="5">
        <f t="shared" ref="C1544:C1545" si="755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756">C1544+2</f>
        <v>41048</v>
      </c>
      <c r="V1544">
        <f t="shared" si="753"/>
        <v>19</v>
      </c>
      <c r="W1544">
        <f t="shared" si="751"/>
        <v>5</v>
      </c>
      <c r="X1544">
        <f t="shared" si="752"/>
        <v>2012</v>
      </c>
    </row>
    <row r="1545" spans="1:24" ht="12" customHeight="1">
      <c r="A1545" s="4">
        <v>7516</v>
      </c>
      <c r="B1545" s="4">
        <v>53667</v>
      </c>
      <c r="C1545" s="5">
        <f t="shared" si="755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756"/>
        <v>41048</v>
      </c>
      <c r="V1545">
        <f t="shared" si="753"/>
        <v>19</v>
      </c>
      <c r="W1545">
        <f t="shared" si="751"/>
        <v>5</v>
      </c>
      <c r="X1545">
        <f t="shared" si="752"/>
        <v>2012</v>
      </c>
    </row>
    <row r="1546" spans="1:24" ht="12" customHeight="1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  <c r="V1546">
        <f t="shared" si="753"/>
        <v>22</v>
      </c>
      <c r="W1546">
        <f t="shared" si="751"/>
        <v>1</v>
      </c>
      <c r="X1546">
        <f t="shared" si="752"/>
        <v>2009</v>
      </c>
    </row>
    <row r="1547" spans="1:24" ht="12" customHeight="1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  <c r="V1547">
        <f t="shared" si="753"/>
        <v>6</v>
      </c>
      <c r="W1547">
        <f t="shared" si="751"/>
        <v>3</v>
      </c>
      <c r="X1547">
        <f t="shared" si="752"/>
        <v>2011</v>
      </c>
    </row>
    <row r="1548" spans="1:24" ht="12" customHeight="1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  <c r="V1548">
        <f t="shared" si="753"/>
        <v>22</v>
      </c>
      <c r="W1548">
        <f t="shared" si="751"/>
        <v>6</v>
      </c>
      <c r="X1548">
        <f t="shared" si="752"/>
        <v>2011</v>
      </c>
    </row>
    <row r="1549" spans="1:24" ht="12" customHeight="1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757">C1549+2</f>
        <v>39995</v>
      </c>
      <c r="V1549">
        <f t="shared" si="753"/>
        <v>1</v>
      </c>
      <c r="W1549">
        <f t="shared" si="751"/>
        <v>7</v>
      </c>
      <c r="X1549">
        <f t="shared" si="752"/>
        <v>2009</v>
      </c>
    </row>
    <row r="1550" spans="1:24" ht="12" customHeight="1">
      <c r="A1550" s="4">
        <v>7751</v>
      </c>
      <c r="B1550" s="4">
        <v>55462</v>
      </c>
      <c r="C1550" s="5">
        <f t="shared" ref="C1550:C1552" si="758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757"/>
        <v>40997</v>
      </c>
      <c r="V1550">
        <f t="shared" si="753"/>
        <v>29</v>
      </c>
      <c r="W1550">
        <f t="shared" si="751"/>
        <v>3</v>
      </c>
      <c r="X1550">
        <f t="shared" si="752"/>
        <v>2012</v>
      </c>
    </row>
    <row r="1551" spans="1:24" ht="12" customHeight="1">
      <c r="A1551" s="4">
        <v>7752</v>
      </c>
      <c r="B1551" s="4">
        <v>55462</v>
      </c>
      <c r="C1551" s="5">
        <f t="shared" si="758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759">C1551+1</f>
        <v>40996</v>
      </c>
      <c r="V1551">
        <f t="shared" si="753"/>
        <v>28</v>
      </c>
      <c r="W1551">
        <f t="shared" si="751"/>
        <v>3</v>
      </c>
      <c r="X1551">
        <f t="shared" si="752"/>
        <v>2012</v>
      </c>
    </row>
    <row r="1552" spans="1:24" ht="12" customHeight="1">
      <c r="A1552" s="4">
        <v>7753</v>
      </c>
      <c r="B1552" s="4">
        <v>55462</v>
      </c>
      <c r="C1552" s="5">
        <f t="shared" si="758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759"/>
        <v>40996</v>
      </c>
      <c r="V1552">
        <f t="shared" si="753"/>
        <v>28</v>
      </c>
      <c r="W1552">
        <f t="shared" si="751"/>
        <v>3</v>
      </c>
      <c r="X1552">
        <f t="shared" si="752"/>
        <v>2012</v>
      </c>
    </row>
    <row r="1553" spans="1:24" ht="12" customHeight="1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759"/>
        <v>41033</v>
      </c>
      <c r="V1553">
        <f t="shared" si="753"/>
        <v>4</v>
      </c>
      <c r="W1553">
        <f t="shared" si="751"/>
        <v>5</v>
      </c>
      <c r="X1553">
        <f t="shared" si="752"/>
        <v>2012</v>
      </c>
    </row>
    <row r="1554" spans="1:24" ht="12" customHeight="1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  <c r="V1554">
        <f t="shared" si="753"/>
        <v>26</v>
      </c>
      <c r="W1554">
        <f t="shared" si="751"/>
        <v>11</v>
      </c>
      <c r="X1554">
        <f t="shared" si="752"/>
        <v>2011</v>
      </c>
    </row>
    <row r="1555" spans="1:24" ht="12" customHeight="1">
      <c r="A1555" s="4">
        <v>7852</v>
      </c>
      <c r="B1555" s="4">
        <v>56135</v>
      </c>
      <c r="C1555" s="5">
        <f t="shared" ref="C1555:C1556" si="760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  <c r="V1555">
        <f t="shared" si="753"/>
        <v>15</v>
      </c>
      <c r="W1555">
        <f t="shared" si="751"/>
        <v>11</v>
      </c>
      <c r="X1555">
        <f t="shared" si="752"/>
        <v>2010</v>
      </c>
    </row>
    <row r="1556" spans="1:24" ht="12" customHeight="1">
      <c r="A1556" s="4">
        <v>7853</v>
      </c>
      <c r="B1556" s="4">
        <v>56135</v>
      </c>
      <c r="C1556" s="5">
        <f t="shared" si="760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  <c r="V1556">
        <f t="shared" si="753"/>
        <v>14</v>
      </c>
      <c r="W1556">
        <f t="shared" si="751"/>
        <v>11</v>
      </c>
      <c r="X1556">
        <f t="shared" si="752"/>
        <v>2010</v>
      </c>
    </row>
    <row r="1557" spans="1:24" ht="12" customHeight="1">
      <c r="A1557" s="4">
        <v>7934</v>
      </c>
      <c r="B1557" s="4">
        <v>56708</v>
      </c>
      <c r="C1557" s="5">
        <f t="shared" ref="C1557:C1558" si="761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  <c r="V1557">
        <f t="shared" si="753"/>
        <v>2</v>
      </c>
      <c r="W1557">
        <f t="shared" si="751"/>
        <v>12</v>
      </c>
      <c r="X1557">
        <f t="shared" si="752"/>
        <v>2012</v>
      </c>
    </row>
    <row r="1558" spans="1:24" ht="12" customHeight="1">
      <c r="A1558" s="4">
        <v>7935</v>
      </c>
      <c r="B1558" s="4">
        <v>56708</v>
      </c>
      <c r="C1558" s="5">
        <f t="shared" si="761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  <c r="V1558">
        <f t="shared" si="753"/>
        <v>5</v>
      </c>
      <c r="W1558">
        <f t="shared" si="751"/>
        <v>12</v>
      </c>
      <c r="X1558">
        <f t="shared" si="752"/>
        <v>2012</v>
      </c>
    </row>
    <row r="1559" spans="1:24" ht="12" customHeight="1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  <c r="V1559">
        <f t="shared" si="753"/>
        <v>29</v>
      </c>
      <c r="W1559">
        <f t="shared" si="751"/>
        <v>10</v>
      </c>
      <c r="X1559">
        <f t="shared" si="752"/>
        <v>2010</v>
      </c>
    </row>
    <row r="1560" spans="1:24" ht="12" customHeight="1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762">C1560+1</f>
        <v>39868</v>
      </c>
      <c r="V1560">
        <f t="shared" si="753"/>
        <v>24</v>
      </c>
      <c r="W1560">
        <f t="shared" si="751"/>
        <v>2</v>
      </c>
      <c r="X1560">
        <f t="shared" si="752"/>
        <v>2009</v>
      </c>
    </row>
    <row r="1561" spans="1:24" ht="12" customHeight="1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762"/>
        <v>40319</v>
      </c>
      <c r="V1561">
        <f t="shared" si="753"/>
        <v>21</v>
      </c>
      <c r="W1561">
        <f t="shared" si="751"/>
        <v>5</v>
      </c>
      <c r="X1561">
        <f t="shared" si="752"/>
        <v>2010</v>
      </c>
    </row>
    <row r="1562" spans="1:24" ht="12" customHeight="1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  <c r="V1562">
        <f t="shared" si="753"/>
        <v>29</v>
      </c>
      <c r="W1562">
        <f t="shared" si="751"/>
        <v>7</v>
      </c>
      <c r="X1562">
        <f t="shared" si="752"/>
        <v>2009</v>
      </c>
    </row>
    <row r="1563" spans="1:24" ht="12" customHeight="1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763">C1563+2</f>
        <v>41159</v>
      </c>
      <c r="V1563">
        <f t="shared" si="753"/>
        <v>7</v>
      </c>
      <c r="W1563">
        <f t="shared" si="751"/>
        <v>9</v>
      </c>
      <c r="X1563">
        <f t="shared" si="752"/>
        <v>2012</v>
      </c>
    </row>
    <row r="1564" spans="1:24" ht="12" customHeight="1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763"/>
        <v>40751</v>
      </c>
      <c r="V1564">
        <f t="shared" si="753"/>
        <v>27</v>
      </c>
      <c r="W1564">
        <f t="shared" si="751"/>
        <v>7</v>
      </c>
      <c r="X1564">
        <f t="shared" si="752"/>
        <v>2011</v>
      </c>
    </row>
    <row r="1565" spans="1:24" ht="12" customHeight="1">
      <c r="A1565" s="4">
        <v>422</v>
      </c>
      <c r="B1565" s="4">
        <v>2823</v>
      </c>
      <c r="C1565" s="5">
        <f t="shared" ref="C1565:C1566" si="764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765">C1565+1</f>
        <v>40795</v>
      </c>
      <c r="V1565">
        <f t="shared" si="753"/>
        <v>9</v>
      </c>
      <c r="W1565">
        <f t="shared" si="751"/>
        <v>9</v>
      </c>
      <c r="X1565">
        <f t="shared" si="752"/>
        <v>2011</v>
      </c>
    </row>
    <row r="1566" spans="1:24" ht="12" customHeight="1">
      <c r="A1566" s="4">
        <v>423</v>
      </c>
      <c r="B1566" s="4">
        <v>2823</v>
      </c>
      <c r="C1566" s="5">
        <f t="shared" si="764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765"/>
        <v>40795</v>
      </c>
      <c r="V1566">
        <f t="shared" si="753"/>
        <v>9</v>
      </c>
      <c r="W1566">
        <f t="shared" si="751"/>
        <v>9</v>
      </c>
      <c r="X1566">
        <f t="shared" si="752"/>
        <v>2011</v>
      </c>
    </row>
    <row r="1567" spans="1:24" ht="12" customHeight="1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  <c r="V1567">
        <f t="shared" si="753"/>
        <v>18</v>
      </c>
      <c r="W1567">
        <f t="shared" si="751"/>
        <v>12</v>
      </c>
      <c r="X1567">
        <f t="shared" si="752"/>
        <v>2009</v>
      </c>
    </row>
    <row r="1568" spans="1:24" ht="12" customHeight="1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766">C1568+1</f>
        <v>40408</v>
      </c>
      <c r="V1568">
        <f t="shared" si="753"/>
        <v>18</v>
      </c>
      <c r="W1568">
        <f t="shared" si="751"/>
        <v>8</v>
      </c>
      <c r="X1568">
        <f t="shared" si="752"/>
        <v>2010</v>
      </c>
    </row>
    <row r="1569" spans="1:24" ht="12" customHeight="1">
      <c r="A1569" s="4">
        <v>591</v>
      </c>
      <c r="B1569" s="4">
        <v>4034</v>
      </c>
      <c r="C1569" s="5">
        <f t="shared" ref="C1569:C1570" si="767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766"/>
        <v>40496</v>
      </c>
      <c r="V1569">
        <f t="shared" si="753"/>
        <v>14</v>
      </c>
      <c r="W1569">
        <f t="shared" si="751"/>
        <v>11</v>
      </c>
      <c r="X1569">
        <f t="shared" si="752"/>
        <v>2010</v>
      </c>
    </row>
    <row r="1570" spans="1:24" ht="12" customHeight="1">
      <c r="A1570" s="4">
        <v>592</v>
      </c>
      <c r="B1570" s="4">
        <v>4034</v>
      </c>
      <c r="C1570" s="5">
        <f t="shared" si="767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766"/>
        <v>40496</v>
      </c>
      <c r="V1570">
        <f t="shared" si="753"/>
        <v>14</v>
      </c>
      <c r="W1570">
        <f t="shared" si="751"/>
        <v>11</v>
      </c>
      <c r="X1570">
        <f t="shared" si="752"/>
        <v>2010</v>
      </c>
    </row>
    <row r="1571" spans="1:24" ht="12" customHeight="1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766"/>
        <v>40261</v>
      </c>
      <c r="V1571">
        <f t="shared" si="753"/>
        <v>24</v>
      </c>
      <c r="W1571">
        <f t="shared" si="751"/>
        <v>3</v>
      </c>
      <c r="X1571">
        <f t="shared" si="752"/>
        <v>2010</v>
      </c>
    </row>
    <row r="1572" spans="1:24" ht="12" customHeight="1">
      <c r="A1572" s="4">
        <v>775</v>
      </c>
      <c r="B1572" s="4">
        <v>5538</v>
      </c>
      <c r="C1572" s="5">
        <f t="shared" ref="C1572:C1574" si="768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  <c r="V1572">
        <f t="shared" si="753"/>
        <v>26</v>
      </c>
      <c r="W1572">
        <f t="shared" si="751"/>
        <v>12</v>
      </c>
      <c r="X1572">
        <f t="shared" si="752"/>
        <v>2010</v>
      </c>
    </row>
    <row r="1573" spans="1:24" ht="12" customHeight="1">
      <c r="A1573" s="4">
        <v>776</v>
      </c>
      <c r="B1573" s="4">
        <v>5538</v>
      </c>
      <c r="C1573" s="5">
        <f t="shared" si="768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  <c r="V1573">
        <f t="shared" si="753"/>
        <v>25</v>
      </c>
      <c r="W1573">
        <f t="shared" si="751"/>
        <v>12</v>
      </c>
      <c r="X1573">
        <f t="shared" si="752"/>
        <v>2010</v>
      </c>
    </row>
    <row r="1574" spans="1:24" ht="12" customHeight="1">
      <c r="A1574" s="4">
        <v>777</v>
      </c>
      <c r="B1574" s="4">
        <v>5538</v>
      </c>
      <c r="C1574" s="5">
        <f t="shared" si="768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  <c r="V1574">
        <f t="shared" si="753"/>
        <v>27</v>
      </c>
      <c r="W1574">
        <f t="shared" si="751"/>
        <v>12</v>
      </c>
      <c r="X1574">
        <f t="shared" si="752"/>
        <v>2010</v>
      </c>
    </row>
    <row r="1575" spans="1:24" ht="12" customHeight="1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  <c r="V1575">
        <f t="shared" si="753"/>
        <v>22</v>
      </c>
      <c r="W1575">
        <f t="shared" si="751"/>
        <v>11</v>
      </c>
      <c r="X1575">
        <f t="shared" si="752"/>
        <v>2010</v>
      </c>
    </row>
    <row r="1576" spans="1:24" ht="12" customHeight="1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769">C1576+2</f>
        <v>40218</v>
      </c>
      <c r="V1576">
        <f t="shared" si="753"/>
        <v>9</v>
      </c>
      <c r="W1576">
        <f t="shared" si="751"/>
        <v>2</v>
      </c>
      <c r="X1576">
        <f t="shared" si="752"/>
        <v>2010</v>
      </c>
    </row>
    <row r="1577" spans="1:24" ht="12" customHeight="1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769"/>
        <v>39943</v>
      </c>
      <c r="V1577">
        <f t="shared" si="753"/>
        <v>10</v>
      </c>
      <c r="W1577">
        <f t="shared" si="751"/>
        <v>5</v>
      </c>
      <c r="X1577">
        <f t="shared" si="752"/>
        <v>2009</v>
      </c>
    </row>
    <row r="1578" spans="1:24" ht="12" customHeight="1">
      <c r="A1578" s="4">
        <v>1068</v>
      </c>
      <c r="B1578" s="4">
        <v>7878</v>
      </c>
      <c r="C1578" s="5">
        <f t="shared" ref="C1578:C1580" si="770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  <c r="V1578">
        <f t="shared" si="753"/>
        <v>6</v>
      </c>
      <c r="W1578">
        <f t="shared" si="751"/>
        <v>5</v>
      </c>
      <c r="X1578">
        <f t="shared" si="752"/>
        <v>2011</v>
      </c>
    </row>
    <row r="1579" spans="1:24" ht="12" customHeight="1">
      <c r="A1579" s="4">
        <v>1069</v>
      </c>
      <c r="B1579" s="4">
        <v>7878</v>
      </c>
      <c r="C1579" s="5">
        <f t="shared" si="770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  <c r="V1579">
        <f t="shared" si="753"/>
        <v>3</v>
      </c>
      <c r="W1579">
        <f t="shared" si="751"/>
        <v>5</v>
      </c>
      <c r="X1579">
        <f t="shared" si="752"/>
        <v>2011</v>
      </c>
    </row>
    <row r="1580" spans="1:24" ht="12" customHeight="1">
      <c r="A1580" s="4">
        <v>1070</v>
      </c>
      <c r="B1580" s="4">
        <v>7878</v>
      </c>
      <c r="C1580" s="5">
        <f t="shared" si="770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  <c r="V1580">
        <f t="shared" si="753"/>
        <v>8</v>
      </c>
      <c r="W1580">
        <f t="shared" si="751"/>
        <v>5</v>
      </c>
      <c r="X1580">
        <f t="shared" si="752"/>
        <v>2011</v>
      </c>
    </row>
    <row r="1581" spans="1:24" ht="12" customHeight="1">
      <c r="A1581" s="4">
        <v>1171</v>
      </c>
      <c r="B1581" s="4">
        <v>8551</v>
      </c>
      <c r="C1581" s="5">
        <f t="shared" ref="C1581:C1582" si="771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  <c r="V1581">
        <f t="shared" si="753"/>
        <v>1</v>
      </c>
      <c r="W1581">
        <f t="shared" si="751"/>
        <v>8</v>
      </c>
      <c r="X1581">
        <f t="shared" si="752"/>
        <v>2009</v>
      </c>
    </row>
    <row r="1582" spans="1:24" ht="12" customHeight="1">
      <c r="A1582" s="4">
        <v>1172</v>
      </c>
      <c r="B1582" s="4">
        <v>8551</v>
      </c>
      <c r="C1582" s="5">
        <f t="shared" si="771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  <c r="V1582">
        <f t="shared" si="753"/>
        <v>31</v>
      </c>
      <c r="W1582">
        <f t="shared" si="751"/>
        <v>7</v>
      </c>
      <c r="X1582">
        <f t="shared" si="752"/>
        <v>2009</v>
      </c>
    </row>
    <row r="1583" spans="1:24" ht="12" customHeight="1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772">C1583+1</f>
        <v>40491</v>
      </c>
      <c r="V1583">
        <f t="shared" si="753"/>
        <v>9</v>
      </c>
      <c r="W1583">
        <f t="shared" si="751"/>
        <v>11</v>
      </c>
      <c r="X1583">
        <f t="shared" si="752"/>
        <v>2010</v>
      </c>
    </row>
    <row r="1584" spans="1:24" ht="12" customHeight="1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772"/>
        <v>41152</v>
      </c>
      <c r="V1584">
        <f t="shared" si="753"/>
        <v>31</v>
      </c>
      <c r="W1584">
        <f t="shared" si="751"/>
        <v>8</v>
      </c>
      <c r="X1584">
        <f t="shared" si="752"/>
        <v>2012</v>
      </c>
    </row>
    <row r="1585" spans="1:24" ht="12" customHeight="1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  <c r="V1585">
        <f t="shared" si="753"/>
        <v>8</v>
      </c>
      <c r="W1585">
        <f t="shared" si="751"/>
        <v>9</v>
      </c>
      <c r="X1585">
        <f t="shared" si="752"/>
        <v>2009</v>
      </c>
    </row>
    <row r="1586" spans="1:24" ht="12" customHeight="1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  <c r="V1586">
        <f t="shared" si="753"/>
        <v>13</v>
      </c>
      <c r="W1586">
        <f t="shared" si="751"/>
        <v>12</v>
      </c>
      <c r="X1586">
        <f t="shared" si="752"/>
        <v>2010</v>
      </c>
    </row>
    <row r="1587" spans="1:24" ht="12" customHeight="1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  <c r="V1587">
        <f t="shared" si="753"/>
        <v>2</v>
      </c>
      <c r="W1587">
        <f t="shared" si="751"/>
        <v>6</v>
      </c>
      <c r="X1587">
        <f t="shared" si="752"/>
        <v>2012</v>
      </c>
    </row>
    <row r="1588" spans="1:24" ht="12" customHeight="1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  <c r="V1588">
        <f t="shared" si="753"/>
        <v>6</v>
      </c>
      <c r="W1588">
        <f t="shared" si="751"/>
        <v>2</v>
      </c>
      <c r="X1588">
        <f t="shared" si="752"/>
        <v>2011</v>
      </c>
    </row>
    <row r="1589" spans="1:24" ht="12" customHeight="1">
      <c r="A1589" s="4">
        <v>2118</v>
      </c>
      <c r="B1589" s="4">
        <v>15109</v>
      </c>
      <c r="C1589" s="5">
        <f t="shared" ref="C1589:C1593" si="773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  <c r="V1589">
        <f t="shared" si="753"/>
        <v>17</v>
      </c>
      <c r="W1589">
        <f t="shared" si="751"/>
        <v>12</v>
      </c>
      <c r="X1589">
        <f t="shared" si="752"/>
        <v>2010</v>
      </c>
    </row>
    <row r="1590" spans="1:24" ht="12" customHeight="1">
      <c r="A1590" s="4">
        <v>2119</v>
      </c>
      <c r="B1590" s="4">
        <v>15109</v>
      </c>
      <c r="C1590" s="5">
        <f t="shared" si="773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774">C1590+2</f>
        <v>40528</v>
      </c>
      <c r="V1590">
        <f t="shared" si="753"/>
        <v>16</v>
      </c>
      <c r="W1590">
        <f t="shared" si="751"/>
        <v>12</v>
      </c>
      <c r="X1590">
        <f t="shared" si="752"/>
        <v>2010</v>
      </c>
    </row>
    <row r="1591" spans="1:24" ht="12" customHeight="1">
      <c r="A1591" s="4">
        <v>2120</v>
      </c>
      <c r="B1591" s="4">
        <v>15109</v>
      </c>
      <c r="C1591" s="5">
        <f t="shared" si="773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774"/>
        <v>40528</v>
      </c>
      <c r="V1591">
        <f t="shared" si="753"/>
        <v>16</v>
      </c>
      <c r="W1591">
        <f t="shared" si="751"/>
        <v>12</v>
      </c>
      <c r="X1591">
        <f t="shared" si="752"/>
        <v>2010</v>
      </c>
    </row>
    <row r="1592" spans="1:24" ht="12" customHeight="1">
      <c r="A1592" s="4">
        <v>2121</v>
      </c>
      <c r="B1592" s="4">
        <v>15109</v>
      </c>
      <c r="C1592" s="5">
        <f t="shared" si="773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  <c r="V1592">
        <f t="shared" si="753"/>
        <v>15</v>
      </c>
      <c r="W1592">
        <f t="shared" si="751"/>
        <v>12</v>
      </c>
      <c r="X1592">
        <f t="shared" si="752"/>
        <v>2010</v>
      </c>
    </row>
    <row r="1593" spans="1:24" ht="12" customHeight="1">
      <c r="A1593" s="4">
        <v>2122</v>
      </c>
      <c r="B1593" s="4">
        <v>15109</v>
      </c>
      <c r="C1593" s="5">
        <f t="shared" si="773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75">C1593+2</f>
        <v>40528</v>
      </c>
      <c r="V1593">
        <f t="shared" si="753"/>
        <v>16</v>
      </c>
      <c r="W1593">
        <f t="shared" si="751"/>
        <v>12</v>
      </c>
      <c r="X1593">
        <f t="shared" si="752"/>
        <v>2010</v>
      </c>
    </row>
    <row r="1594" spans="1:24" ht="12" customHeight="1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75"/>
        <v>41005</v>
      </c>
      <c r="V1594">
        <f t="shared" si="753"/>
        <v>6</v>
      </c>
      <c r="W1594">
        <f t="shared" si="751"/>
        <v>4</v>
      </c>
      <c r="X1594">
        <f t="shared" si="752"/>
        <v>2012</v>
      </c>
    </row>
    <row r="1595" spans="1:24" ht="12" customHeight="1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75"/>
        <v>40330</v>
      </c>
      <c r="V1595">
        <f t="shared" si="753"/>
        <v>1</v>
      </c>
      <c r="W1595">
        <f t="shared" si="751"/>
        <v>6</v>
      </c>
      <c r="X1595">
        <f t="shared" si="752"/>
        <v>2010</v>
      </c>
    </row>
    <row r="1596" spans="1:24" ht="12" customHeight="1">
      <c r="A1596" s="4">
        <v>2199</v>
      </c>
      <c r="B1596" s="4">
        <v>15872</v>
      </c>
      <c r="C1596" s="5">
        <f t="shared" ref="C1596:C1598" si="776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  <c r="V1596">
        <f t="shared" si="753"/>
        <v>30</v>
      </c>
      <c r="W1596">
        <f t="shared" si="751"/>
        <v>10</v>
      </c>
      <c r="X1596">
        <f t="shared" si="752"/>
        <v>2012</v>
      </c>
    </row>
    <row r="1597" spans="1:24" ht="12" customHeight="1">
      <c r="A1597" s="4">
        <v>2200</v>
      </c>
      <c r="B1597" s="4">
        <v>15872</v>
      </c>
      <c r="C1597" s="5">
        <f t="shared" si="776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  <c r="V1597">
        <f t="shared" si="753"/>
        <v>1</v>
      </c>
      <c r="W1597">
        <f t="shared" si="751"/>
        <v>11</v>
      </c>
      <c r="X1597">
        <f t="shared" si="752"/>
        <v>2012</v>
      </c>
    </row>
    <row r="1598" spans="1:24" ht="12" customHeight="1">
      <c r="A1598" s="4">
        <v>2201</v>
      </c>
      <c r="B1598" s="4">
        <v>15872</v>
      </c>
      <c r="C1598" s="5">
        <f t="shared" si="776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  <c r="V1598">
        <f t="shared" si="753"/>
        <v>31</v>
      </c>
      <c r="W1598">
        <f t="shared" si="751"/>
        <v>10</v>
      </c>
      <c r="X1598">
        <f t="shared" si="752"/>
        <v>2012</v>
      </c>
    </row>
    <row r="1599" spans="1:24" ht="12" customHeight="1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  <c r="V1599">
        <f t="shared" si="753"/>
        <v>12</v>
      </c>
      <c r="W1599">
        <f t="shared" si="751"/>
        <v>12</v>
      </c>
      <c r="X1599">
        <f t="shared" si="752"/>
        <v>2009</v>
      </c>
    </row>
    <row r="1600" spans="1:24" ht="12" customHeight="1">
      <c r="A1600" s="4">
        <v>2242</v>
      </c>
      <c r="B1600" s="4">
        <v>16165</v>
      </c>
      <c r="C1600" s="5">
        <f t="shared" ref="C1600:C1602" si="777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  <c r="V1600">
        <f t="shared" si="753"/>
        <v>24</v>
      </c>
      <c r="W1600">
        <f t="shared" si="751"/>
        <v>7</v>
      </c>
      <c r="X1600">
        <f t="shared" si="752"/>
        <v>2010</v>
      </c>
    </row>
    <row r="1601" spans="1:24" ht="12" customHeight="1">
      <c r="A1601" s="4">
        <v>2243</v>
      </c>
      <c r="B1601" s="4">
        <v>16165</v>
      </c>
      <c r="C1601" s="5">
        <f t="shared" si="777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  <c r="V1601">
        <f t="shared" si="753"/>
        <v>23</v>
      </c>
      <c r="W1601">
        <f t="shared" si="751"/>
        <v>7</v>
      </c>
      <c r="X1601">
        <f t="shared" si="752"/>
        <v>2010</v>
      </c>
    </row>
    <row r="1602" spans="1:24" ht="12" customHeight="1">
      <c r="A1602" s="4">
        <v>2244</v>
      </c>
      <c r="B1602" s="4">
        <v>16165</v>
      </c>
      <c r="C1602" s="5">
        <f t="shared" si="777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  <c r="V1602">
        <f t="shared" si="753"/>
        <v>22</v>
      </c>
      <c r="W1602">
        <f t="shared" si="751"/>
        <v>7</v>
      </c>
      <c r="X1602">
        <f t="shared" si="752"/>
        <v>2010</v>
      </c>
    </row>
    <row r="1603" spans="1:24" ht="12" customHeight="1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  <c r="V1603">
        <f t="shared" si="753"/>
        <v>22</v>
      </c>
      <c r="W1603">
        <f t="shared" ref="W1603:W1666" si="778">MONTH(U1603)</f>
        <v>2</v>
      </c>
      <c r="X1603">
        <f t="shared" ref="X1603:X1666" si="779">YEAR(U1603)</f>
        <v>2010</v>
      </c>
    </row>
    <row r="1604" spans="1:24" ht="12" customHeight="1">
      <c r="A1604" s="4">
        <v>2691</v>
      </c>
      <c r="B1604" s="4">
        <v>19492</v>
      </c>
      <c r="C1604" s="5">
        <f t="shared" ref="C1604:C1605" si="780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  <c r="V1604">
        <f t="shared" ref="V1604:V1667" si="781">DAY(U1604)</f>
        <v>14</v>
      </c>
      <c r="W1604">
        <f t="shared" si="778"/>
        <v>12</v>
      </c>
      <c r="X1604">
        <f t="shared" si="779"/>
        <v>2010</v>
      </c>
    </row>
    <row r="1605" spans="1:24" ht="12" customHeight="1">
      <c r="A1605" s="4">
        <v>2692</v>
      </c>
      <c r="B1605" s="4">
        <v>19492</v>
      </c>
      <c r="C1605" s="5">
        <f t="shared" si="780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82">C1605+1</f>
        <v>40525</v>
      </c>
      <c r="V1605">
        <f t="shared" si="781"/>
        <v>13</v>
      </c>
      <c r="W1605">
        <f t="shared" si="778"/>
        <v>12</v>
      </c>
      <c r="X1605">
        <f t="shared" si="779"/>
        <v>2010</v>
      </c>
    </row>
    <row r="1606" spans="1:24" ht="12" customHeight="1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82"/>
        <v>40700</v>
      </c>
      <c r="V1606">
        <f t="shared" si="781"/>
        <v>6</v>
      </c>
      <c r="W1606">
        <f t="shared" si="778"/>
        <v>6</v>
      </c>
      <c r="X1606">
        <f t="shared" si="779"/>
        <v>2011</v>
      </c>
    </row>
    <row r="1607" spans="1:24" ht="12" customHeight="1">
      <c r="A1607" s="4">
        <v>3050</v>
      </c>
      <c r="B1607" s="4">
        <v>21863</v>
      </c>
      <c r="C1607" s="5">
        <f t="shared" ref="C1607:C1608" si="783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82"/>
        <v>40504</v>
      </c>
      <c r="V1607">
        <f t="shared" si="781"/>
        <v>22</v>
      </c>
      <c r="W1607">
        <f t="shared" si="778"/>
        <v>11</v>
      </c>
      <c r="X1607">
        <f t="shared" si="779"/>
        <v>2010</v>
      </c>
    </row>
    <row r="1608" spans="1:24" ht="12" customHeight="1">
      <c r="A1608" s="4">
        <v>3051</v>
      </c>
      <c r="B1608" s="4">
        <v>21863</v>
      </c>
      <c r="C1608" s="5">
        <f t="shared" si="783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82"/>
        <v>40504</v>
      </c>
      <c r="V1608">
        <f t="shared" si="781"/>
        <v>22</v>
      </c>
      <c r="W1608">
        <f t="shared" si="778"/>
        <v>11</v>
      </c>
      <c r="X1608">
        <f t="shared" si="779"/>
        <v>2010</v>
      </c>
    </row>
    <row r="1609" spans="1:24" ht="12" customHeight="1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  <c r="V1609">
        <f t="shared" si="781"/>
        <v>20</v>
      </c>
      <c r="W1609">
        <f t="shared" si="778"/>
        <v>12</v>
      </c>
      <c r="X1609">
        <f t="shared" si="779"/>
        <v>2011</v>
      </c>
    </row>
    <row r="1610" spans="1:24" ht="12" customHeight="1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  <c r="V1610">
        <f t="shared" si="781"/>
        <v>4</v>
      </c>
      <c r="W1610">
        <f t="shared" si="778"/>
        <v>4</v>
      </c>
      <c r="X1610">
        <f t="shared" si="779"/>
        <v>2010</v>
      </c>
    </row>
    <row r="1611" spans="1:24" ht="12" customHeight="1">
      <c r="A1611" s="4">
        <v>3159</v>
      </c>
      <c r="B1611" s="4">
        <v>22663</v>
      </c>
      <c r="C1611" s="5">
        <f t="shared" ref="C1611:C1612" si="784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  <c r="V1611">
        <f t="shared" si="781"/>
        <v>11</v>
      </c>
      <c r="W1611">
        <f t="shared" si="778"/>
        <v>1</v>
      </c>
      <c r="X1611">
        <f t="shared" si="779"/>
        <v>2012</v>
      </c>
    </row>
    <row r="1612" spans="1:24" ht="12" customHeight="1">
      <c r="A1612" s="4">
        <v>3160</v>
      </c>
      <c r="B1612" s="4">
        <v>22663</v>
      </c>
      <c r="C1612" s="5">
        <f t="shared" si="784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  <c r="V1612">
        <f t="shared" si="781"/>
        <v>16</v>
      </c>
      <c r="W1612">
        <f t="shared" si="778"/>
        <v>1</v>
      </c>
      <c r="X1612">
        <f t="shared" si="779"/>
        <v>2012</v>
      </c>
    </row>
    <row r="1613" spans="1:24" ht="12" customHeight="1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  <c r="V1613">
        <f t="shared" si="781"/>
        <v>1</v>
      </c>
      <c r="W1613">
        <f t="shared" si="778"/>
        <v>12</v>
      </c>
      <c r="X1613">
        <f t="shared" si="779"/>
        <v>2012</v>
      </c>
    </row>
    <row r="1614" spans="1:24" ht="12" customHeight="1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  <c r="V1614">
        <f t="shared" si="781"/>
        <v>16</v>
      </c>
      <c r="W1614">
        <f t="shared" si="778"/>
        <v>5</v>
      </c>
      <c r="X1614">
        <f t="shared" si="779"/>
        <v>2009</v>
      </c>
    </row>
    <row r="1615" spans="1:24" ht="12" customHeight="1">
      <c r="A1615" s="4">
        <v>3415</v>
      </c>
      <c r="B1615" s="4">
        <v>24386</v>
      </c>
      <c r="C1615" s="5">
        <f t="shared" ref="C1615:C1617" si="785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86">C1615+2</f>
        <v>41088</v>
      </c>
      <c r="V1615">
        <f t="shared" si="781"/>
        <v>28</v>
      </c>
      <c r="W1615">
        <f t="shared" si="778"/>
        <v>6</v>
      </c>
      <c r="X1615">
        <f t="shared" si="779"/>
        <v>2012</v>
      </c>
    </row>
    <row r="1616" spans="1:24" ht="12" customHeight="1">
      <c r="A1616" s="4">
        <v>3416</v>
      </c>
      <c r="B1616" s="4">
        <v>24386</v>
      </c>
      <c r="C1616" s="5">
        <f t="shared" si="785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86"/>
        <v>41088</v>
      </c>
      <c r="V1616">
        <f t="shared" si="781"/>
        <v>28</v>
      </c>
      <c r="W1616">
        <f t="shared" si="778"/>
        <v>6</v>
      </c>
      <c r="X1616">
        <f t="shared" si="779"/>
        <v>2012</v>
      </c>
    </row>
    <row r="1617" spans="1:24" ht="12" customHeight="1">
      <c r="A1617" s="4">
        <v>3417</v>
      </c>
      <c r="B1617" s="4">
        <v>24386</v>
      </c>
      <c r="C1617" s="5">
        <f t="shared" si="785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  <c r="V1617">
        <f t="shared" si="781"/>
        <v>27</v>
      </c>
      <c r="W1617">
        <f t="shared" si="778"/>
        <v>6</v>
      </c>
      <c r="X1617">
        <f t="shared" si="779"/>
        <v>2012</v>
      </c>
    </row>
    <row r="1618" spans="1:24" ht="12" customHeight="1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87">C1618+2</f>
        <v>40777</v>
      </c>
      <c r="V1618">
        <f t="shared" si="781"/>
        <v>22</v>
      </c>
      <c r="W1618">
        <f t="shared" si="778"/>
        <v>8</v>
      </c>
      <c r="X1618">
        <f t="shared" si="779"/>
        <v>2011</v>
      </c>
    </row>
    <row r="1619" spans="1:24" ht="12" customHeight="1">
      <c r="A1619" s="4">
        <v>3571</v>
      </c>
      <c r="B1619" s="4">
        <v>25473</v>
      </c>
      <c r="C1619" s="5">
        <f t="shared" ref="C1619:C1620" si="788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87"/>
        <v>41198</v>
      </c>
      <c r="V1619">
        <f t="shared" si="781"/>
        <v>16</v>
      </c>
      <c r="W1619">
        <f t="shared" si="778"/>
        <v>10</v>
      </c>
      <c r="X1619">
        <f t="shared" si="779"/>
        <v>2012</v>
      </c>
    </row>
    <row r="1620" spans="1:24" ht="12" customHeight="1">
      <c r="A1620" s="4">
        <v>3572</v>
      </c>
      <c r="B1620" s="4">
        <v>25473</v>
      </c>
      <c r="C1620" s="5">
        <f t="shared" si="788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  <c r="V1620">
        <f t="shared" si="781"/>
        <v>17</v>
      </c>
      <c r="W1620">
        <f t="shared" si="778"/>
        <v>10</v>
      </c>
      <c r="X1620">
        <f t="shared" si="779"/>
        <v>2012</v>
      </c>
    </row>
    <row r="1621" spans="1:24" ht="12" customHeight="1">
      <c r="A1621" s="4">
        <v>3596</v>
      </c>
      <c r="B1621" s="4">
        <v>25638</v>
      </c>
      <c r="C1621" s="5">
        <f t="shared" ref="C1621:C1622" si="789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90">C1621+1</f>
        <v>40032</v>
      </c>
      <c r="V1621">
        <f t="shared" si="781"/>
        <v>7</v>
      </c>
      <c r="W1621">
        <f t="shared" si="778"/>
        <v>8</v>
      </c>
      <c r="X1621">
        <f t="shared" si="779"/>
        <v>2009</v>
      </c>
    </row>
    <row r="1622" spans="1:24" ht="12" customHeight="1">
      <c r="A1622" s="4">
        <v>3597</v>
      </c>
      <c r="B1622" s="4">
        <v>25638</v>
      </c>
      <c r="C1622" s="5">
        <f t="shared" si="789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90"/>
        <v>40032</v>
      </c>
      <c r="V1622">
        <f t="shared" si="781"/>
        <v>7</v>
      </c>
      <c r="W1622">
        <f t="shared" si="778"/>
        <v>8</v>
      </c>
      <c r="X1622">
        <f t="shared" si="779"/>
        <v>2009</v>
      </c>
    </row>
    <row r="1623" spans="1:24" ht="12" customHeight="1">
      <c r="A1623" s="4">
        <v>3638</v>
      </c>
      <c r="B1623" s="4">
        <v>26016</v>
      </c>
      <c r="C1623" s="5">
        <f t="shared" ref="C1623:C1624" si="791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92">C1623+2</f>
        <v>40095</v>
      </c>
      <c r="V1623">
        <f t="shared" si="781"/>
        <v>9</v>
      </c>
      <c r="W1623">
        <f t="shared" si="778"/>
        <v>10</v>
      </c>
      <c r="X1623">
        <f t="shared" si="779"/>
        <v>2009</v>
      </c>
    </row>
    <row r="1624" spans="1:24" ht="12" customHeight="1">
      <c r="A1624" s="4">
        <v>3639</v>
      </c>
      <c r="B1624" s="4">
        <v>26016</v>
      </c>
      <c r="C1624" s="5">
        <f t="shared" si="791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92"/>
        <v>40095</v>
      </c>
      <c r="V1624">
        <f t="shared" si="781"/>
        <v>9</v>
      </c>
      <c r="W1624">
        <f t="shared" si="778"/>
        <v>10</v>
      </c>
      <c r="X1624">
        <f t="shared" si="779"/>
        <v>2009</v>
      </c>
    </row>
    <row r="1625" spans="1:24" ht="12" customHeight="1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  <c r="V1625">
        <f t="shared" si="781"/>
        <v>16</v>
      </c>
      <c r="W1625">
        <f t="shared" si="778"/>
        <v>1</v>
      </c>
      <c r="X1625">
        <f t="shared" si="779"/>
        <v>2010</v>
      </c>
    </row>
    <row r="1626" spans="1:24" ht="12" customHeight="1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  <c r="V1626">
        <f t="shared" si="781"/>
        <v>4</v>
      </c>
      <c r="W1626">
        <f t="shared" si="778"/>
        <v>8</v>
      </c>
      <c r="X1626">
        <f t="shared" si="779"/>
        <v>2012</v>
      </c>
    </row>
    <row r="1627" spans="1:24" ht="12" customHeight="1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  <c r="V1627">
        <f t="shared" si="781"/>
        <v>31</v>
      </c>
      <c r="W1627">
        <f t="shared" si="778"/>
        <v>12</v>
      </c>
      <c r="X1627">
        <f t="shared" si="779"/>
        <v>2011</v>
      </c>
    </row>
    <row r="1628" spans="1:24" ht="12" customHeight="1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  <c r="V1628">
        <f t="shared" si="781"/>
        <v>4</v>
      </c>
      <c r="W1628">
        <f t="shared" si="778"/>
        <v>7</v>
      </c>
      <c r="X1628">
        <f t="shared" si="779"/>
        <v>2009</v>
      </c>
    </row>
    <row r="1629" spans="1:24" ht="12" customHeight="1">
      <c r="A1629" s="4">
        <v>3945</v>
      </c>
      <c r="B1629" s="4">
        <v>28130</v>
      </c>
      <c r="C1629" s="5">
        <f t="shared" ref="C1629:C1630" si="793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  <c r="V1629">
        <f t="shared" si="781"/>
        <v>3</v>
      </c>
      <c r="W1629">
        <f t="shared" si="778"/>
        <v>8</v>
      </c>
      <c r="X1629">
        <f t="shared" si="779"/>
        <v>2009</v>
      </c>
    </row>
    <row r="1630" spans="1:24" ht="12" customHeight="1">
      <c r="A1630" s="4">
        <v>3946</v>
      </c>
      <c r="B1630" s="4">
        <v>28130</v>
      </c>
      <c r="C1630" s="5">
        <f t="shared" si="793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  <c r="V1630">
        <f t="shared" si="781"/>
        <v>30</v>
      </c>
      <c r="W1630">
        <f t="shared" si="778"/>
        <v>7</v>
      </c>
      <c r="X1630">
        <f t="shared" si="779"/>
        <v>2009</v>
      </c>
    </row>
    <row r="1631" spans="1:24" ht="12" customHeight="1">
      <c r="A1631" s="4">
        <v>3964</v>
      </c>
      <c r="B1631" s="4">
        <v>28290</v>
      </c>
      <c r="C1631" s="5">
        <f t="shared" ref="C1631:C1632" si="794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  <c r="V1631">
        <f t="shared" si="781"/>
        <v>14</v>
      </c>
      <c r="W1631">
        <f t="shared" si="778"/>
        <v>1</v>
      </c>
      <c r="X1631">
        <f t="shared" si="779"/>
        <v>2009</v>
      </c>
    </row>
    <row r="1632" spans="1:24" ht="12" customHeight="1">
      <c r="A1632" s="4">
        <v>3965</v>
      </c>
      <c r="B1632" s="4">
        <v>28290</v>
      </c>
      <c r="C1632" s="5">
        <f t="shared" si="794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  <c r="V1632">
        <f t="shared" si="781"/>
        <v>12</v>
      </c>
      <c r="W1632">
        <f t="shared" si="778"/>
        <v>1</v>
      </c>
      <c r="X1632">
        <f t="shared" si="779"/>
        <v>2009</v>
      </c>
    </row>
    <row r="1633" spans="1:24" ht="12" customHeight="1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  <c r="V1633">
        <f t="shared" si="781"/>
        <v>8</v>
      </c>
      <c r="W1633">
        <f t="shared" si="778"/>
        <v>11</v>
      </c>
      <c r="X1633">
        <f t="shared" si="779"/>
        <v>2012</v>
      </c>
    </row>
    <row r="1634" spans="1:24" ht="12" customHeight="1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  <c r="V1634">
        <f t="shared" si="781"/>
        <v>10</v>
      </c>
      <c r="W1634">
        <f t="shared" si="778"/>
        <v>2</v>
      </c>
      <c r="X1634">
        <f t="shared" si="779"/>
        <v>2011</v>
      </c>
    </row>
    <row r="1635" spans="1:24" ht="12" customHeight="1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  <c r="V1635">
        <f t="shared" si="781"/>
        <v>24</v>
      </c>
      <c r="W1635">
        <f t="shared" si="778"/>
        <v>8</v>
      </c>
      <c r="X1635">
        <f t="shared" si="779"/>
        <v>2010</v>
      </c>
    </row>
    <row r="1636" spans="1:24" ht="12" customHeight="1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  <c r="V1636">
        <f t="shared" si="781"/>
        <v>13</v>
      </c>
      <c r="W1636">
        <f t="shared" si="778"/>
        <v>3</v>
      </c>
      <c r="X1636">
        <f t="shared" si="779"/>
        <v>2012</v>
      </c>
    </row>
    <row r="1637" spans="1:24" ht="12" customHeight="1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  <c r="V1637">
        <f t="shared" si="781"/>
        <v>9</v>
      </c>
      <c r="W1637">
        <f t="shared" si="778"/>
        <v>11</v>
      </c>
      <c r="X1637">
        <f t="shared" si="779"/>
        <v>2011</v>
      </c>
    </row>
    <row r="1638" spans="1:24" ht="12" customHeight="1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  <c r="V1638">
        <f t="shared" si="781"/>
        <v>5</v>
      </c>
      <c r="W1638">
        <f t="shared" si="778"/>
        <v>11</v>
      </c>
      <c r="X1638">
        <f t="shared" si="779"/>
        <v>2012</v>
      </c>
    </row>
    <row r="1639" spans="1:24" ht="12" customHeight="1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95">C1639+1</f>
        <v>40743</v>
      </c>
      <c r="V1639">
        <f t="shared" si="781"/>
        <v>19</v>
      </c>
      <c r="W1639">
        <f t="shared" si="778"/>
        <v>7</v>
      </c>
      <c r="X1639">
        <f t="shared" si="779"/>
        <v>2011</v>
      </c>
    </row>
    <row r="1640" spans="1:24" ht="12" customHeight="1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95"/>
        <v>40451</v>
      </c>
      <c r="V1640">
        <f t="shared" si="781"/>
        <v>30</v>
      </c>
      <c r="W1640">
        <f t="shared" si="778"/>
        <v>9</v>
      </c>
      <c r="X1640">
        <f t="shared" si="779"/>
        <v>2010</v>
      </c>
    </row>
    <row r="1641" spans="1:24" ht="12" customHeight="1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96">C1641+2</f>
        <v>40570</v>
      </c>
      <c r="V1641">
        <f t="shared" si="781"/>
        <v>27</v>
      </c>
      <c r="W1641">
        <f t="shared" si="778"/>
        <v>1</v>
      </c>
      <c r="X1641">
        <f t="shared" si="779"/>
        <v>2011</v>
      </c>
    </row>
    <row r="1642" spans="1:24" ht="12" customHeight="1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96"/>
        <v>39991</v>
      </c>
      <c r="V1642">
        <f t="shared" si="781"/>
        <v>27</v>
      </c>
      <c r="W1642">
        <f t="shared" si="778"/>
        <v>6</v>
      </c>
      <c r="X1642">
        <f t="shared" si="779"/>
        <v>2009</v>
      </c>
    </row>
    <row r="1643" spans="1:24" ht="12" customHeight="1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  <c r="V1643">
        <f t="shared" si="781"/>
        <v>28</v>
      </c>
      <c r="W1643">
        <f t="shared" si="778"/>
        <v>4</v>
      </c>
      <c r="X1643">
        <f t="shared" si="779"/>
        <v>2012</v>
      </c>
    </row>
    <row r="1644" spans="1:24" ht="12" customHeight="1">
      <c r="A1644" s="4">
        <v>4766</v>
      </c>
      <c r="B1644" s="4">
        <v>33889</v>
      </c>
      <c r="C1644" s="5">
        <f t="shared" ref="C1644:C1647" si="797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  <c r="V1644">
        <f t="shared" si="781"/>
        <v>11</v>
      </c>
      <c r="W1644">
        <f t="shared" si="778"/>
        <v>11</v>
      </c>
      <c r="X1644">
        <f t="shared" si="779"/>
        <v>2010</v>
      </c>
    </row>
    <row r="1645" spans="1:24" ht="12" customHeight="1">
      <c r="A1645" s="4">
        <v>4767</v>
      </c>
      <c r="B1645" s="4">
        <v>33889</v>
      </c>
      <c r="C1645" s="5">
        <f t="shared" si="797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  <c r="V1645">
        <f t="shared" si="781"/>
        <v>13</v>
      </c>
      <c r="W1645">
        <f t="shared" si="778"/>
        <v>11</v>
      </c>
      <c r="X1645">
        <f t="shared" si="779"/>
        <v>2010</v>
      </c>
    </row>
    <row r="1646" spans="1:24" ht="12" customHeight="1">
      <c r="A1646" s="4">
        <v>4768</v>
      </c>
      <c r="B1646" s="4">
        <v>33889</v>
      </c>
      <c r="C1646" s="5">
        <f t="shared" si="797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  <c r="V1646">
        <f t="shared" si="781"/>
        <v>10</v>
      </c>
      <c r="W1646">
        <f t="shared" si="778"/>
        <v>11</v>
      </c>
      <c r="X1646">
        <f t="shared" si="779"/>
        <v>2010</v>
      </c>
    </row>
    <row r="1647" spans="1:24" ht="12" customHeight="1">
      <c r="A1647" s="4">
        <v>4769</v>
      </c>
      <c r="B1647" s="4">
        <v>33889</v>
      </c>
      <c r="C1647" s="5">
        <f t="shared" si="797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  <c r="V1647">
        <f t="shared" si="781"/>
        <v>8</v>
      </c>
      <c r="W1647">
        <f t="shared" si="778"/>
        <v>11</v>
      </c>
      <c r="X1647">
        <f t="shared" si="779"/>
        <v>2010</v>
      </c>
    </row>
    <row r="1648" spans="1:24" ht="12" customHeight="1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  <c r="V1648">
        <f t="shared" si="781"/>
        <v>30</v>
      </c>
      <c r="W1648">
        <f t="shared" si="778"/>
        <v>4</v>
      </c>
      <c r="X1648">
        <f t="shared" si="779"/>
        <v>2009</v>
      </c>
    </row>
    <row r="1649" spans="1:24" ht="12" customHeight="1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98">C1649+0</f>
        <v>41218</v>
      </c>
      <c r="V1649">
        <f t="shared" si="781"/>
        <v>5</v>
      </c>
      <c r="W1649">
        <f t="shared" si="778"/>
        <v>11</v>
      </c>
      <c r="X1649">
        <f t="shared" si="779"/>
        <v>2012</v>
      </c>
    </row>
    <row r="1650" spans="1:24" ht="12" customHeight="1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98"/>
        <v>40426</v>
      </c>
      <c r="V1650">
        <f t="shared" si="781"/>
        <v>5</v>
      </c>
      <c r="W1650">
        <f t="shared" si="778"/>
        <v>9</v>
      </c>
      <c r="X1650">
        <f t="shared" si="779"/>
        <v>2010</v>
      </c>
    </row>
    <row r="1651" spans="1:24" ht="12" customHeight="1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99">C1651+3</f>
        <v>40730</v>
      </c>
      <c r="V1651">
        <f t="shared" si="781"/>
        <v>6</v>
      </c>
      <c r="W1651">
        <f t="shared" si="778"/>
        <v>7</v>
      </c>
      <c r="X1651">
        <f t="shared" si="779"/>
        <v>2011</v>
      </c>
    </row>
    <row r="1652" spans="1:24" ht="12" customHeight="1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99"/>
        <v>39828</v>
      </c>
      <c r="V1652">
        <f t="shared" si="781"/>
        <v>15</v>
      </c>
      <c r="W1652">
        <f t="shared" si="778"/>
        <v>1</v>
      </c>
      <c r="X1652">
        <f t="shared" si="779"/>
        <v>2009</v>
      </c>
    </row>
    <row r="1653" spans="1:24" ht="12" customHeight="1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  <c r="V1653">
        <f t="shared" si="781"/>
        <v>19</v>
      </c>
      <c r="W1653">
        <f t="shared" si="778"/>
        <v>12</v>
      </c>
      <c r="X1653">
        <f t="shared" si="779"/>
        <v>2009</v>
      </c>
    </row>
    <row r="1654" spans="1:24" ht="12" customHeight="1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800">C1654+7</f>
        <v>40715</v>
      </c>
      <c r="V1654">
        <f t="shared" si="781"/>
        <v>21</v>
      </c>
      <c r="W1654">
        <f t="shared" si="778"/>
        <v>6</v>
      </c>
      <c r="X1654">
        <f t="shared" si="779"/>
        <v>2011</v>
      </c>
    </row>
    <row r="1655" spans="1:24" ht="12" customHeight="1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800"/>
        <v>40510</v>
      </c>
      <c r="V1655">
        <f t="shared" si="781"/>
        <v>28</v>
      </c>
      <c r="W1655">
        <f t="shared" si="778"/>
        <v>11</v>
      </c>
      <c r="X1655">
        <f t="shared" si="779"/>
        <v>2010</v>
      </c>
    </row>
    <row r="1656" spans="1:24" ht="12" customHeight="1">
      <c r="A1656" s="4">
        <v>5501</v>
      </c>
      <c r="B1656" s="4">
        <v>39015</v>
      </c>
      <c r="C1656" s="5">
        <f t="shared" ref="C1656:C1657" si="801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802">C1656+0</f>
        <v>40153</v>
      </c>
      <c r="V1656">
        <f t="shared" si="781"/>
        <v>6</v>
      </c>
      <c r="W1656">
        <f t="shared" si="778"/>
        <v>12</v>
      </c>
      <c r="X1656">
        <f t="shared" si="779"/>
        <v>2009</v>
      </c>
    </row>
    <row r="1657" spans="1:24" ht="12" customHeight="1">
      <c r="A1657" s="4">
        <v>5502</v>
      </c>
      <c r="B1657" s="4">
        <v>39015</v>
      </c>
      <c r="C1657" s="5">
        <f t="shared" si="801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802"/>
        <v>40153</v>
      </c>
      <c r="V1657">
        <f t="shared" si="781"/>
        <v>6</v>
      </c>
      <c r="W1657">
        <f t="shared" si="778"/>
        <v>12</v>
      </c>
      <c r="X1657">
        <f t="shared" si="779"/>
        <v>2009</v>
      </c>
    </row>
    <row r="1658" spans="1:24" ht="12" customHeight="1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803">C1658+1</f>
        <v>40306</v>
      </c>
      <c r="V1658">
        <f t="shared" si="781"/>
        <v>8</v>
      </c>
      <c r="W1658">
        <f t="shared" si="778"/>
        <v>5</v>
      </c>
      <c r="X1658">
        <f t="shared" si="779"/>
        <v>2010</v>
      </c>
    </row>
    <row r="1659" spans="1:24" ht="12" customHeight="1">
      <c r="A1659" s="4">
        <v>5770</v>
      </c>
      <c r="B1659" s="4">
        <v>40962</v>
      </c>
      <c r="C1659" s="5">
        <f t="shared" ref="C1659:C1660" si="804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803"/>
        <v>40595</v>
      </c>
      <c r="V1659">
        <f t="shared" si="781"/>
        <v>21</v>
      </c>
      <c r="W1659">
        <f t="shared" si="778"/>
        <v>2</v>
      </c>
      <c r="X1659">
        <f t="shared" si="779"/>
        <v>2011</v>
      </c>
    </row>
    <row r="1660" spans="1:24" ht="12" customHeight="1">
      <c r="A1660" s="4">
        <v>5771</v>
      </c>
      <c r="B1660" s="4">
        <v>40962</v>
      </c>
      <c r="C1660" s="5">
        <f t="shared" si="804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803"/>
        <v>40595</v>
      </c>
      <c r="V1660">
        <f t="shared" si="781"/>
        <v>21</v>
      </c>
      <c r="W1660">
        <f t="shared" si="778"/>
        <v>2</v>
      </c>
      <c r="X1660">
        <f t="shared" si="779"/>
        <v>2011</v>
      </c>
    </row>
    <row r="1661" spans="1:24" ht="12" customHeight="1">
      <c r="A1661" s="4">
        <v>5786</v>
      </c>
      <c r="B1661" s="4">
        <v>41059</v>
      </c>
      <c r="C1661" s="5">
        <f t="shared" ref="C1661:C1664" si="805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  <c r="V1661">
        <f t="shared" si="781"/>
        <v>14</v>
      </c>
      <c r="W1661">
        <f t="shared" si="778"/>
        <v>9</v>
      </c>
      <c r="X1661">
        <f t="shared" si="779"/>
        <v>2010</v>
      </c>
    </row>
    <row r="1662" spans="1:24" ht="12" customHeight="1">
      <c r="A1662" s="4">
        <v>5787</v>
      </c>
      <c r="B1662" s="4">
        <v>41059</v>
      </c>
      <c r="C1662" s="5">
        <f t="shared" si="805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  <c r="V1662">
        <f t="shared" si="781"/>
        <v>15</v>
      </c>
      <c r="W1662">
        <f t="shared" si="778"/>
        <v>9</v>
      </c>
      <c r="X1662">
        <f t="shared" si="779"/>
        <v>2010</v>
      </c>
    </row>
    <row r="1663" spans="1:24" ht="12" customHeight="1">
      <c r="A1663" s="4">
        <v>5788</v>
      </c>
      <c r="B1663" s="4">
        <v>41059</v>
      </c>
      <c r="C1663" s="5">
        <f t="shared" si="805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  <c r="V1663">
        <f t="shared" si="781"/>
        <v>16</v>
      </c>
      <c r="W1663">
        <f t="shared" si="778"/>
        <v>9</v>
      </c>
      <c r="X1663">
        <f t="shared" si="779"/>
        <v>2010</v>
      </c>
    </row>
    <row r="1664" spans="1:24" ht="12" customHeight="1">
      <c r="A1664" s="4">
        <v>5789</v>
      </c>
      <c r="B1664" s="4">
        <v>41059</v>
      </c>
      <c r="C1664" s="5">
        <f t="shared" si="805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  <c r="V1664">
        <f t="shared" si="781"/>
        <v>15</v>
      </c>
      <c r="W1664">
        <f t="shared" si="778"/>
        <v>9</v>
      </c>
      <c r="X1664">
        <f t="shared" si="779"/>
        <v>2010</v>
      </c>
    </row>
    <row r="1665" spans="1:24" ht="12" customHeight="1">
      <c r="A1665" s="4">
        <v>5872</v>
      </c>
      <c r="B1665" s="4">
        <v>41664</v>
      </c>
      <c r="C1665" s="5">
        <f t="shared" ref="C1665:C1666" si="806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  <c r="V1665">
        <f t="shared" si="781"/>
        <v>4</v>
      </c>
      <c r="W1665">
        <f t="shared" si="778"/>
        <v>12</v>
      </c>
      <c r="X1665">
        <f t="shared" si="779"/>
        <v>2011</v>
      </c>
    </row>
    <row r="1666" spans="1:24" ht="12" customHeight="1">
      <c r="A1666" s="4">
        <v>5873</v>
      </c>
      <c r="B1666" s="4">
        <v>41664</v>
      </c>
      <c r="C1666" s="5">
        <f t="shared" si="806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807">C1666+2</f>
        <v>40883</v>
      </c>
      <c r="V1666">
        <f t="shared" si="781"/>
        <v>6</v>
      </c>
      <c r="W1666">
        <f t="shared" si="778"/>
        <v>12</v>
      </c>
      <c r="X1666">
        <f t="shared" si="779"/>
        <v>2011</v>
      </c>
    </row>
    <row r="1667" spans="1:24" ht="12" customHeight="1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807"/>
        <v>41137</v>
      </c>
      <c r="V1667">
        <f t="shared" si="781"/>
        <v>16</v>
      </c>
      <c r="W1667">
        <f t="shared" ref="W1667:W1730" si="808">MONTH(U1667)</f>
        <v>8</v>
      </c>
      <c r="X1667">
        <f t="shared" ref="X1667:X1730" si="809">YEAR(U1667)</f>
        <v>2012</v>
      </c>
    </row>
    <row r="1668" spans="1:24" ht="12" customHeight="1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807"/>
        <v>40775</v>
      </c>
      <c r="V1668">
        <f t="shared" ref="V1668:V1731" si="810">DAY(U1668)</f>
        <v>20</v>
      </c>
      <c r="W1668">
        <f t="shared" si="808"/>
        <v>8</v>
      </c>
      <c r="X1668">
        <f t="shared" si="809"/>
        <v>2011</v>
      </c>
    </row>
    <row r="1669" spans="1:24" ht="12" customHeight="1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  <c r="V1669">
        <f t="shared" si="810"/>
        <v>13</v>
      </c>
      <c r="W1669">
        <f t="shared" si="808"/>
        <v>1</v>
      </c>
      <c r="X1669">
        <f t="shared" si="809"/>
        <v>2011</v>
      </c>
    </row>
    <row r="1670" spans="1:24" ht="12" customHeight="1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  <c r="V1670">
        <f t="shared" si="810"/>
        <v>12</v>
      </c>
      <c r="W1670">
        <f t="shared" si="808"/>
        <v>5</v>
      </c>
      <c r="X1670">
        <f t="shared" si="809"/>
        <v>2009</v>
      </c>
    </row>
    <row r="1671" spans="1:24" ht="12" customHeight="1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  <c r="V1671">
        <f t="shared" si="810"/>
        <v>7</v>
      </c>
      <c r="W1671">
        <f t="shared" si="808"/>
        <v>1</v>
      </c>
      <c r="X1671">
        <f t="shared" si="809"/>
        <v>2010</v>
      </c>
    </row>
    <row r="1672" spans="1:24" ht="12" customHeight="1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  <c r="V1672">
        <f t="shared" si="810"/>
        <v>26</v>
      </c>
      <c r="W1672">
        <f t="shared" si="808"/>
        <v>5</v>
      </c>
      <c r="X1672">
        <f t="shared" si="809"/>
        <v>2011</v>
      </c>
    </row>
    <row r="1673" spans="1:24" ht="12" customHeight="1">
      <c r="A1673" s="4">
        <v>6494</v>
      </c>
      <c r="B1673" s="4">
        <v>46243</v>
      </c>
      <c r="C1673" s="5">
        <f t="shared" ref="C1673:C1675" si="811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  <c r="V1673">
        <f t="shared" si="810"/>
        <v>26</v>
      </c>
      <c r="W1673">
        <f t="shared" si="808"/>
        <v>1</v>
      </c>
      <c r="X1673">
        <f t="shared" si="809"/>
        <v>2012</v>
      </c>
    </row>
    <row r="1674" spans="1:24" ht="12" customHeight="1">
      <c r="A1674" s="4">
        <v>6495</v>
      </c>
      <c r="B1674" s="4">
        <v>46243</v>
      </c>
      <c r="C1674" s="5">
        <f t="shared" si="811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  <c r="V1674">
        <f t="shared" si="810"/>
        <v>29</v>
      </c>
      <c r="W1674">
        <f t="shared" si="808"/>
        <v>1</v>
      </c>
      <c r="X1674">
        <f t="shared" si="809"/>
        <v>2012</v>
      </c>
    </row>
    <row r="1675" spans="1:24" ht="12" customHeight="1">
      <c r="A1675" s="4">
        <v>6496</v>
      </c>
      <c r="B1675" s="4">
        <v>46243</v>
      </c>
      <c r="C1675" s="5">
        <f t="shared" si="811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  <c r="V1675">
        <f t="shared" si="810"/>
        <v>31</v>
      </c>
      <c r="W1675">
        <f t="shared" si="808"/>
        <v>1</v>
      </c>
      <c r="X1675">
        <f t="shared" si="809"/>
        <v>2012</v>
      </c>
    </row>
    <row r="1676" spans="1:24" ht="12" customHeight="1">
      <c r="A1676" s="4">
        <v>6504</v>
      </c>
      <c r="B1676" s="4">
        <v>46310</v>
      </c>
      <c r="C1676" s="5">
        <f t="shared" ref="C1676:C1678" si="812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813">C1676+1</f>
        <v>40381</v>
      </c>
      <c r="V1676">
        <f t="shared" si="810"/>
        <v>22</v>
      </c>
      <c r="W1676">
        <f t="shared" si="808"/>
        <v>7</v>
      </c>
      <c r="X1676">
        <f t="shared" si="809"/>
        <v>2010</v>
      </c>
    </row>
    <row r="1677" spans="1:24" ht="12" customHeight="1">
      <c r="A1677" s="4">
        <v>6505</v>
      </c>
      <c r="B1677" s="4">
        <v>46310</v>
      </c>
      <c r="C1677" s="5">
        <f t="shared" si="812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813"/>
        <v>40381</v>
      </c>
      <c r="V1677">
        <f t="shared" si="810"/>
        <v>22</v>
      </c>
      <c r="W1677">
        <f t="shared" si="808"/>
        <v>7</v>
      </c>
      <c r="X1677">
        <f t="shared" si="809"/>
        <v>2010</v>
      </c>
    </row>
    <row r="1678" spans="1:24" ht="12" customHeight="1">
      <c r="A1678" s="4">
        <v>6506</v>
      </c>
      <c r="B1678" s="4">
        <v>46310</v>
      </c>
      <c r="C1678" s="5">
        <f t="shared" si="812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  <c r="V1678">
        <f t="shared" si="810"/>
        <v>21</v>
      </c>
      <c r="W1678">
        <f t="shared" si="808"/>
        <v>7</v>
      </c>
      <c r="X1678">
        <f t="shared" si="809"/>
        <v>2010</v>
      </c>
    </row>
    <row r="1679" spans="1:24" ht="12" customHeight="1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  <c r="V1679">
        <f t="shared" si="810"/>
        <v>9</v>
      </c>
      <c r="W1679">
        <f t="shared" si="808"/>
        <v>11</v>
      </c>
      <c r="X1679">
        <f t="shared" si="809"/>
        <v>2011</v>
      </c>
    </row>
    <row r="1680" spans="1:24" ht="12" customHeight="1">
      <c r="A1680" s="4">
        <v>6572</v>
      </c>
      <c r="B1680" s="4">
        <v>46726</v>
      </c>
      <c r="C1680" s="5">
        <f t="shared" ref="C1680:C1681" si="814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  <c r="V1680">
        <f t="shared" si="810"/>
        <v>5</v>
      </c>
      <c r="W1680">
        <f t="shared" si="808"/>
        <v>7</v>
      </c>
      <c r="X1680">
        <f t="shared" si="809"/>
        <v>2012</v>
      </c>
    </row>
    <row r="1681" spans="1:24" ht="12" customHeight="1">
      <c r="A1681" s="4">
        <v>6573</v>
      </c>
      <c r="B1681" s="4">
        <v>46726</v>
      </c>
      <c r="C1681" s="5">
        <f t="shared" si="814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  <c r="V1681">
        <f t="shared" si="810"/>
        <v>7</v>
      </c>
      <c r="W1681">
        <f t="shared" si="808"/>
        <v>7</v>
      </c>
      <c r="X1681">
        <f t="shared" si="809"/>
        <v>2012</v>
      </c>
    </row>
    <row r="1682" spans="1:24" ht="12" customHeight="1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  <c r="V1682">
        <f t="shared" si="810"/>
        <v>3</v>
      </c>
      <c r="W1682">
        <f t="shared" si="808"/>
        <v>3</v>
      </c>
      <c r="X1682">
        <f t="shared" si="809"/>
        <v>2012</v>
      </c>
    </row>
    <row r="1683" spans="1:24" ht="12" customHeight="1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  <c r="V1683">
        <f t="shared" si="810"/>
        <v>16</v>
      </c>
      <c r="W1683">
        <f t="shared" si="808"/>
        <v>9</v>
      </c>
      <c r="X1683">
        <f t="shared" si="809"/>
        <v>2011</v>
      </c>
    </row>
    <row r="1684" spans="1:24" ht="12" customHeight="1">
      <c r="A1684" s="4">
        <v>6746</v>
      </c>
      <c r="B1684" s="4">
        <v>48034</v>
      </c>
      <c r="C1684" s="5">
        <f t="shared" ref="C1684:C1685" si="815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  <c r="V1684">
        <f t="shared" si="810"/>
        <v>15</v>
      </c>
      <c r="W1684">
        <f t="shared" si="808"/>
        <v>7</v>
      </c>
      <c r="X1684">
        <f t="shared" si="809"/>
        <v>2009</v>
      </c>
    </row>
    <row r="1685" spans="1:24" ht="12" customHeight="1">
      <c r="A1685" s="4">
        <v>6747</v>
      </c>
      <c r="B1685" s="4">
        <v>48034</v>
      </c>
      <c r="C1685" s="5">
        <f t="shared" si="815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  <c r="V1685">
        <f t="shared" si="810"/>
        <v>14</v>
      </c>
      <c r="W1685">
        <f t="shared" si="808"/>
        <v>7</v>
      </c>
      <c r="X1685">
        <f t="shared" si="809"/>
        <v>2009</v>
      </c>
    </row>
    <row r="1686" spans="1:24" ht="12" customHeight="1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  <c r="V1686">
        <f t="shared" si="810"/>
        <v>31</v>
      </c>
      <c r="W1686">
        <f t="shared" si="808"/>
        <v>10</v>
      </c>
      <c r="X1686">
        <f t="shared" si="809"/>
        <v>2011</v>
      </c>
    </row>
    <row r="1687" spans="1:24" ht="12" customHeight="1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  <c r="V1687">
        <f t="shared" si="810"/>
        <v>18</v>
      </c>
      <c r="W1687">
        <f t="shared" si="808"/>
        <v>1</v>
      </c>
      <c r="X1687">
        <f t="shared" si="809"/>
        <v>2011</v>
      </c>
    </row>
    <row r="1688" spans="1:24" ht="12" customHeight="1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  <c r="V1688">
        <f t="shared" si="810"/>
        <v>16</v>
      </c>
      <c r="W1688">
        <f t="shared" si="808"/>
        <v>10</v>
      </c>
      <c r="X1688">
        <f t="shared" si="809"/>
        <v>2010</v>
      </c>
    </row>
    <row r="1689" spans="1:24" ht="12" customHeight="1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816">C1689+1</f>
        <v>40122</v>
      </c>
      <c r="V1689">
        <f t="shared" si="810"/>
        <v>5</v>
      </c>
      <c r="W1689">
        <f t="shared" si="808"/>
        <v>11</v>
      </c>
      <c r="X1689">
        <f t="shared" si="809"/>
        <v>2009</v>
      </c>
    </row>
    <row r="1690" spans="1:24" ht="12" customHeight="1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816"/>
        <v>39997</v>
      </c>
      <c r="V1690">
        <f t="shared" si="810"/>
        <v>3</v>
      </c>
      <c r="W1690">
        <f t="shared" si="808"/>
        <v>7</v>
      </c>
      <c r="X1690">
        <f t="shared" si="809"/>
        <v>2009</v>
      </c>
    </row>
    <row r="1691" spans="1:24" ht="12" customHeight="1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  <c r="V1691">
        <f t="shared" si="810"/>
        <v>4</v>
      </c>
      <c r="W1691">
        <f t="shared" si="808"/>
        <v>3</v>
      </c>
      <c r="X1691">
        <f t="shared" si="809"/>
        <v>2012</v>
      </c>
    </row>
    <row r="1692" spans="1:24" ht="12" customHeight="1">
      <c r="A1692" s="4">
        <v>7139</v>
      </c>
      <c r="B1692" s="4">
        <v>50949</v>
      </c>
      <c r="C1692" s="5">
        <f t="shared" ref="C1692:C1693" si="817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  <c r="V1692">
        <f t="shared" si="810"/>
        <v>5</v>
      </c>
      <c r="W1692">
        <f t="shared" si="808"/>
        <v>2</v>
      </c>
      <c r="X1692">
        <f t="shared" si="809"/>
        <v>2011</v>
      </c>
    </row>
    <row r="1693" spans="1:24" ht="12" customHeight="1">
      <c r="A1693" s="4">
        <v>7140</v>
      </c>
      <c r="B1693" s="4">
        <v>50949</v>
      </c>
      <c r="C1693" s="5">
        <f t="shared" si="817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818">C1693+2</f>
        <v>40580</v>
      </c>
      <c r="V1693">
        <f t="shared" si="810"/>
        <v>6</v>
      </c>
      <c r="W1693">
        <f t="shared" si="808"/>
        <v>2</v>
      </c>
      <c r="X1693">
        <f t="shared" si="809"/>
        <v>2011</v>
      </c>
    </row>
    <row r="1694" spans="1:24" ht="12" customHeight="1">
      <c r="A1694" s="4">
        <v>7198</v>
      </c>
      <c r="B1694" s="4">
        <v>51361</v>
      </c>
      <c r="C1694" s="5">
        <f t="shared" ref="C1694:C1695" si="819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818"/>
        <v>40622</v>
      </c>
      <c r="V1694">
        <f t="shared" si="810"/>
        <v>20</v>
      </c>
      <c r="W1694">
        <f t="shared" si="808"/>
        <v>3</v>
      </c>
      <c r="X1694">
        <f t="shared" si="809"/>
        <v>2011</v>
      </c>
    </row>
    <row r="1695" spans="1:24" ht="12" customHeight="1">
      <c r="A1695" s="4">
        <v>7199</v>
      </c>
      <c r="B1695" s="4">
        <v>51361</v>
      </c>
      <c r="C1695" s="5">
        <f t="shared" si="819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  <c r="V1695">
        <f t="shared" si="810"/>
        <v>22</v>
      </c>
      <c r="W1695">
        <f t="shared" si="808"/>
        <v>3</v>
      </c>
      <c r="X1695">
        <f t="shared" si="809"/>
        <v>2011</v>
      </c>
    </row>
    <row r="1696" spans="1:24" ht="12" customHeight="1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  <c r="V1696">
        <f t="shared" si="810"/>
        <v>31</v>
      </c>
      <c r="W1696">
        <f t="shared" si="808"/>
        <v>7</v>
      </c>
      <c r="X1696">
        <f t="shared" si="809"/>
        <v>2010</v>
      </c>
    </row>
    <row r="1697" spans="1:24" ht="12" customHeight="1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  <c r="V1697">
        <f t="shared" si="810"/>
        <v>18</v>
      </c>
      <c r="W1697">
        <f t="shared" si="808"/>
        <v>10</v>
      </c>
      <c r="X1697">
        <f t="shared" si="809"/>
        <v>2012</v>
      </c>
    </row>
    <row r="1698" spans="1:24" ht="12" customHeight="1">
      <c r="A1698" s="4">
        <v>7305</v>
      </c>
      <c r="B1698" s="4">
        <v>52071</v>
      </c>
      <c r="C1698" s="5">
        <f t="shared" ref="C1698:C1699" si="820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821">C1698+2</f>
        <v>40876</v>
      </c>
      <c r="V1698">
        <f t="shared" si="810"/>
        <v>29</v>
      </c>
      <c r="W1698">
        <f t="shared" si="808"/>
        <v>11</v>
      </c>
      <c r="X1698">
        <f t="shared" si="809"/>
        <v>2011</v>
      </c>
    </row>
    <row r="1699" spans="1:24" ht="12" customHeight="1">
      <c r="A1699" s="4">
        <v>7306</v>
      </c>
      <c r="B1699" s="4">
        <v>52071</v>
      </c>
      <c r="C1699" s="5">
        <f t="shared" si="820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821"/>
        <v>40876</v>
      </c>
      <c r="V1699">
        <f t="shared" si="810"/>
        <v>29</v>
      </c>
      <c r="W1699">
        <f t="shared" si="808"/>
        <v>11</v>
      </c>
      <c r="X1699">
        <f t="shared" si="809"/>
        <v>2011</v>
      </c>
    </row>
    <row r="1700" spans="1:24" ht="12" customHeight="1">
      <c r="A1700" s="4">
        <v>7449</v>
      </c>
      <c r="B1700" s="4">
        <v>53152</v>
      </c>
      <c r="C1700" s="5">
        <f t="shared" ref="C1700:C1702" si="822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821"/>
        <v>39879</v>
      </c>
      <c r="V1700">
        <f t="shared" si="810"/>
        <v>7</v>
      </c>
      <c r="W1700">
        <f t="shared" si="808"/>
        <v>3</v>
      </c>
      <c r="X1700">
        <f t="shared" si="809"/>
        <v>2009</v>
      </c>
    </row>
    <row r="1701" spans="1:24" ht="12" customHeight="1">
      <c r="A1701" s="4">
        <v>7450</v>
      </c>
      <c r="B1701" s="4">
        <v>53152</v>
      </c>
      <c r="C1701" s="5">
        <f t="shared" si="822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  <c r="V1701">
        <f t="shared" si="810"/>
        <v>8</v>
      </c>
      <c r="W1701">
        <f t="shared" si="808"/>
        <v>3</v>
      </c>
      <c r="X1701">
        <f t="shared" si="809"/>
        <v>2009</v>
      </c>
    </row>
    <row r="1702" spans="1:24" ht="12" customHeight="1">
      <c r="A1702" s="4">
        <v>7451</v>
      </c>
      <c r="B1702" s="4">
        <v>53152</v>
      </c>
      <c r="C1702" s="5">
        <f t="shared" si="822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  <c r="V1702">
        <f t="shared" si="810"/>
        <v>7</v>
      </c>
      <c r="W1702">
        <f t="shared" si="808"/>
        <v>3</v>
      </c>
      <c r="X1702">
        <f t="shared" si="809"/>
        <v>2009</v>
      </c>
    </row>
    <row r="1703" spans="1:24" ht="12" customHeight="1">
      <c r="A1703" s="4">
        <v>7573</v>
      </c>
      <c r="B1703" s="4">
        <v>54177</v>
      </c>
      <c r="C1703" s="5">
        <f t="shared" ref="C1703:C1704" si="823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  <c r="V1703">
        <f t="shared" si="810"/>
        <v>25</v>
      </c>
      <c r="W1703">
        <f t="shared" si="808"/>
        <v>1</v>
      </c>
      <c r="X1703">
        <f t="shared" si="809"/>
        <v>2012</v>
      </c>
    </row>
    <row r="1704" spans="1:24" ht="12" customHeight="1">
      <c r="A1704" s="4">
        <v>7574</v>
      </c>
      <c r="B1704" s="4">
        <v>54177</v>
      </c>
      <c r="C1704" s="5">
        <f t="shared" si="823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  <c r="V1704">
        <f t="shared" si="810"/>
        <v>27</v>
      </c>
      <c r="W1704">
        <f t="shared" si="808"/>
        <v>1</v>
      </c>
      <c r="X1704">
        <f t="shared" si="809"/>
        <v>2012</v>
      </c>
    </row>
    <row r="1705" spans="1:24" ht="12" customHeight="1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  <c r="V1705">
        <f t="shared" si="810"/>
        <v>13</v>
      </c>
      <c r="W1705">
        <f t="shared" si="808"/>
        <v>5</v>
      </c>
      <c r="X1705">
        <f t="shared" si="809"/>
        <v>2010</v>
      </c>
    </row>
    <row r="1706" spans="1:24" ht="12" customHeight="1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824">C1706+1</f>
        <v>40085</v>
      </c>
      <c r="V1706">
        <f t="shared" si="810"/>
        <v>29</v>
      </c>
      <c r="W1706">
        <f t="shared" si="808"/>
        <v>9</v>
      </c>
      <c r="X1706">
        <f t="shared" si="809"/>
        <v>2009</v>
      </c>
    </row>
    <row r="1707" spans="1:24" ht="12" customHeight="1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824"/>
        <v>41093</v>
      </c>
      <c r="V1707">
        <f t="shared" si="810"/>
        <v>3</v>
      </c>
      <c r="W1707">
        <f t="shared" si="808"/>
        <v>7</v>
      </c>
      <c r="X1707">
        <f t="shared" si="809"/>
        <v>2012</v>
      </c>
    </row>
    <row r="1708" spans="1:24" ht="12" customHeight="1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  <c r="V1708">
        <f t="shared" si="810"/>
        <v>7</v>
      </c>
      <c r="W1708">
        <f t="shared" si="808"/>
        <v>10</v>
      </c>
      <c r="X1708">
        <f t="shared" si="809"/>
        <v>2010</v>
      </c>
    </row>
    <row r="1709" spans="1:24" ht="12" customHeight="1">
      <c r="A1709" s="4">
        <v>7996</v>
      </c>
      <c r="B1709" s="4">
        <v>57153</v>
      </c>
      <c r="C1709" s="5">
        <f t="shared" ref="C1709:C1710" si="825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  <c r="V1709">
        <f t="shared" si="810"/>
        <v>28</v>
      </c>
      <c r="W1709">
        <f t="shared" si="808"/>
        <v>5</v>
      </c>
      <c r="X1709">
        <f t="shared" si="809"/>
        <v>2009</v>
      </c>
    </row>
    <row r="1710" spans="1:24" ht="12" customHeight="1">
      <c r="A1710" s="4">
        <v>7997</v>
      </c>
      <c r="B1710" s="4">
        <v>57153</v>
      </c>
      <c r="C1710" s="5">
        <f t="shared" si="825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  <c r="V1710">
        <f t="shared" si="810"/>
        <v>27</v>
      </c>
      <c r="W1710">
        <f t="shared" si="808"/>
        <v>5</v>
      </c>
      <c r="X1710">
        <f t="shared" si="809"/>
        <v>2009</v>
      </c>
    </row>
    <row r="1711" spans="1:24" ht="12" customHeight="1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826">C1711+2</f>
        <v>40231</v>
      </c>
      <c r="V1711">
        <f t="shared" si="810"/>
        <v>22</v>
      </c>
      <c r="W1711">
        <f t="shared" si="808"/>
        <v>2</v>
      </c>
      <c r="X1711">
        <f t="shared" si="809"/>
        <v>2010</v>
      </c>
    </row>
    <row r="1712" spans="1:24" ht="12" customHeight="1">
      <c r="A1712" s="4">
        <v>8201</v>
      </c>
      <c r="B1712" s="4">
        <v>58656</v>
      </c>
      <c r="C1712" s="5">
        <f t="shared" ref="C1712:C1713" si="827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826"/>
        <v>40518</v>
      </c>
      <c r="V1712">
        <f t="shared" si="810"/>
        <v>6</v>
      </c>
      <c r="W1712">
        <f t="shared" si="808"/>
        <v>12</v>
      </c>
      <c r="X1712">
        <f t="shared" si="809"/>
        <v>2010</v>
      </c>
    </row>
    <row r="1713" spans="1:24" ht="12" customHeight="1">
      <c r="A1713" s="4">
        <v>8202</v>
      </c>
      <c r="B1713" s="4">
        <v>58656</v>
      </c>
      <c r="C1713" s="5">
        <f t="shared" si="827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826"/>
        <v>40518</v>
      </c>
      <c r="V1713">
        <f t="shared" si="810"/>
        <v>6</v>
      </c>
      <c r="W1713">
        <f t="shared" si="808"/>
        <v>12</v>
      </c>
      <c r="X1713">
        <f t="shared" si="809"/>
        <v>2010</v>
      </c>
    </row>
    <row r="1714" spans="1:24" ht="12" customHeight="1">
      <c r="A1714" s="4">
        <v>8226</v>
      </c>
      <c r="B1714" s="4">
        <v>58789</v>
      </c>
      <c r="C1714" s="5">
        <f t="shared" ref="C1714:C1715" si="828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  <c r="V1714">
        <f t="shared" si="810"/>
        <v>9</v>
      </c>
      <c r="W1714">
        <f t="shared" si="808"/>
        <v>8</v>
      </c>
      <c r="X1714">
        <f t="shared" si="809"/>
        <v>2010</v>
      </c>
    </row>
    <row r="1715" spans="1:24" ht="12" customHeight="1">
      <c r="A1715" s="4">
        <v>8227</v>
      </c>
      <c r="B1715" s="4">
        <v>58789</v>
      </c>
      <c r="C1715" s="5">
        <f t="shared" si="828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  <c r="V1715">
        <f t="shared" si="810"/>
        <v>10</v>
      </c>
      <c r="W1715">
        <f t="shared" si="808"/>
        <v>8</v>
      </c>
      <c r="X1715">
        <f t="shared" si="809"/>
        <v>2010</v>
      </c>
    </row>
    <row r="1716" spans="1:24" ht="12" customHeight="1">
      <c r="A1716" s="4">
        <v>8280</v>
      </c>
      <c r="B1716" s="4">
        <v>59200</v>
      </c>
      <c r="C1716" s="5">
        <f t="shared" ref="C1716:C1717" si="829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  <c r="V1716">
        <f t="shared" si="810"/>
        <v>9</v>
      </c>
      <c r="W1716">
        <f t="shared" si="808"/>
        <v>12</v>
      </c>
      <c r="X1716">
        <f t="shared" si="809"/>
        <v>2011</v>
      </c>
    </row>
    <row r="1717" spans="1:24" ht="12" customHeight="1">
      <c r="A1717" s="4">
        <v>8281</v>
      </c>
      <c r="B1717" s="4">
        <v>59200</v>
      </c>
      <c r="C1717" s="5">
        <f t="shared" si="829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  <c r="V1717">
        <f t="shared" si="810"/>
        <v>11</v>
      </c>
      <c r="W1717">
        <f t="shared" si="808"/>
        <v>12</v>
      </c>
      <c r="X1717">
        <f t="shared" si="809"/>
        <v>2011</v>
      </c>
    </row>
    <row r="1718" spans="1:24" ht="12" customHeight="1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830">C1718+1</f>
        <v>39849</v>
      </c>
      <c r="V1718">
        <f t="shared" si="810"/>
        <v>5</v>
      </c>
      <c r="W1718">
        <f t="shared" si="808"/>
        <v>2</v>
      </c>
      <c r="X1718">
        <f t="shared" si="809"/>
        <v>2009</v>
      </c>
    </row>
    <row r="1719" spans="1:24" ht="12" customHeight="1">
      <c r="A1719" s="4">
        <v>8379</v>
      </c>
      <c r="B1719" s="4">
        <v>59878</v>
      </c>
      <c r="C1719" s="5">
        <f t="shared" ref="C1719:C1720" si="831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830"/>
        <v>41058</v>
      </c>
      <c r="V1719">
        <f t="shared" si="810"/>
        <v>29</v>
      </c>
      <c r="W1719">
        <f t="shared" si="808"/>
        <v>5</v>
      </c>
      <c r="X1719">
        <f t="shared" si="809"/>
        <v>2012</v>
      </c>
    </row>
    <row r="1720" spans="1:24" ht="12" customHeight="1">
      <c r="A1720" s="4">
        <v>8380</v>
      </c>
      <c r="B1720" s="4">
        <v>59878</v>
      </c>
      <c r="C1720" s="5">
        <f t="shared" si="831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830"/>
        <v>41058</v>
      </c>
      <c r="V1720">
        <f t="shared" si="810"/>
        <v>29</v>
      </c>
      <c r="W1720">
        <f t="shared" si="808"/>
        <v>5</v>
      </c>
      <c r="X1720">
        <f t="shared" si="809"/>
        <v>2012</v>
      </c>
    </row>
    <row r="1721" spans="1:24" ht="12" customHeight="1">
      <c r="A1721" s="4">
        <v>8386</v>
      </c>
      <c r="B1721" s="4">
        <v>59909</v>
      </c>
      <c r="C1721" s="5">
        <f t="shared" ref="C1721:C1722" si="832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  <c r="V1721">
        <f t="shared" si="810"/>
        <v>7</v>
      </c>
      <c r="W1721">
        <f t="shared" si="808"/>
        <v>8</v>
      </c>
      <c r="X1721">
        <f t="shared" si="809"/>
        <v>2012</v>
      </c>
    </row>
    <row r="1722" spans="1:24" ht="12" customHeight="1">
      <c r="A1722" s="4">
        <v>8387</v>
      </c>
      <c r="B1722" s="4">
        <v>59909</v>
      </c>
      <c r="C1722" s="5">
        <f t="shared" si="832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  <c r="V1722">
        <f t="shared" si="810"/>
        <v>12</v>
      </c>
      <c r="W1722">
        <f t="shared" si="808"/>
        <v>8</v>
      </c>
      <c r="X1722">
        <f t="shared" si="809"/>
        <v>2012</v>
      </c>
    </row>
    <row r="1723" spans="1:24" ht="12" customHeight="1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  <c r="V1723">
        <f t="shared" si="810"/>
        <v>22</v>
      </c>
      <c r="W1723">
        <f t="shared" si="808"/>
        <v>6</v>
      </c>
      <c r="X1723">
        <f t="shared" si="809"/>
        <v>2009</v>
      </c>
    </row>
    <row r="1724" spans="1:24" ht="12" customHeight="1">
      <c r="A1724" s="4">
        <v>237</v>
      </c>
      <c r="B1724" s="4">
        <v>1600</v>
      </c>
      <c r="C1724" s="5">
        <f t="shared" ref="C1724:C1725" si="833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  <c r="V1724">
        <f t="shared" si="810"/>
        <v>4</v>
      </c>
      <c r="W1724">
        <f t="shared" si="808"/>
        <v>3</v>
      </c>
      <c r="X1724">
        <f t="shared" si="809"/>
        <v>2010</v>
      </c>
    </row>
    <row r="1725" spans="1:24" ht="12" customHeight="1">
      <c r="A1725" s="4">
        <v>238</v>
      </c>
      <c r="B1725" s="4">
        <v>1600</v>
      </c>
      <c r="C1725" s="5">
        <f t="shared" si="833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834">C1725+1</f>
        <v>40240</v>
      </c>
      <c r="V1725">
        <f t="shared" si="810"/>
        <v>3</v>
      </c>
      <c r="W1725">
        <f t="shared" si="808"/>
        <v>3</v>
      </c>
      <c r="X1725">
        <f t="shared" si="809"/>
        <v>2010</v>
      </c>
    </row>
    <row r="1726" spans="1:24" ht="12" customHeight="1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834"/>
        <v>39884</v>
      </c>
      <c r="V1726">
        <f t="shared" si="810"/>
        <v>12</v>
      </c>
      <c r="W1726">
        <f t="shared" si="808"/>
        <v>3</v>
      </c>
      <c r="X1726">
        <f t="shared" si="809"/>
        <v>2009</v>
      </c>
    </row>
    <row r="1727" spans="1:24" ht="12" customHeight="1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  <c r="V1727">
        <f t="shared" si="810"/>
        <v>9</v>
      </c>
      <c r="W1727">
        <f t="shared" si="808"/>
        <v>9</v>
      </c>
      <c r="X1727">
        <f t="shared" si="809"/>
        <v>2011</v>
      </c>
    </row>
    <row r="1728" spans="1:24" ht="12" customHeight="1">
      <c r="A1728" s="4">
        <v>458</v>
      </c>
      <c r="B1728" s="4">
        <v>3109</v>
      </c>
      <c r="C1728" s="5">
        <f t="shared" ref="C1728:C1729" si="835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836">C1728+7</f>
        <v>40389</v>
      </c>
      <c r="V1728">
        <f t="shared" si="810"/>
        <v>30</v>
      </c>
      <c r="W1728">
        <f t="shared" si="808"/>
        <v>7</v>
      </c>
      <c r="X1728">
        <f t="shared" si="809"/>
        <v>2010</v>
      </c>
    </row>
    <row r="1729" spans="1:24" ht="12" customHeight="1">
      <c r="A1729" s="4">
        <v>459</v>
      </c>
      <c r="B1729" s="4">
        <v>3109</v>
      </c>
      <c r="C1729" s="5">
        <f t="shared" si="835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836"/>
        <v>40389</v>
      </c>
      <c r="V1729">
        <f t="shared" si="810"/>
        <v>30</v>
      </c>
      <c r="W1729">
        <f t="shared" si="808"/>
        <v>7</v>
      </c>
      <c r="X1729">
        <f t="shared" si="809"/>
        <v>2010</v>
      </c>
    </row>
    <row r="1730" spans="1:24" ht="12" customHeight="1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  <c r="V1730">
        <f t="shared" si="810"/>
        <v>8</v>
      </c>
      <c r="W1730">
        <f t="shared" si="808"/>
        <v>4</v>
      </c>
      <c r="X1730">
        <f t="shared" si="809"/>
        <v>2009</v>
      </c>
    </row>
    <row r="1731" spans="1:24" ht="12" customHeight="1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837">C1731+2</f>
        <v>40993</v>
      </c>
      <c r="V1731">
        <f t="shared" si="810"/>
        <v>25</v>
      </c>
      <c r="W1731">
        <f t="shared" ref="W1731:W1794" si="838">MONTH(U1731)</f>
        <v>3</v>
      </c>
      <c r="X1731">
        <f t="shared" ref="X1731:X1794" si="839">YEAR(U1731)</f>
        <v>2012</v>
      </c>
    </row>
    <row r="1732" spans="1:24" ht="12" customHeight="1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837"/>
        <v>40401</v>
      </c>
      <c r="V1732">
        <f t="shared" ref="V1732:V1795" si="840">DAY(U1732)</f>
        <v>11</v>
      </c>
      <c r="W1732">
        <f t="shared" si="838"/>
        <v>8</v>
      </c>
      <c r="X1732">
        <f t="shared" si="839"/>
        <v>2010</v>
      </c>
    </row>
    <row r="1733" spans="1:24" ht="12" customHeight="1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837"/>
        <v>40725</v>
      </c>
      <c r="V1733">
        <f t="shared" si="840"/>
        <v>1</v>
      </c>
      <c r="W1733">
        <f t="shared" si="838"/>
        <v>7</v>
      </c>
      <c r="X1733">
        <f t="shared" si="839"/>
        <v>2011</v>
      </c>
    </row>
    <row r="1734" spans="1:24" ht="12" customHeight="1">
      <c r="A1734" s="4">
        <v>1246</v>
      </c>
      <c r="B1734" s="4">
        <v>9088</v>
      </c>
      <c r="C1734" s="5">
        <f t="shared" ref="C1734:C1735" si="841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837"/>
        <v>39988</v>
      </c>
      <c r="V1734">
        <f t="shared" si="840"/>
        <v>24</v>
      </c>
      <c r="W1734">
        <f t="shared" si="838"/>
        <v>6</v>
      </c>
      <c r="X1734">
        <f t="shared" si="839"/>
        <v>2009</v>
      </c>
    </row>
    <row r="1735" spans="1:24" ht="12" customHeight="1">
      <c r="A1735" s="4">
        <v>1247</v>
      </c>
      <c r="B1735" s="4">
        <v>9088</v>
      </c>
      <c r="C1735" s="5">
        <f t="shared" si="841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837"/>
        <v>39988</v>
      </c>
      <c r="V1735">
        <f t="shared" si="840"/>
        <v>24</v>
      </c>
      <c r="W1735">
        <f t="shared" si="838"/>
        <v>6</v>
      </c>
      <c r="X1735">
        <f t="shared" si="839"/>
        <v>2009</v>
      </c>
    </row>
    <row r="1736" spans="1:24" ht="12" customHeight="1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  <c r="V1736">
        <f t="shared" si="840"/>
        <v>21</v>
      </c>
      <c r="W1736">
        <f t="shared" si="838"/>
        <v>1</v>
      </c>
      <c r="X1736">
        <f t="shared" si="839"/>
        <v>2012</v>
      </c>
    </row>
    <row r="1737" spans="1:24" ht="12" customHeight="1">
      <c r="A1737" s="4">
        <v>1736</v>
      </c>
      <c r="B1737" s="4">
        <v>12452</v>
      </c>
      <c r="C1737" s="5">
        <f t="shared" ref="C1737:C1739" si="842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  <c r="V1737">
        <f t="shared" si="840"/>
        <v>8</v>
      </c>
      <c r="W1737">
        <f t="shared" si="838"/>
        <v>12</v>
      </c>
      <c r="X1737">
        <f t="shared" si="839"/>
        <v>2010</v>
      </c>
    </row>
    <row r="1738" spans="1:24" ht="12" customHeight="1">
      <c r="A1738" s="4">
        <v>1737</v>
      </c>
      <c r="B1738" s="4">
        <v>12452</v>
      </c>
      <c r="C1738" s="5">
        <f t="shared" si="842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843">C1738+2</f>
        <v>40521</v>
      </c>
      <c r="V1738">
        <f t="shared" si="840"/>
        <v>9</v>
      </c>
      <c r="W1738">
        <f t="shared" si="838"/>
        <v>12</v>
      </c>
      <c r="X1738">
        <f t="shared" si="839"/>
        <v>2010</v>
      </c>
    </row>
    <row r="1739" spans="1:24" ht="12" customHeight="1">
      <c r="A1739" s="4">
        <v>1738</v>
      </c>
      <c r="B1739" s="4">
        <v>12452</v>
      </c>
      <c r="C1739" s="5">
        <f t="shared" si="842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843"/>
        <v>40521</v>
      </c>
      <c r="V1739">
        <f t="shared" si="840"/>
        <v>9</v>
      </c>
      <c r="W1739">
        <f t="shared" si="838"/>
        <v>12</v>
      </c>
      <c r="X1739">
        <f t="shared" si="839"/>
        <v>2010</v>
      </c>
    </row>
    <row r="1740" spans="1:24" ht="12" customHeight="1">
      <c r="A1740" s="4">
        <v>1853</v>
      </c>
      <c r="B1740" s="4">
        <v>13345</v>
      </c>
      <c r="C1740" s="5">
        <f t="shared" ref="C1740:C1741" si="844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  <c r="V1740">
        <f t="shared" si="840"/>
        <v>3</v>
      </c>
      <c r="W1740">
        <f t="shared" si="838"/>
        <v>9</v>
      </c>
      <c r="X1740">
        <f t="shared" si="839"/>
        <v>2012</v>
      </c>
    </row>
    <row r="1741" spans="1:24" ht="12" customHeight="1">
      <c r="A1741" s="4">
        <v>1854</v>
      </c>
      <c r="B1741" s="4">
        <v>13345</v>
      </c>
      <c r="C1741" s="5">
        <f t="shared" si="844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  <c r="V1741">
        <f t="shared" si="840"/>
        <v>2</v>
      </c>
      <c r="W1741">
        <f t="shared" si="838"/>
        <v>9</v>
      </c>
      <c r="X1741">
        <f t="shared" si="839"/>
        <v>2012</v>
      </c>
    </row>
    <row r="1742" spans="1:24" ht="12" customHeight="1">
      <c r="A1742" s="4">
        <v>1864</v>
      </c>
      <c r="B1742" s="4">
        <v>13410</v>
      </c>
      <c r="C1742" s="5">
        <f t="shared" ref="C1742:C1743" si="845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  <c r="V1742">
        <f t="shared" si="840"/>
        <v>8</v>
      </c>
      <c r="W1742">
        <f t="shared" si="838"/>
        <v>6</v>
      </c>
      <c r="X1742">
        <f t="shared" si="839"/>
        <v>2010</v>
      </c>
    </row>
    <row r="1743" spans="1:24" ht="12" customHeight="1">
      <c r="A1743" s="4">
        <v>1865</v>
      </c>
      <c r="B1743" s="4">
        <v>13410</v>
      </c>
      <c r="C1743" s="5">
        <f t="shared" si="845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  <c r="V1743">
        <f t="shared" si="840"/>
        <v>7</v>
      </c>
      <c r="W1743">
        <f t="shared" si="838"/>
        <v>6</v>
      </c>
      <c r="X1743">
        <f t="shared" si="839"/>
        <v>2010</v>
      </c>
    </row>
    <row r="1744" spans="1:24" ht="12" customHeight="1">
      <c r="A1744" s="4">
        <v>2193</v>
      </c>
      <c r="B1744" s="4">
        <v>15808</v>
      </c>
      <c r="C1744" s="5">
        <f t="shared" ref="C1744:C1747" si="846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847">C1744+0</f>
        <v>40526</v>
      </c>
      <c r="V1744">
        <f t="shared" si="840"/>
        <v>14</v>
      </c>
      <c r="W1744">
        <f t="shared" si="838"/>
        <v>12</v>
      </c>
      <c r="X1744">
        <f t="shared" si="839"/>
        <v>2010</v>
      </c>
    </row>
    <row r="1745" spans="1:24" ht="12" customHeight="1">
      <c r="A1745" s="4">
        <v>2194</v>
      </c>
      <c r="B1745" s="4">
        <v>15808</v>
      </c>
      <c r="C1745" s="5">
        <f t="shared" si="846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847"/>
        <v>40526</v>
      </c>
      <c r="V1745">
        <f t="shared" si="840"/>
        <v>14</v>
      </c>
      <c r="W1745">
        <f t="shared" si="838"/>
        <v>12</v>
      </c>
      <c r="X1745">
        <f t="shared" si="839"/>
        <v>2010</v>
      </c>
    </row>
    <row r="1746" spans="1:24" ht="12" customHeight="1">
      <c r="A1746" s="4">
        <v>2195</v>
      </c>
      <c r="B1746" s="4">
        <v>15808</v>
      </c>
      <c r="C1746" s="5">
        <f t="shared" si="846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  <c r="V1746">
        <f t="shared" si="840"/>
        <v>16</v>
      </c>
      <c r="W1746">
        <f t="shared" si="838"/>
        <v>12</v>
      </c>
      <c r="X1746">
        <f t="shared" si="839"/>
        <v>2010</v>
      </c>
    </row>
    <row r="1747" spans="1:24" ht="12" customHeight="1">
      <c r="A1747" s="4">
        <v>2196</v>
      </c>
      <c r="B1747" s="4">
        <v>15808</v>
      </c>
      <c r="C1747" s="5">
        <f t="shared" si="846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  <c r="V1747">
        <f t="shared" si="840"/>
        <v>15</v>
      </c>
      <c r="W1747">
        <f t="shared" si="838"/>
        <v>12</v>
      </c>
      <c r="X1747">
        <f t="shared" si="839"/>
        <v>2010</v>
      </c>
    </row>
    <row r="1748" spans="1:24" ht="12" customHeight="1">
      <c r="A1748" s="4">
        <v>2271</v>
      </c>
      <c r="B1748" s="4">
        <v>16326</v>
      </c>
      <c r="C1748" s="5">
        <f t="shared" ref="C1748:C1749" si="848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  <c r="V1748">
        <f t="shared" si="840"/>
        <v>12</v>
      </c>
      <c r="W1748">
        <f t="shared" si="838"/>
        <v>5</v>
      </c>
      <c r="X1748">
        <f t="shared" si="839"/>
        <v>2010</v>
      </c>
    </row>
    <row r="1749" spans="1:24" ht="12" customHeight="1">
      <c r="A1749" s="4">
        <v>2272</v>
      </c>
      <c r="B1749" s="4">
        <v>16326</v>
      </c>
      <c r="C1749" s="5">
        <f t="shared" si="848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  <c r="V1749">
        <f t="shared" si="840"/>
        <v>10</v>
      </c>
      <c r="W1749">
        <f t="shared" si="838"/>
        <v>5</v>
      </c>
      <c r="X1749">
        <f t="shared" si="839"/>
        <v>2010</v>
      </c>
    </row>
    <row r="1750" spans="1:24" ht="12" customHeight="1">
      <c r="A1750" s="4">
        <v>2474</v>
      </c>
      <c r="B1750" s="4">
        <v>17985</v>
      </c>
      <c r="C1750" s="5">
        <f t="shared" ref="C1750:C1751" si="849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  <c r="V1750">
        <f t="shared" si="840"/>
        <v>13</v>
      </c>
      <c r="W1750">
        <f t="shared" si="838"/>
        <v>4</v>
      </c>
      <c r="X1750">
        <f t="shared" si="839"/>
        <v>2011</v>
      </c>
    </row>
    <row r="1751" spans="1:24" ht="12" customHeight="1">
      <c r="A1751" s="4">
        <v>2475</v>
      </c>
      <c r="B1751" s="4">
        <v>17985</v>
      </c>
      <c r="C1751" s="5">
        <f t="shared" si="849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850">C1751+2</f>
        <v>40647</v>
      </c>
      <c r="V1751">
        <f t="shared" si="840"/>
        <v>14</v>
      </c>
      <c r="W1751">
        <f t="shared" si="838"/>
        <v>4</v>
      </c>
      <c r="X1751">
        <f t="shared" si="839"/>
        <v>2011</v>
      </c>
    </row>
    <row r="1752" spans="1:24" ht="12" customHeight="1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850"/>
        <v>39844</v>
      </c>
      <c r="V1752">
        <f t="shared" si="840"/>
        <v>31</v>
      </c>
      <c r="W1752">
        <f t="shared" si="838"/>
        <v>1</v>
      </c>
      <c r="X1752">
        <f t="shared" si="839"/>
        <v>2009</v>
      </c>
    </row>
    <row r="1753" spans="1:24" ht="12" customHeight="1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850"/>
        <v>40161</v>
      </c>
      <c r="V1753">
        <f t="shared" si="840"/>
        <v>14</v>
      </c>
      <c r="W1753">
        <f t="shared" si="838"/>
        <v>12</v>
      </c>
      <c r="X1753">
        <f t="shared" si="839"/>
        <v>2009</v>
      </c>
    </row>
    <row r="1754" spans="1:24" ht="12" customHeight="1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850"/>
        <v>40935</v>
      </c>
      <c r="V1754">
        <f t="shared" si="840"/>
        <v>27</v>
      </c>
      <c r="W1754">
        <f t="shared" si="838"/>
        <v>1</v>
      </c>
      <c r="X1754">
        <f t="shared" si="839"/>
        <v>2012</v>
      </c>
    </row>
    <row r="1755" spans="1:24" ht="12" customHeight="1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  <c r="V1755">
        <f t="shared" si="840"/>
        <v>16</v>
      </c>
      <c r="W1755">
        <f t="shared" si="838"/>
        <v>6</v>
      </c>
      <c r="X1755">
        <f t="shared" si="839"/>
        <v>2012</v>
      </c>
    </row>
    <row r="1756" spans="1:24" ht="12" customHeight="1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  <c r="V1756">
        <f t="shared" si="840"/>
        <v>15</v>
      </c>
      <c r="W1756">
        <f t="shared" si="838"/>
        <v>4</v>
      </c>
      <c r="X1756">
        <f t="shared" si="839"/>
        <v>2009</v>
      </c>
    </row>
    <row r="1757" spans="1:24" ht="12" customHeight="1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  <c r="V1757">
        <f t="shared" si="840"/>
        <v>11</v>
      </c>
      <c r="W1757">
        <f t="shared" si="838"/>
        <v>4</v>
      </c>
      <c r="X1757">
        <f t="shared" si="839"/>
        <v>2009</v>
      </c>
    </row>
    <row r="1758" spans="1:24" ht="12" customHeight="1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  <c r="V1758">
        <f t="shared" si="840"/>
        <v>24</v>
      </c>
      <c r="W1758">
        <f t="shared" si="838"/>
        <v>9</v>
      </c>
      <c r="X1758">
        <f t="shared" si="839"/>
        <v>2009</v>
      </c>
    </row>
    <row r="1759" spans="1:24" ht="12" customHeight="1">
      <c r="A1759" s="4">
        <v>4123</v>
      </c>
      <c r="B1759" s="4">
        <v>29318</v>
      </c>
      <c r="C1759" s="5">
        <f t="shared" ref="C1759:C1760" si="851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852">C1759+1</f>
        <v>40725</v>
      </c>
      <c r="V1759">
        <f t="shared" si="840"/>
        <v>1</v>
      </c>
      <c r="W1759">
        <f t="shared" si="838"/>
        <v>7</v>
      </c>
      <c r="X1759">
        <f t="shared" si="839"/>
        <v>2011</v>
      </c>
    </row>
    <row r="1760" spans="1:24" ht="12" customHeight="1">
      <c r="A1760" s="4">
        <v>4124</v>
      </c>
      <c r="B1760" s="4">
        <v>29318</v>
      </c>
      <c r="C1760" s="5">
        <f t="shared" si="851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852"/>
        <v>40725</v>
      </c>
      <c r="V1760">
        <f t="shared" si="840"/>
        <v>1</v>
      </c>
      <c r="W1760">
        <f t="shared" si="838"/>
        <v>7</v>
      </c>
      <c r="X1760">
        <f t="shared" si="839"/>
        <v>2011</v>
      </c>
    </row>
    <row r="1761" spans="1:24" ht="12" customHeight="1">
      <c r="A1761" s="4">
        <v>4223</v>
      </c>
      <c r="B1761" s="4">
        <v>30016</v>
      </c>
      <c r="C1761" s="5">
        <f t="shared" ref="C1761:C1762" si="853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  <c r="V1761">
        <f t="shared" si="840"/>
        <v>5</v>
      </c>
      <c r="W1761">
        <f t="shared" si="838"/>
        <v>1</v>
      </c>
      <c r="X1761">
        <f t="shared" si="839"/>
        <v>2009</v>
      </c>
    </row>
    <row r="1762" spans="1:24" ht="12" customHeight="1">
      <c r="A1762" s="4">
        <v>4224</v>
      </c>
      <c r="B1762" s="4">
        <v>30016</v>
      </c>
      <c r="C1762" s="5">
        <f t="shared" si="853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  <c r="V1762">
        <f t="shared" si="840"/>
        <v>6</v>
      </c>
      <c r="W1762">
        <f t="shared" si="838"/>
        <v>1</v>
      </c>
      <c r="X1762">
        <f t="shared" si="839"/>
        <v>2009</v>
      </c>
    </row>
    <row r="1763" spans="1:24" ht="12" customHeight="1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  <c r="V1763">
        <f t="shared" si="840"/>
        <v>25</v>
      </c>
      <c r="W1763">
        <f t="shared" si="838"/>
        <v>6</v>
      </c>
      <c r="X1763">
        <f t="shared" si="839"/>
        <v>2010</v>
      </c>
    </row>
    <row r="1764" spans="1:24" ht="12" customHeight="1">
      <c r="A1764" s="4">
        <v>4933</v>
      </c>
      <c r="B1764" s="4">
        <v>35104</v>
      </c>
      <c r="C1764" s="5">
        <f t="shared" ref="C1764:C1765" si="854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  <c r="V1764">
        <f t="shared" si="840"/>
        <v>25</v>
      </c>
      <c r="W1764">
        <f t="shared" si="838"/>
        <v>4</v>
      </c>
      <c r="X1764">
        <f t="shared" si="839"/>
        <v>2012</v>
      </c>
    </row>
    <row r="1765" spans="1:24" ht="12" customHeight="1">
      <c r="A1765" s="4">
        <v>4934</v>
      </c>
      <c r="B1765" s="4">
        <v>35104</v>
      </c>
      <c r="C1765" s="5">
        <f t="shared" si="854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855">C1765+2</f>
        <v>41023</v>
      </c>
      <c r="V1765">
        <f t="shared" si="840"/>
        <v>24</v>
      </c>
      <c r="W1765">
        <f t="shared" si="838"/>
        <v>4</v>
      </c>
      <c r="X1765">
        <f t="shared" si="839"/>
        <v>2012</v>
      </c>
    </row>
    <row r="1766" spans="1:24" ht="12" customHeight="1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855"/>
        <v>40292</v>
      </c>
      <c r="V1766">
        <f t="shared" si="840"/>
        <v>24</v>
      </c>
      <c r="W1766">
        <f t="shared" si="838"/>
        <v>4</v>
      </c>
      <c r="X1766">
        <f t="shared" si="839"/>
        <v>2010</v>
      </c>
    </row>
    <row r="1767" spans="1:24" ht="12" customHeight="1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  <c r="V1767">
        <f t="shared" si="840"/>
        <v>3</v>
      </c>
      <c r="W1767">
        <f t="shared" si="838"/>
        <v>5</v>
      </c>
      <c r="X1767">
        <f t="shared" si="839"/>
        <v>2011</v>
      </c>
    </row>
    <row r="1768" spans="1:24" ht="12" customHeight="1">
      <c r="A1768" s="4">
        <v>5037</v>
      </c>
      <c r="B1768" s="4">
        <v>35908</v>
      </c>
      <c r="C1768" s="5">
        <f t="shared" ref="C1768:C1769" si="856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  <c r="V1768">
        <f t="shared" si="840"/>
        <v>14</v>
      </c>
      <c r="W1768">
        <f t="shared" si="838"/>
        <v>12</v>
      </c>
      <c r="X1768">
        <f t="shared" si="839"/>
        <v>2010</v>
      </c>
    </row>
    <row r="1769" spans="1:24" ht="12" customHeight="1">
      <c r="A1769" s="4">
        <v>5038</v>
      </c>
      <c r="B1769" s="4">
        <v>35908</v>
      </c>
      <c r="C1769" s="5">
        <f t="shared" si="856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  <c r="V1769">
        <f t="shared" si="840"/>
        <v>13</v>
      </c>
      <c r="W1769">
        <f t="shared" si="838"/>
        <v>12</v>
      </c>
      <c r="X1769">
        <f t="shared" si="839"/>
        <v>2010</v>
      </c>
    </row>
    <row r="1770" spans="1:24" ht="12" customHeight="1">
      <c r="A1770" s="4">
        <v>5152</v>
      </c>
      <c r="B1770" s="4">
        <v>36706</v>
      </c>
      <c r="C1770" s="5">
        <f t="shared" ref="C1770:C1771" si="857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858">C1770+2</f>
        <v>39916</v>
      </c>
      <c r="V1770">
        <f t="shared" si="840"/>
        <v>13</v>
      </c>
      <c r="W1770">
        <f t="shared" si="838"/>
        <v>4</v>
      </c>
      <c r="X1770">
        <f t="shared" si="839"/>
        <v>2009</v>
      </c>
    </row>
    <row r="1771" spans="1:24" ht="12" customHeight="1">
      <c r="A1771" s="4">
        <v>5153</v>
      </c>
      <c r="B1771" s="4">
        <v>36706</v>
      </c>
      <c r="C1771" s="5">
        <f t="shared" si="857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858"/>
        <v>39916</v>
      </c>
      <c r="V1771">
        <f t="shared" si="840"/>
        <v>13</v>
      </c>
      <c r="W1771">
        <f t="shared" si="838"/>
        <v>4</v>
      </c>
      <c r="X1771">
        <f t="shared" si="839"/>
        <v>2009</v>
      </c>
    </row>
    <row r="1772" spans="1:24" ht="12" customHeight="1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859">C1772+1</f>
        <v>40618</v>
      </c>
      <c r="V1772">
        <f t="shared" si="840"/>
        <v>16</v>
      </c>
      <c r="W1772">
        <f t="shared" si="838"/>
        <v>3</v>
      </c>
      <c r="X1772">
        <f t="shared" si="839"/>
        <v>2011</v>
      </c>
    </row>
    <row r="1773" spans="1:24" ht="12" customHeight="1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859"/>
        <v>40898</v>
      </c>
      <c r="V1773">
        <f t="shared" si="840"/>
        <v>21</v>
      </c>
      <c r="W1773">
        <f t="shared" si="838"/>
        <v>12</v>
      </c>
      <c r="X1773">
        <f t="shared" si="839"/>
        <v>2011</v>
      </c>
    </row>
    <row r="1774" spans="1:24" ht="12" customHeight="1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  <c r="V1774">
        <f t="shared" si="840"/>
        <v>27</v>
      </c>
      <c r="W1774">
        <f t="shared" si="838"/>
        <v>3</v>
      </c>
      <c r="X1774">
        <f t="shared" si="839"/>
        <v>2012</v>
      </c>
    </row>
    <row r="1775" spans="1:24" ht="12" customHeight="1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  <c r="V1775">
        <f t="shared" si="840"/>
        <v>21</v>
      </c>
      <c r="W1775">
        <f t="shared" si="838"/>
        <v>5</v>
      </c>
      <c r="X1775">
        <f t="shared" si="839"/>
        <v>2011</v>
      </c>
    </row>
    <row r="1776" spans="1:24" ht="12" customHeight="1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  <c r="V1776">
        <f t="shared" si="840"/>
        <v>13</v>
      </c>
      <c r="W1776">
        <f t="shared" si="838"/>
        <v>6</v>
      </c>
      <c r="X1776">
        <f t="shared" si="839"/>
        <v>2009</v>
      </c>
    </row>
    <row r="1777" spans="1:24" ht="12" customHeight="1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860">C1777+1</f>
        <v>40633</v>
      </c>
      <c r="V1777">
        <f t="shared" si="840"/>
        <v>31</v>
      </c>
      <c r="W1777">
        <f t="shared" si="838"/>
        <v>3</v>
      </c>
      <c r="X1777">
        <f t="shared" si="839"/>
        <v>2011</v>
      </c>
    </row>
    <row r="1778" spans="1:24" ht="12" customHeight="1">
      <c r="A1778" s="4">
        <v>5783</v>
      </c>
      <c r="B1778" s="4">
        <v>41026</v>
      </c>
      <c r="C1778" s="5">
        <f t="shared" ref="C1778:C1779" si="861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860"/>
        <v>40653</v>
      </c>
      <c r="V1778">
        <f t="shared" si="840"/>
        <v>20</v>
      </c>
      <c r="W1778">
        <f t="shared" si="838"/>
        <v>4</v>
      </c>
      <c r="X1778">
        <f t="shared" si="839"/>
        <v>2011</v>
      </c>
    </row>
    <row r="1779" spans="1:24" ht="12" customHeight="1">
      <c r="A1779" s="4">
        <v>5784</v>
      </c>
      <c r="B1779" s="4">
        <v>41026</v>
      </c>
      <c r="C1779" s="5">
        <f t="shared" si="861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  <c r="V1779">
        <f t="shared" si="840"/>
        <v>19</v>
      </c>
      <c r="W1779">
        <f t="shared" si="838"/>
        <v>4</v>
      </c>
      <c r="X1779">
        <f t="shared" si="839"/>
        <v>2011</v>
      </c>
    </row>
    <row r="1780" spans="1:24" ht="12" customHeight="1">
      <c r="A1780" s="4">
        <v>5853</v>
      </c>
      <c r="B1780" s="4">
        <v>41543</v>
      </c>
      <c r="C1780" s="5">
        <f t="shared" ref="C1780:C1781" si="862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863">C1780+4</f>
        <v>39854</v>
      </c>
      <c r="V1780">
        <f t="shared" si="840"/>
        <v>10</v>
      </c>
      <c r="W1780">
        <f t="shared" si="838"/>
        <v>2</v>
      </c>
      <c r="X1780">
        <f t="shared" si="839"/>
        <v>2009</v>
      </c>
    </row>
    <row r="1781" spans="1:24" ht="12" customHeight="1">
      <c r="A1781" s="4">
        <v>5854</v>
      </c>
      <c r="B1781" s="4">
        <v>41543</v>
      </c>
      <c r="C1781" s="5">
        <f t="shared" si="862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863"/>
        <v>39854</v>
      </c>
      <c r="V1781">
        <f t="shared" si="840"/>
        <v>10</v>
      </c>
      <c r="W1781">
        <f t="shared" si="838"/>
        <v>2</v>
      </c>
      <c r="X1781">
        <f t="shared" si="839"/>
        <v>2009</v>
      </c>
    </row>
    <row r="1782" spans="1:24" ht="12" customHeight="1">
      <c r="A1782" s="4">
        <v>5862</v>
      </c>
      <c r="B1782" s="4">
        <v>41606</v>
      </c>
      <c r="C1782" s="5">
        <f t="shared" ref="C1782:C1783" si="864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865">C1782+1</f>
        <v>39988</v>
      </c>
      <c r="V1782">
        <f t="shared" si="840"/>
        <v>24</v>
      </c>
      <c r="W1782">
        <f t="shared" si="838"/>
        <v>6</v>
      </c>
      <c r="X1782">
        <f t="shared" si="839"/>
        <v>2009</v>
      </c>
    </row>
    <row r="1783" spans="1:24" ht="12" customHeight="1">
      <c r="A1783" s="4">
        <v>5863</v>
      </c>
      <c r="B1783" s="4">
        <v>41606</v>
      </c>
      <c r="C1783" s="5">
        <f t="shared" si="864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865"/>
        <v>39988</v>
      </c>
      <c r="V1783">
        <f t="shared" si="840"/>
        <v>24</v>
      </c>
      <c r="W1783">
        <f t="shared" si="838"/>
        <v>6</v>
      </c>
      <c r="X1783">
        <f t="shared" si="839"/>
        <v>2009</v>
      </c>
    </row>
    <row r="1784" spans="1:24" ht="12" customHeight="1">
      <c r="A1784" s="4">
        <v>5913</v>
      </c>
      <c r="B1784" s="4">
        <v>41926</v>
      </c>
      <c r="C1784" s="5">
        <f t="shared" ref="C1784:C1785" si="866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865"/>
        <v>40580</v>
      </c>
      <c r="V1784">
        <f t="shared" si="840"/>
        <v>6</v>
      </c>
      <c r="W1784">
        <f t="shared" si="838"/>
        <v>2</v>
      </c>
      <c r="X1784">
        <f t="shared" si="839"/>
        <v>2011</v>
      </c>
    </row>
    <row r="1785" spans="1:24" ht="12" customHeight="1">
      <c r="A1785" s="4">
        <v>5914</v>
      </c>
      <c r="B1785" s="4">
        <v>41926</v>
      </c>
      <c r="C1785" s="5">
        <f t="shared" si="866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  <c r="V1785">
        <f t="shared" si="840"/>
        <v>5</v>
      </c>
      <c r="W1785">
        <f t="shared" si="838"/>
        <v>2</v>
      </c>
      <c r="X1785">
        <f t="shared" si="839"/>
        <v>2011</v>
      </c>
    </row>
    <row r="1786" spans="1:24" ht="12" customHeight="1">
      <c r="A1786" s="4">
        <v>7082</v>
      </c>
      <c r="B1786" s="4">
        <v>50533</v>
      </c>
      <c r="C1786" s="5">
        <f t="shared" ref="C1786:C1787" si="867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  <c r="V1786">
        <f t="shared" si="840"/>
        <v>2</v>
      </c>
      <c r="W1786">
        <f t="shared" si="838"/>
        <v>6</v>
      </c>
      <c r="X1786">
        <f t="shared" si="839"/>
        <v>2011</v>
      </c>
    </row>
    <row r="1787" spans="1:24" ht="12" customHeight="1">
      <c r="A1787" s="4">
        <v>7083</v>
      </c>
      <c r="B1787" s="4">
        <v>50533</v>
      </c>
      <c r="C1787" s="5">
        <f t="shared" si="867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868">C1787+1</f>
        <v>40695</v>
      </c>
      <c r="V1787">
        <f t="shared" si="840"/>
        <v>1</v>
      </c>
      <c r="W1787">
        <f t="shared" si="838"/>
        <v>6</v>
      </c>
      <c r="X1787">
        <f t="shared" si="839"/>
        <v>2011</v>
      </c>
    </row>
    <row r="1788" spans="1:24" ht="12" customHeight="1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868"/>
        <v>41096</v>
      </c>
      <c r="V1788">
        <f t="shared" si="840"/>
        <v>6</v>
      </c>
      <c r="W1788">
        <f t="shared" si="838"/>
        <v>7</v>
      </c>
      <c r="X1788">
        <f t="shared" si="839"/>
        <v>2012</v>
      </c>
    </row>
    <row r="1789" spans="1:24" ht="12" customHeight="1">
      <c r="A1789" s="4">
        <v>7469</v>
      </c>
      <c r="B1789" s="4">
        <v>53314</v>
      </c>
      <c r="C1789" s="5">
        <f t="shared" ref="C1789:C1790" si="869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  <c r="V1789">
        <f t="shared" si="840"/>
        <v>19</v>
      </c>
      <c r="W1789">
        <f t="shared" si="838"/>
        <v>9</v>
      </c>
      <c r="X1789">
        <f t="shared" si="839"/>
        <v>2010</v>
      </c>
    </row>
    <row r="1790" spans="1:24" ht="12" customHeight="1">
      <c r="A1790" s="4">
        <v>7470</v>
      </c>
      <c r="B1790" s="4">
        <v>53314</v>
      </c>
      <c r="C1790" s="5">
        <f t="shared" si="869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870">C1790+2</f>
        <v>40442</v>
      </c>
      <c r="V1790">
        <f t="shared" si="840"/>
        <v>21</v>
      </c>
      <c r="W1790">
        <f t="shared" si="838"/>
        <v>9</v>
      </c>
      <c r="X1790">
        <f t="shared" si="839"/>
        <v>2010</v>
      </c>
    </row>
    <row r="1791" spans="1:24" ht="12" customHeight="1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870"/>
        <v>41265</v>
      </c>
      <c r="V1791">
        <f t="shared" si="840"/>
        <v>22</v>
      </c>
      <c r="W1791">
        <f t="shared" si="838"/>
        <v>12</v>
      </c>
      <c r="X1791">
        <f t="shared" si="839"/>
        <v>2012</v>
      </c>
    </row>
    <row r="1792" spans="1:24" ht="12" customHeight="1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  <c r="V1792">
        <f t="shared" si="840"/>
        <v>28</v>
      </c>
      <c r="W1792">
        <f t="shared" si="838"/>
        <v>7</v>
      </c>
      <c r="X1792">
        <f t="shared" si="839"/>
        <v>2011</v>
      </c>
    </row>
    <row r="1793" spans="1:24" ht="12" customHeight="1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  <c r="V1793">
        <f t="shared" si="840"/>
        <v>8</v>
      </c>
      <c r="W1793">
        <f t="shared" si="838"/>
        <v>3</v>
      </c>
      <c r="X1793">
        <f t="shared" si="839"/>
        <v>2010</v>
      </c>
    </row>
    <row r="1794" spans="1:24" ht="12" customHeight="1">
      <c r="A1794" s="4">
        <v>7845</v>
      </c>
      <c r="B1794" s="4">
        <v>56101</v>
      </c>
      <c r="C1794" s="5">
        <f t="shared" ref="C1794:C1795" si="871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  <c r="V1794">
        <f t="shared" si="840"/>
        <v>21</v>
      </c>
      <c r="W1794">
        <f t="shared" si="838"/>
        <v>7</v>
      </c>
      <c r="X1794">
        <f t="shared" si="839"/>
        <v>2010</v>
      </c>
    </row>
    <row r="1795" spans="1:24" ht="12" customHeight="1">
      <c r="A1795" s="4">
        <v>7846</v>
      </c>
      <c r="B1795" s="4">
        <v>56101</v>
      </c>
      <c r="C1795" s="5">
        <f t="shared" si="871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  <c r="V1795">
        <f t="shared" si="840"/>
        <v>22</v>
      </c>
      <c r="W1795">
        <f t="shared" ref="W1795:W1858" si="872">MONTH(U1795)</f>
        <v>7</v>
      </c>
      <c r="X1795">
        <f t="shared" ref="X1795:X1858" si="873">YEAR(U1795)</f>
        <v>2010</v>
      </c>
    </row>
    <row r="1796" spans="1:24" ht="12" customHeight="1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  <c r="V1796">
        <f t="shared" ref="V1796:V1859" si="874">DAY(U1796)</f>
        <v>12</v>
      </c>
      <c r="W1796">
        <f t="shared" si="872"/>
        <v>6</v>
      </c>
      <c r="X1796">
        <f t="shared" si="873"/>
        <v>2009</v>
      </c>
    </row>
    <row r="1797" spans="1:24" ht="12" customHeight="1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875">C1797+1</f>
        <v>39915</v>
      </c>
      <c r="V1797">
        <f t="shared" si="874"/>
        <v>12</v>
      </c>
      <c r="W1797">
        <f t="shared" si="872"/>
        <v>4</v>
      </c>
      <c r="X1797">
        <f t="shared" si="873"/>
        <v>2009</v>
      </c>
    </row>
    <row r="1798" spans="1:24" ht="12" customHeight="1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875"/>
        <v>40319</v>
      </c>
      <c r="V1798">
        <f t="shared" si="874"/>
        <v>21</v>
      </c>
      <c r="W1798">
        <f t="shared" si="872"/>
        <v>5</v>
      </c>
      <c r="X1798">
        <f t="shared" si="873"/>
        <v>2010</v>
      </c>
    </row>
    <row r="1799" spans="1:24" ht="12" customHeight="1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875"/>
        <v>41196</v>
      </c>
      <c r="V1799">
        <f t="shared" si="874"/>
        <v>14</v>
      </c>
      <c r="W1799">
        <f t="shared" si="872"/>
        <v>10</v>
      </c>
      <c r="X1799">
        <f t="shared" si="873"/>
        <v>2012</v>
      </c>
    </row>
    <row r="1800" spans="1:24" ht="12" customHeight="1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876">C1800+2</f>
        <v>39980</v>
      </c>
      <c r="V1800">
        <f t="shared" si="874"/>
        <v>16</v>
      </c>
      <c r="W1800">
        <f t="shared" si="872"/>
        <v>6</v>
      </c>
      <c r="X1800">
        <f t="shared" si="873"/>
        <v>2009</v>
      </c>
    </row>
    <row r="1801" spans="1:24" ht="12" customHeight="1">
      <c r="A1801" s="4">
        <v>169</v>
      </c>
      <c r="B1801" s="4">
        <v>1059</v>
      </c>
      <c r="C1801" s="5">
        <f t="shared" ref="C1801:C1802" si="877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876"/>
        <v>39872</v>
      </c>
      <c r="V1801">
        <f t="shared" si="874"/>
        <v>28</v>
      </c>
      <c r="W1801">
        <f t="shared" si="872"/>
        <v>2</v>
      </c>
      <c r="X1801">
        <f t="shared" si="873"/>
        <v>2009</v>
      </c>
    </row>
    <row r="1802" spans="1:24" ht="12" customHeight="1">
      <c r="A1802" s="4">
        <v>170</v>
      </c>
      <c r="B1802" s="4">
        <v>1059</v>
      </c>
      <c r="C1802" s="5">
        <f t="shared" si="877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878">C1802+1</f>
        <v>39871</v>
      </c>
      <c r="V1802">
        <f t="shared" si="874"/>
        <v>27</v>
      </c>
      <c r="W1802">
        <f t="shared" si="872"/>
        <v>2</v>
      </c>
      <c r="X1802">
        <f t="shared" si="873"/>
        <v>2009</v>
      </c>
    </row>
    <row r="1803" spans="1:24" ht="12" customHeight="1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878"/>
        <v>41015</v>
      </c>
      <c r="V1803">
        <f t="shared" si="874"/>
        <v>16</v>
      </c>
      <c r="W1803">
        <f t="shared" si="872"/>
        <v>4</v>
      </c>
      <c r="X1803">
        <f t="shared" si="873"/>
        <v>2012</v>
      </c>
    </row>
    <row r="1804" spans="1:24" ht="12" customHeight="1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  <c r="V1804">
        <f t="shared" si="874"/>
        <v>22</v>
      </c>
      <c r="W1804">
        <f t="shared" si="872"/>
        <v>6</v>
      </c>
      <c r="X1804">
        <f t="shared" si="873"/>
        <v>2010</v>
      </c>
    </row>
    <row r="1805" spans="1:24" ht="12" customHeight="1">
      <c r="A1805" s="4">
        <v>1428</v>
      </c>
      <c r="B1805" s="4">
        <v>10340</v>
      </c>
      <c r="C1805" s="5">
        <f t="shared" ref="C1805:C1807" si="879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880">C1805+1</f>
        <v>40717</v>
      </c>
      <c r="V1805">
        <f t="shared" si="874"/>
        <v>23</v>
      </c>
      <c r="W1805">
        <f t="shared" si="872"/>
        <v>6</v>
      </c>
      <c r="X1805">
        <f t="shared" si="873"/>
        <v>2011</v>
      </c>
    </row>
    <row r="1806" spans="1:24" ht="12" customHeight="1">
      <c r="A1806" s="4">
        <v>1429</v>
      </c>
      <c r="B1806" s="4">
        <v>10340</v>
      </c>
      <c r="C1806" s="5">
        <f t="shared" si="879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880"/>
        <v>40717</v>
      </c>
      <c r="V1806">
        <f t="shared" si="874"/>
        <v>23</v>
      </c>
      <c r="W1806">
        <f t="shared" si="872"/>
        <v>6</v>
      </c>
      <c r="X1806">
        <f t="shared" si="873"/>
        <v>2011</v>
      </c>
    </row>
    <row r="1807" spans="1:24" ht="12" customHeight="1">
      <c r="A1807" s="4">
        <v>1430</v>
      </c>
      <c r="B1807" s="4">
        <v>10340</v>
      </c>
      <c r="C1807" s="5">
        <f t="shared" si="879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  <c r="V1807">
        <f t="shared" si="874"/>
        <v>25</v>
      </c>
      <c r="W1807">
        <f t="shared" si="872"/>
        <v>6</v>
      </c>
      <c r="X1807">
        <f t="shared" si="873"/>
        <v>2011</v>
      </c>
    </row>
    <row r="1808" spans="1:24" ht="12" customHeight="1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  <c r="V1808">
        <f t="shared" si="874"/>
        <v>25</v>
      </c>
      <c r="W1808">
        <f t="shared" si="872"/>
        <v>6</v>
      </c>
      <c r="X1808">
        <f t="shared" si="873"/>
        <v>2012</v>
      </c>
    </row>
    <row r="1809" spans="1:24" ht="12" customHeight="1">
      <c r="A1809" s="4">
        <v>1849</v>
      </c>
      <c r="B1809" s="4">
        <v>13313</v>
      </c>
      <c r="C1809" s="5">
        <f t="shared" ref="C1809:C1811" si="881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882">C1809+2</f>
        <v>40012</v>
      </c>
      <c r="V1809">
        <f t="shared" si="874"/>
        <v>18</v>
      </c>
      <c r="W1809">
        <f t="shared" si="872"/>
        <v>7</v>
      </c>
      <c r="X1809">
        <f t="shared" si="873"/>
        <v>2009</v>
      </c>
    </row>
    <row r="1810" spans="1:24" ht="12" customHeight="1">
      <c r="A1810" s="4">
        <v>1850</v>
      </c>
      <c r="B1810" s="4">
        <v>13313</v>
      </c>
      <c r="C1810" s="5">
        <f t="shared" si="881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882"/>
        <v>40012</v>
      </c>
      <c r="V1810">
        <f t="shared" si="874"/>
        <v>18</v>
      </c>
      <c r="W1810">
        <f t="shared" si="872"/>
        <v>7</v>
      </c>
      <c r="X1810">
        <f t="shared" si="873"/>
        <v>2009</v>
      </c>
    </row>
    <row r="1811" spans="1:24" ht="12" customHeight="1">
      <c r="A1811" s="4">
        <v>1851</v>
      </c>
      <c r="B1811" s="4">
        <v>13313</v>
      </c>
      <c r="C1811" s="5">
        <f t="shared" si="881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  <c r="V1811">
        <f t="shared" si="874"/>
        <v>19</v>
      </c>
      <c r="W1811">
        <f t="shared" si="872"/>
        <v>7</v>
      </c>
      <c r="X1811">
        <f t="shared" si="873"/>
        <v>2009</v>
      </c>
    </row>
    <row r="1812" spans="1:24" ht="12" customHeight="1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  <c r="V1812">
        <f t="shared" si="874"/>
        <v>28</v>
      </c>
      <c r="W1812">
        <f t="shared" si="872"/>
        <v>1</v>
      </c>
      <c r="X1812">
        <f t="shared" si="873"/>
        <v>2009</v>
      </c>
    </row>
    <row r="1813" spans="1:24" ht="12" customHeight="1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  <c r="V1813">
        <f t="shared" si="874"/>
        <v>4</v>
      </c>
      <c r="W1813">
        <f t="shared" si="872"/>
        <v>3</v>
      </c>
      <c r="X1813">
        <f t="shared" si="873"/>
        <v>2010</v>
      </c>
    </row>
    <row r="1814" spans="1:24" ht="12" customHeight="1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  <c r="V1814">
        <f t="shared" si="874"/>
        <v>31</v>
      </c>
      <c r="W1814">
        <f t="shared" si="872"/>
        <v>1</v>
      </c>
      <c r="X1814">
        <f t="shared" si="873"/>
        <v>2012</v>
      </c>
    </row>
    <row r="1815" spans="1:24" ht="12" customHeight="1">
      <c r="A1815" s="4">
        <v>2882</v>
      </c>
      <c r="B1815" s="4">
        <v>20805</v>
      </c>
      <c r="C1815" s="5">
        <f t="shared" ref="C1815:C1818" si="883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  <c r="V1815">
        <f t="shared" si="874"/>
        <v>13</v>
      </c>
      <c r="W1815">
        <f t="shared" si="872"/>
        <v>1</v>
      </c>
      <c r="X1815">
        <f t="shared" si="873"/>
        <v>2011</v>
      </c>
    </row>
    <row r="1816" spans="1:24" ht="12" customHeight="1">
      <c r="A1816" s="4">
        <v>2883</v>
      </c>
      <c r="B1816" s="4">
        <v>20805</v>
      </c>
      <c r="C1816" s="5">
        <f t="shared" si="883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  <c r="V1816">
        <f t="shared" si="874"/>
        <v>12</v>
      </c>
      <c r="W1816">
        <f t="shared" si="872"/>
        <v>1</v>
      </c>
      <c r="X1816">
        <f t="shared" si="873"/>
        <v>2011</v>
      </c>
    </row>
    <row r="1817" spans="1:24" ht="12" customHeight="1">
      <c r="A1817" s="4">
        <v>2884</v>
      </c>
      <c r="B1817" s="4">
        <v>20805</v>
      </c>
      <c r="C1817" s="5">
        <f t="shared" si="883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884">C1817+1</f>
        <v>40554</v>
      </c>
      <c r="V1817">
        <f t="shared" si="874"/>
        <v>11</v>
      </c>
      <c r="W1817">
        <f t="shared" si="872"/>
        <v>1</v>
      </c>
      <c r="X1817">
        <f t="shared" si="873"/>
        <v>2011</v>
      </c>
    </row>
    <row r="1818" spans="1:24" ht="12" customHeight="1">
      <c r="A1818" s="4">
        <v>2885</v>
      </c>
      <c r="B1818" s="4">
        <v>20805</v>
      </c>
      <c r="C1818" s="5">
        <f t="shared" si="883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884"/>
        <v>40554</v>
      </c>
      <c r="V1818">
        <f t="shared" si="874"/>
        <v>11</v>
      </c>
      <c r="W1818">
        <f t="shared" si="872"/>
        <v>1</v>
      </c>
      <c r="X1818">
        <f t="shared" si="873"/>
        <v>2011</v>
      </c>
    </row>
    <row r="1819" spans="1:24" ht="12" customHeight="1">
      <c r="A1819" s="4">
        <v>3290</v>
      </c>
      <c r="B1819" s="4">
        <v>23524</v>
      </c>
      <c r="C1819" s="5">
        <f t="shared" ref="C1819:C1820" si="885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886">C1819+2</f>
        <v>39933</v>
      </c>
      <c r="V1819">
        <f t="shared" si="874"/>
        <v>30</v>
      </c>
      <c r="W1819">
        <f t="shared" si="872"/>
        <v>4</v>
      </c>
      <c r="X1819">
        <f t="shared" si="873"/>
        <v>2009</v>
      </c>
    </row>
    <row r="1820" spans="1:24" ht="12" customHeight="1">
      <c r="A1820" s="4">
        <v>3291</v>
      </c>
      <c r="B1820" s="4">
        <v>23524</v>
      </c>
      <c r="C1820" s="5">
        <f t="shared" si="885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886"/>
        <v>39933</v>
      </c>
      <c r="V1820">
        <f t="shared" si="874"/>
        <v>30</v>
      </c>
      <c r="W1820">
        <f t="shared" si="872"/>
        <v>4</v>
      </c>
      <c r="X1820">
        <f t="shared" si="873"/>
        <v>2009</v>
      </c>
    </row>
    <row r="1821" spans="1:24" ht="12" customHeight="1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  <c r="V1821">
        <f t="shared" si="874"/>
        <v>16</v>
      </c>
      <c r="W1821">
        <f t="shared" si="872"/>
        <v>9</v>
      </c>
      <c r="X1821">
        <f t="shared" si="873"/>
        <v>2009</v>
      </c>
    </row>
    <row r="1822" spans="1:24" ht="12" customHeight="1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  <c r="V1822">
        <f t="shared" si="874"/>
        <v>28</v>
      </c>
      <c r="W1822">
        <f t="shared" si="872"/>
        <v>9</v>
      </c>
      <c r="X1822">
        <f t="shared" si="873"/>
        <v>2011</v>
      </c>
    </row>
    <row r="1823" spans="1:24" ht="12" customHeight="1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  <c r="V1823">
        <f t="shared" si="874"/>
        <v>25</v>
      </c>
      <c r="W1823">
        <f t="shared" si="872"/>
        <v>6</v>
      </c>
      <c r="X1823">
        <f t="shared" si="873"/>
        <v>2010</v>
      </c>
    </row>
    <row r="1824" spans="1:24" ht="12" customHeight="1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87">C1824+1</f>
        <v>40232</v>
      </c>
      <c r="V1824">
        <f t="shared" si="874"/>
        <v>23</v>
      </c>
      <c r="W1824">
        <f t="shared" si="872"/>
        <v>2</v>
      </c>
      <c r="X1824">
        <f t="shared" si="873"/>
        <v>2010</v>
      </c>
    </row>
    <row r="1825" spans="1:24" ht="12" customHeight="1">
      <c r="A1825" s="4">
        <v>5646</v>
      </c>
      <c r="B1825" s="4">
        <v>39943</v>
      </c>
      <c r="C1825" s="5">
        <f t="shared" ref="C1825:C1826" si="888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87"/>
        <v>41068</v>
      </c>
      <c r="V1825">
        <f t="shared" si="874"/>
        <v>8</v>
      </c>
      <c r="W1825">
        <f t="shared" si="872"/>
        <v>6</v>
      </c>
      <c r="X1825">
        <f t="shared" si="873"/>
        <v>2012</v>
      </c>
    </row>
    <row r="1826" spans="1:24" ht="12" customHeight="1">
      <c r="A1826" s="4">
        <v>5647</v>
      </c>
      <c r="B1826" s="4">
        <v>39943</v>
      </c>
      <c r="C1826" s="5">
        <f t="shared" si="888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89">C1826+2</f>
        <v>41069</v>
      </c>
      <c r="V1826">
        <f t="shared" si="874"/>
        <v>9</v>
      </c>
      <c r="W1826">
        <f t="shared" si="872"/>
        <v>6</v>
      </c>
      <c r="X1826">
        <f t="shared" si="873"/>
        <v>2012</v>
      </c>
    </row>
    <row r="1827" spans="1:24" ht="12" customHeight="1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89"/>
        <v>40201</v>
      </c>
      <c r="V1827">
        <f t="shared" si="874"/>
        <v>23</v>
      </c>
      <c r="W1827">
        <f t="shared" si="872"/>
        <v>1</v>
      </c>
      <c r="X1827">
        <f t="shared" si="873"/>
        <v>2010</v>
      </c>
    </row>
    <row r="1828" spans="1:24" ht="12" customHeight="1">
      <c r="A1828" s="4">
        <v>6631</v>
      </c>
      <c r="B1828" s="4">
        <v>47171</v>
      </c>
      <c r="C1828" s="5">
        <f t="shared" ref="C1828:C1830" si="890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91">C1828+1</f>
        <v>40186</v>
      </c>
      <c r="V1828">
        <f t="shared" si="874"/>
        <v>8</v>
      </c>
      <c r="W1828">
        <f t="shared" si="872"/>
        <v>1</v>
      </c>
      <c r="X1828">
        <f t="shared" si="873"/>
        <v>2010</v>
      </c>
    </row>
    <row r="1829" spans="1:24" ht="12" customHeight="1">
      <c r="A1829" s="4">
        <v>6632</v>
      </c>
      <c r="B1829" s="4">
        <v>47171</v>
      </c>
      <c r="C1829" s="5">
        <f t="shared" si="890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91"/>
        <v>40186</v>
      </c>
      <c r="V1829">
        <f t="shared" si="874"/>
        <v>8</v>
      </c>
      <c r="W1829">
        <f t="shared" si="872"/>
        <v>1</v>
      </c>
      <c r="X1829">
        <f t="shared" si="873"/>
        <v>2010</v>
      </c>
    </row>
    <row r="1830" spans="1:24" ht="12" customHeight="1">
      <c r="A1830" s="4">
        <v>6633</v>
      </c>
      <c r="B1830" s="4">
        <v>47171</v>
      </c>
      <c r="C1830" s="5">
        <f t="shared" si="890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  <c r="V1830">
        <f t="shared" si="874"/>
        <v>7</v>
      </c>
      <c r="W1830">
        <f t="shared" si="872"/>
        <v>1</v>
      </c>
      <c r="X1830">
        <f t="shared" si="873"/>
        <v>2010</v>
      </c>
    </row>
    <row r="1831" spans="1:24" ht="12" customHeight="1">
      <c r="A1831" s="4">
        <v>6820</v>
      </c>
      <c r="B1831" s="4">
        <v>48576</v>
      </c>
      <c r="C1831" s="5">
        <f t="shared" ref="C1831:C1832" si="892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  <c r="V1831">
        <f t="shared" si="874"/>
        <v>2</v>
      </c>
      <c r="W1831">
        <f t="shared" si="872"/>
        <v>12</v>
      </c>
      <c r="X1831">
        <f t="shared" si="873"/>
        <v>2012</v>
      </c>
    </row>
    <row r="1832" spans="1:24" ht="12" customHeight="1">
      <c r="A1832" s="4">
        <v>6821</v>
      </c>
      <c r="B1832" s="4">
        <v>48576</v>
      </c>
      <c r="C1832" s="5">
        <f t="shared" si="892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  <c r="V1832">
        <f t="shared" si="874"/>
        <v>3</v>
      </c>
      <c r="W1832">
        <f t="shared" si="872"/>
        <v>12</v>
      </c>
      <c r="X1832">
        <f t="shared" si="873"/>
        <v>2012</v>
      </c>
    </row>
    <row r="1833" spans="1:24" ht="12" customHeight="1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  <c r="V1833">
        <f t="shared" si="874"/>
        <v>11</v>
      </c>
      <c r="W1833">
        <f t="shared" si="872"/>
        <v>12</v>
      </c>
      <c r="X1833">
        <f t="shared" si="873"/>
        <v>2012</v>
      </c>
    </row>
    <row r="1834" spans="1:24" ht="12" customHeight="1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  <c r="V1834">
        <f t="shared" si="874"/>
        <v>27</v>
      </c>
      <c r="W1834">
        <f t="shared" si="872"/>
        <v>11</v>
      </c>
      <c r="X1834">
        <f t="shared" si="873"/>
        <v>2012</v>
      </c>
    </row>
    <row r="1835" spans="1:24" ht="12" customHeight="1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  <c r="V1835">
        <f t="shared" si="874"/>
        <v>18</v>
      </c>
      <c r="W1835">
        <f t="shared" si="872"/>
        <v>12</v>
      </c>
      <c r="X1835">
        <f t="shared" si="873"/>
        <v>2012</v>
      </c>
    </row>
    <row r="1836" spans="1:24" ht="12" customHeight="1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  <c r="V1836">
        <f t="shared" si="874"/>
        <v>31</v>
      </c>
      <c r="W1836">
        <f t="shared" si="872"/>
        <v>10</v>
      </c>
      <c r="X1836">
        <f t="shared" si="873"/>
        <v>2012</v>
      </c>
    </row>
    <row r="1837" spans="1:24" ht="12" customHeight="1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  <c r="V1837">
        <f t="shared" si="874"/>
        <v>11</v>
      </c>
      <c r="W1837">
        <f t="shared" si="872"/>
        <v>7</v>
      </c>
      <c r="X1837">
        <f t="shared" si="873"/>
        <v>2012</v>
      </c>
    </row>
    <row r="1838" spans="1:24" ht="12" customHeight="1">
      <c r="A1838" s="4">
        <v>316</v>
      </c>
      <c r="B1838" s="4">
        <v>2209</v>
      </c>
      <c r="C1838" s="5">
        <f t="shared" ref="C1838:C1841" si="893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  <c r="V1838">
        <f t="shared" si="874"/>
        <v>11</v>
      </c>
      <c r="W1838">
        <f t="shared" si="872"/>
        <v>7</v>
      </c>
      <c r="X1838">
        <f t="shared" si="873"/>
        <v>2012</v>
      </c>
    </row>
    <row r="1839" spans="1:24" ht="12" customHeight="1">
      <c r="A1839" s="4">
        <v>317</v>
      </c>
      <c r="B1839" s="4">
        <v>2209</v>
      </c>
      <c r="C1839" s="5">
        <f t="shared" si="893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  <c r="V1839">
        <f t="shared" si="874"/>
        <v>10</v>
      </c>
      <c r="W1839">
        <f t="shared" si="872"/>
        <v>7</v>
      </c>
      <c r="X1839">
        <f t="shared" si="873"/>
        <v>2012</v>
      </c>
    </row>
    <row r="1840" spans="1:24" ht="12" customHeight="1">
      <c r="A1840" s="4">
        <v>318</v>
      </c>
      <c r="B1840" s="4">
        <v>2209</v>
      </c>
      <c r="C1840" s="5">
        <f t="shared" si="893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  <c r="V1840">
        <f t="shared" si="874"/>
        <v>9</v>
      </c>
      <c r="W1840">
        <f t="shared" si="872"/>
        <v>7</v>
      </c>
      <c r="X1840">
        <f t="shared" si="873"/>
        <v>2012</v>
      </c>
    </row>
    <row r="1841" spans="1:24" ht="12" customHeight="1">
      <c r="A1841" s="4">
        <v>319</v>
      </c>
      <c r="B1841" s="4">
        <v>2209</v>
      </c>
      <c r="C1841" s="5">
        <f t="shared" si="893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  <c r="V1841">
        <f t="shared" si="874"/>
        <v>10</v>
      </c>
      <c r="W1841">
        <f t="shared" si="872"/>
        <v>7</v>
      </c>
      <c r="X1841">
        <f t="shared" si="873"/>
        <v>2012</v>
      </c>
    </row>
    <row r="1842" spans="1:24" ht="12" customHeight="1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  <c r="V1842">
        <f t="shared" si="874"/>
        <v>27</v>
      </c>
      <c r="W1842">
        <f t="shared" si="872"/>
        <v>4</v>
      </c>
      <c r="X1842">
        <f t="shared" si="873"/>
        <v>2011</v>
      </c>
    </row>
    <row r="1843" spans="1:24" ht="12" customHeight="1">
      <c r="A1843" s="4">
        <v>474</v>
      </c>
      <c r="B1843" s="4">
        <v>3271</v>
      </c>
      <c r="C1843" s="5">
        <f t="shared" ref="C1843:C1844" si="894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  <c r="V1843">
        <f t="shared" si="874"/>
        <v>31</v>
      </c>
      <c r="W1843">
        <f t="shared" si="872"/>
        <v>12</v>
      </c>
      <c r="X1843">
        <f t="shared" si="873"/>
        <v>2011</v>
      </c>
    </row>
    <row r="1844" spans="1:24" ht="12" customHeight="1">
      <c r="A1844" s="4">
        <v>475</v>
      </c>
      <c r="B1844" s="4">
        <v>3271</v>
      </c>
      <c r="C1844" s="5">
        <f t="shared" si="894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  <c r="V1844">
        <f t="shared" si="874"/>
        <v>1</v>
      </c>
      <c r="W1844">
        <f t="shared" si="872"/>
        <v>1</v>
      </c>
      <c r="X1844">
        <f t="shared" si="873"/>
        <v>2012</v>
      </c>
    </row>
    <row r="1845" spans="1:24" ht="12" customHeight="1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95">C1845+2</f>
        <v>40013</v>
      </c>
      <c r="V1845">
        <f t="shared" si="874"/>
        <v>19</v>
      </c>
      <c r="W1845">
        <f t="shared" si="872"/>
        <v>7</v>
      </c>
      <c r="X1845">
        <f t="shared" si="873"/>
        <v>2009</v>
      </c>
    </row>
    <row r="1846" spans="1:24" ht="12" customHeight="1">
      <c r="A1846" s="4">
        <v>643</v>
      </c>
      <c r="B1846" s="4">
        <v>4545</v>
      </c>
      <c r="C1846" s="5">
        <f t="shared" ref="C1846:C1847" si="896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95"/>
        <v>40196</v>
      </c>
      <c r="V1846">
        <f t="shared" si="874"/>
        <v>18</v>
      </c>
      <c r="W1846">
        <f t="shared" si="872"/>
        <v>1</v>
      </c>
      <c r="X1846">
        <f t="shared" si="873"/>
        <v>2010</v>
      </c>
    </row>
    <row r="1847" spans="1:24" ht="12" customHeight="1">
      <c r="A1847" s="4">
        <v>644</v>
      </c>
      <c r="B1847" s="4">
        <v>4545</v>
      </c>
      <c r="C1847" s="5">
        <f t="shared" si="896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  <c r="V1847">
        <f t="shared" si="874"/>
        <v>17</v>
      </c>
      <c r="W1847">
        <f t="shared" si="872"/>
        <v>1</v>
      </c>
      <c r="X1847">
        <f t="shared" si="873"/>
        <v>2010</v>
      </c>
    </row>
    <row r="1848" spans="1:24" ht="12" customHeight="1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  <c r="V1848">
        <f t="shared" si="874"/>
        <v>18</v>
      </c>
      <c r="W1848">
        <f t="shared" si="872"/>
        <v>7</v>
      </c>
      <c r="X1848">
        <f t="shared" si="873"/>
        <v>2009</v>
      </c>
    </row>
    <row r="1849" spans="1:24" ht="12" customHeight="1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  <c r="V1849">
        <f t="shared" si="874"/>
        <v>16</v>
      </c>
      <c r="W1849">
        <f t="shared" si="872"/>
        <v>5</v>
      </c>
      <c r="X1849">
        <f t="shared" si="873"/>
        <v>2010</v>
      </c>
    </row>
    <row r="1850" spans="1:24" ht="12" customHeight="1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  <c r="V1850">
        <f t="shared" si="874"/>
        <v>19</v>
      </c>
      <c r="W1850">
        <f t="shared" si="872"/>
        <v>11</v>
      </c>
      <c r="X1850">
        <f t="shared" si="873"/>
        <v>2009</v>
      </c>
    </row>
    <row r="1851" spans="1:24" ht="12" customHeight="1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  <c r="V1851">
        <f t="shared" si="874"/>
        <v>13</v>
      </c>
      <c r="W1851">
        <f t="shared" si="872"/>
        <v>2</v>
      </c>
      <c r="X1851">
        <f t="shared" si="873"/>
        <v>2010</v>
      </c>
    </row>
    <row r="1852" spans="1:24" ht="12" customHeight="1">
      <c r="A1852" s="4">
        <v>1125</v>
      </c>
      <c r="B1852" s="4">
        <v>8231</v>
      </c>
      <c r="C1852" s="5">
        <f t="shared" ref="C1852:C1853" si="897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  <c r="V1852">
        <f t="shared" si="874"/>
        <v>20</v>
      </c>
      <c r="W1852">
        <f t="shared" si="872"/>
        <v>10</v>
      </c>
      <c r="X1852">
        <f t="shared" si="873"/>
        <v>2012</v>
      </c>
    </row>
    <row r="1853" spans="1:24" ht="12" customHeight="1">
      <c r="A1853" s="4">
        <v>1126</v>
      </c>
      <c r="B1853" s="4">
        <v>8231</v>
      </c>
      <c r="C1853" s="5">
        <f t="shared" si="897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  <c r="V1853">
        <f t="shared" si="874"/>
        <v>19</v>
      </c>
      <c r="W1853">
        <f t="shared" si="872"/>
        <v>10</v>
      </c>
      <c r="X1853">
        <f t="shared" si="873"/>
        <v>2012</v>
      </c>
    </row>
    <row r="1854" spans="1:24" ht="12" customHeight="1">
      <c r="A1854" s="4">
        <v>1191</v>
      </c>
      <c r="B1854" s="4">
        <v>8709</v>
      </c>
      <c r="C1854" s="5">
        <f t="shared" ref="C1854:C1855" si="898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  <c r="V1854">
        <f t="shared" si="874"/>
        <v>10</v>
      </c>
      <c r="W1854">
        <f t="shared" si="872"/>
        <v>3</v>
      </c>
      <c r="X1854">
        <f t="shared" si="873"/>
        <v>2009</v>
      </c>
    </row>
    <row r="1855" spans="1:24" ht="12" customHeight="1">
      <c r="A1855" s="4">
        <v>1192</v>
      </c>
      <c r="B1855" s="4">
        <v>8709</v>
      </c>
      <c r="C1855" s="5">
        <f t="shared" si="898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  <c r="V1855">
        <f t="shared" si="874"/>
        <v>11</v>
      </c>
      <c r="W1855">
        <f t="shared" si="872"/>
        <v>3</v>
      </c>
      <c r="X1855">
        <f t="shared" si="873"/>
        <v>2009</v>
      </c>
    </row>
    <row r="1856" spans="1:24" ht="12" customHeight="1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  <c r="V1856">
        <f t="shared" si="874"/>
        <v>19</v>
      </c>
      <c r="W1856">
        <f t="shared" si="872"/>
        <v>10</v>
      </c>
      <c r="X1856">
        <f t="shared" si="873"/>
        <v>2012</v>
      </c>
    </row>
    <row r="1857" spans="1:24" ht="12" customHeight="1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  <c r="V1857">
        <f t="shared" si="874"/>
        <v>10</v>
      </c>
      <c r="W1857">
        <f t="shared" si="872"/>
        <v>10</v>
      </c>
      <c r="X1857">
        <f t="shared" si="873"/>
        <v>2010</v>
      </c>
    </row>
    <row r="1858" spans="1:24" ht="12" customHeight="1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  <c r="V1858">
        <f t="shared" si="874"/>
        <v>6</v>
      </c>
      <c r="W1858">
        <f t="shared" si="872"/>
        <v>7</v>
      </c>
      <c r="X1858">
        <f t="shared" si="873"/>
        <v>2011</v>
      </c>
    </row>
    <row r="1859" spans="1:24" ht="12" customHeight="1">
      <c r="A1859" s="4">
        <v>1692</v>
      </c>
      <c r="B1859" s="4">
        <v>12224</v>
      </c>
      <c r="C1859" s="5">
        <f t="shared" ref="C1859:C1860" si="899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  <c r="V1859">
        <f t="shared" si="874"/>
        <v>14</v>
      </c>
      <c r="W1859">
        <f t="shared" ref="W1859:W1922" si="900">MONTH(U1859)</f>
        <v>12</v>
      </c>
      <c r="X1859">
        <f t="shared" ref="X1859:X1922" si="901">YEAR(U1859)</f>
        <v>2009</v>
      </c>
    </row>
    <row r="1860" spans="1:24" ht="12" customHeight="1">
      <c r="A1860" s="4">
        <v>1693</v>
      </c>
      <c r="B1860" s="4">
        <v>12224</v>
      </c>
      <c r="C1860" s="5">
        <f t="shared" si="899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  <c r="V1860">
        <f t="shared" ref="V1860:V1923" si="902">DAY(U1860)</f>
        <v>12</v>
      </c>
      <c r="W1860">
        <f t="shared" si="900"/>
        <v>12</v>
      </c>
      <c r="X1860">
        <f t="shared" si="901"/>
        <v>2009</v>
      </c>
    </row>
    <row r="1861" spans="1:24" ht="12" customHeight="1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  <c r="V1861">
        <f t="shared" si="902"/>
        <v>20</v>
      </c>
      <c r="W1861">
        <f t="shared" si="900"/>
        <v>12</v>
      </c>
      <c r="X1861">
        <f t="shared" si="901"/>
        <v>2012</v>
      </c>
    </row>
    <row r="1862" spans="1:24" ht="12" customHeight="1">
      <c r="A1862" s="4">
        <v>1703</v>
      </c>
      <c r="B1862" s="4">
        <v>12261</v>
      </c>
      <c r="C1862" s="5">
        <f t="shared" ref="C1862:C1866" si="90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  <c r="V1862">
        <f t="shared" si="902"/>
        <v>28</v>
      </c>
      <c r="W1862">
        <f t="shared" si="900"/>
        <v>10</v>
      </c>
      <c r="X1862">
        <f t="shared" si="901"/>
        <v>2010</v>
      </c>
    </row>
    <row r="1863" spans="1:24" ht="12" customHeight="1">
      <c r="A1863" s="4">
        <v>1704</v>
      </c>
      <c r="B1863" s="4">
        <v>12261</v>
      </c>
      <c r="C1863" s="5">
        <f t="shared" si="90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  <c r="V1863">
        <f t="shared" si="902"/>
        <v>27</v>
      </c>
      <c r="W1863">
        <f t="shared" si="900"/>
        <v>10</v>
      </c>
      <c r="X1863">
        <f t="shared" si="901"/>
        <v>2010</v>
      </c>
    </row>
    <row r="1864" spans="1:24" ht="12" customHeight="1">
      <c r="A1864" s="4">
        <v>1705</v>
      </c>
      <c r="B1864" s="4">
        <v>12261</v>
      </c>
      <c r="C1864" s="5">
        <f t="shared" si="90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  <c r="V1864">
        <f t="shared" si="902"/>
        <v>28</v>
      </c>
      <c r="W1864">
        <f t="shared" si="900"/>
        <v>10</v>
      </c>
      <c r="X1864">
        <f t="shared" si="901"/>
        <v>2010</v>
      </c>
    </row>
    <row r="1865" spans="1:24" ht="12" customHeight="1">
      <c r="A1865" s="4">
        <v>1706</v>
      </c>
      <c r="B1865" s="4">
        <v>12261</v>
      </c>
      <c r="C1865" s="5">
        <f t="shared" si="90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  <c r="V1865">
        <f t="shared" si="902"/>
        <v>30</v>
      </c>
      <c r="W1865">
        <f t="shared" si="900"/>
        <v>10</v>
      </c>
      <c r="X1865">
        <f t="shared" si="901"/>
        <v>2010</v>
      </c>
    </row>
    <row r="1866" spans="1:24" ht="12" customHeight="1">
      <c r="A1866" s="4">
        <v>1707</v>
      </c>
      <c r="B1866" s="4">
        <v>12261</v>
      </c>
      <c r="C1866" s="5">
        <f t="shared" si="90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  <c r="V1866">
        <f t="shared" si="902"/>
        <v>28</v>
      </c>
      <c r="W1866">
        <f t="shared" si="900"/>
        <v>10</v>
      </c>
      <c r="X1866">
        <f t="shared" si="901"/>
        <v>2010</v>
      </c>
    </row>
    <row r="1867" spans="1:24" ht="12" customHeight="1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  <c r="V1867">
        <f t="shared" si="902"/>
        <v>16</v>
      </c>
      <c r="W1867">
        <f t="shared" si="900"/>
        <v>2</v>
      </c>
      <c r="X1867">
        <f t="shared" si="901"/>
        <v>2009</v>
      </c>
    </row>
    <row r="1868" spans="1:24" ht="12" customHeight="1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  <c r="V1868">
        <f t="shared" si="902"/>
        <v>8</v>
      </c>
      <c r="W1868">
        <f t="shared" si="900"/>
        <v>1</v>
      </c>
      <c r="X1868">
        <f t="shared" si="901"/>
        <v>2012</v>
      </c>
    </row>
    <row r="1869" spans="1:24" ht="12" customHeight="1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  <c r="V1869">
        <f t="shared" si="902"/>
        <v>20</v>
      </c>
      <c r="W1869">
        <f t="shared" si="900"/>
        <v>8</v>
      </c>
      <c r="X1869">
        <f t="shared" si="901"/>
        <v>2012</v>
      </c>
    </row>
    <row r="1870" spans="1:24" ht="12" customHeight="1">
      <c r="A1870" s="4">
        <v>1938</v>
      </c>
      <c r="B1870" s="4">
        <v>13894</v>
      </c>
      <c r="C1870" s="5">
        <f t="shared" ref="C1870:C1871" si="90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905">C1870+1</f>
        <v>41010</v>
      </c>
      <c r="V1870">
        <f t="shared" si="902"/>
        <v>11</v>
      </c>
      <c r="W1870">
        <f t="shared" si="900"/>
        <v>4</v>
      </c>
      <c r="X1870">
        <f t="shared" si="901"/>
        <v>2012</v>
      </c>
    </row>
    <row r="1871" spans="1:24" ht="12" customHeight="1">
      <c r="A1871" s="4">
        <v>1939</v>
      </c>
      <c r="B1871" s="4">
        <v>13894</v>
      </c>
      <c r="C1871" s="5">
        <f t="shared" si="90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905"/>
        <v>41010</v>
      </c>
      <c r="V1871">
        <f t="shared" si="902"/>
        <v>11</v>
      </c>
      <c r="W1871">
        <f t="shared" si="900"/>
        <v>4</v>
      </c>
      <c r="X1871">
        <f t="shared" si="901"/>
        <v>2012</v>
      </c>
    </row>
    <row r="1872" spans="1:24" ht="12" customHeight="1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906">C1872+2</f>
        <v>40155</v>
      </c>
      <c r="V1872">
        <f t="shared" si="902"/>
        <v>8</v>
      </c>
      <c r="W1872">
        <f t="shared" si="900"/>
        <v>12</v>
      </c>
      <c r="X1872">
        <f t="shared" si="901"/>
        <v>2009</v>
      </c>
    </row>
    <row r="1873" spans="1:24" ht="12" customHeight="1">
      <c r="A1873" s="4">
        <v>2455</v>
      </c>
      <c r="B1873" s="4">
        <v>17858</v>
      </c>
      <c r="C1873" s="5">
        <f t="shared" ref="C1873:C1875" si="90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906"/>
        <v>40448</v>
      </c>
      <c r="V1873">
        <f t="shared" si="902"/>
        <v>27</v>
      </c>
      <c r="W1873">
        <f t="shared" si="900"/>
        <v>9</v>
      </c>
      <c r="X1873">
        <f t="shared" si="901"/>
        <v>2010</v>
      </c>
    </row>
    <row r="1874" spans="1:24" ht="12" customHeight="1">
      <c r="A1874" s="4">
        <v>2456</v>
      </c>
      <c r="B1874" s="4">
        <v>17858</v>
      </c>
      <c r="C1874" s="5">
        <f t="shared" si="90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908">C1874+1</f>
        <v>40447</v>
      </c>
      <c r="V1874">
        <f t="shared" si="902"/>
        <v>26</v>
      </c>
      <c r="W1874">
        <f t="shared" si="900"/>
        <v>9</v>
      </c>
      <c r="X1874">
        <f t="shared" si="901"/>
        <v>2010</v>
      </c>
    </row>
    <row r="1875" spans="1:24" ht="12" customHeight="1">
      <c r="A1875" s="4">
        <v>2457</v>
      </c>
      <c r="B1875" s="4">
        <v>17858</v>
      </c>
      <c r="C1875" s="5">
        <f t="shared" si="90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908"/>
        <v>40447</v>
      </c>
      <c r="V1875">
        <f t="shared" si="902"/>
        <v>26</v>
      </c>
      <c r="W1875">
        <f t="shared" si="900"/>
        <v>9</v>
      </c>
      <c r="X1875">
        <f t="shared" si="901"/>
        <v>2010</v>
      </c>
    </row>
    <row r="1876" spans="1:24" ht="12" customHeight="1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908"/>
        <v>39823</v>
      </c>
      <c r="V1876">
        <f t="shared" si="902"/>
        <v>10</v>
      </c>
      <c r="W1876">
        <f t="shared" si="900"/>
        <v>1</v>
      </c>
      <c r="X1876">
        <f t="shared" si="901"/>
        <v>2009</v>
      </c>
    </row>
    <row r="1877" spans="1:24" ht="12" customHeight="1">
      <c r="A1877" s="4">
        <v>2739</v>
      </c>
      <c r="B1877" s="4">
        <v>19777</v>
      </c>
      <c r="C1877" s="5">
        <f t="shared" ref="C1877:C1879" si="90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  <c r="V1877">
        <f t="shared" si="902"/>
        <v>19</v>
      </c>
      <c r="W1877">
        <f t="shared" si="900"/>
        <v>10</v>
      </c>
      <c r="X1877">
        <f t="shared" si="901"/>
        <v>2012</v>
      </c>
    </row>
    <row r="1878" spans="1:24" ht="12" customHeight="1">
      <c r="A1878" s="4">
        <v>2740</v>
      </c>
      <c r="B1878" s="4">
        <v>19777</v>
      </c>
      <c r="C1878" s="5">
        <f t="shared" si="90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910">C1878+2</f>
        <v>41203</v>
      </c>
      <c r="V1878">
        <f t="shared" si="902"/>
        <v>21</v>
      </c>
      <c r="W1878">
        <f t="shared" si="900"/>
        <v>10</v>
      </c>
      <c r="X1878">
        <f t="shared" si="901"/>
        <v>2012</v>
      </c>
    </row>
    <row r="1879" spans="1:24" ht="12" customHeight="1">
      <c r="A1879" s="4">
        <v>2741</v>
      </c>
      <c r="B1879" s="4">
        <v>19777</v>
      </c>
      <c r="C1879" s="5">
        <f t="shared" si="90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910"/>
        <v>41203</v>
      </c>
      <c r="V1879">
        <f t="shared" si="902"/>
        <v>21</v>
      </c>
      <c r="W1879">
        <f t="shared" si="900"/>
        <v>10</v>
      </c>
      <c r="X1879">
        <f t="shared" si="901"/>
        <v>2012</v>
      </c>
    </row>
    <row r="1880" spans="1:24" ht="12" customHeight="1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  <c r="V1880">
        <f t="shared" si="902"/>
        <v>6</v>
      </c>
      <c r="W1880">
        <f t="shared" si="900"/>
        <v>4</v>
      </c>
      <c r="X1880">
        <f t="shared" si="901"/>
        <v>2011</v>
      </c>
    </row>
    <row r="1881" spans="1:24" ht="12" customHeight="1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  <c r="V1881">
        <f t="shared" si="902"/>
        <v>12</v>
      </c>
      <c r="W1881">
        <f t="shared" si="900"/>
        <v>1</v>
      </c>
      <c r="X1881">
        <f t="shared" si="901"/>
        <v>2011</v>
      </c>
    </row>
    <row r="1882" spans="1:24" ht="12" customHeight="1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  <c r="V1882">
        <f t="shared" si="902"/>
        <v>28</v>
      </c>
      <c r="W1882">
        <f t="shared" si="900"/>
        <v>8</v>
      </c>
      <c r="X1882">
        <f t="shared" si="901"/>
        <v>2012</v>
      </c>
    </row>
    <row r="1883" spans="1:24" ht="12" customHeight="1">
      <c r="A1883" s="4">
        <v>3432</v>
      </c>
      <c r="B1883" s="4">
        <v>24486</v>
      </c>
      <c r="C1883" s="5">
        <f t="shared" ref="C1883:C1884" si="91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912">C1883+1</f>
        <v>40656</v>
      </c>
      <c r="V1883">
        <f t="shared" si="902"/>
        <v>23</v>
      </c>
      <c r="W1883">
        <f t="shared" si="900"/>
        <v>4</v>
      </c>
      <c r="X1883">
        <f t="shared" si="901"/>
        <v>2011</v>
      </c>
    </row>
    <row r="1884" spans="1:24" ht="12" customHeight="1">
      <c r="A1884" s="4">
        <v>3433</v>
      </c>
      <c r="B1884" s="4">
        <v>24486</v>
      </c>
      <c r="C1884" s="5">
        <f t="shared" si="91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912"/>
        <v>40656</v>
      </c>
      <c r="V1884">
        <f t="shared" si="902"/>
        <v>23</v>
      </c>
      <c r="W1884">
        <f t="shared" si="900"/>
        <v>4</v>
      </c>
      <c r="X1884">
        <f t="shared" si="901"/>
        <v>2011</v>
      </c>
    </row>
    <row r="1885" spans="1:24" ht="12" customHeight="1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912"/>
        <v>39975</v>
      </c>
      <c r="V1885">
        <f t="shared" si="902"/>
        <v>11</v>
      </c>
      <c r="W1885">
        <f t="shared" si="900"/>
        <v>6</v>
      </c>
      <c r="X1885">
        <f t="shared" si="901"/>
        <v>2009</v>
      </c>
    </row>
    <row r="1886" spans="1:24" ht="12" customHeight="1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  <c r="V1886">
        <f t="shared" si="902"/>
        <v>26</v>
      </c>
      <c r="W1886">
        <f t="shared" si="900"/>
        <v>4</v>
      </c>
      <c r="X1886">
        <f t="shared" si="901"/>
        <v>2011</v>
      </c>
    </row>
    <row r="1887" spans="1:24" ht="12" customHeight="1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913">C1887+2</f>
        <v>40984</v>
      </c>
      <c r="V1887">
        <f t="shared" si="902"/>
        <v>16</v>
      </c>
      <c r="W1887">
        <f t="shared" si="900"/>
        <v>3</v>
      </c>
      <c r="X1887">
        <f t="shared" si="901"/>
        <v>2012</v>
      </c>
    </row>
    <row r="1888" spans="1:24" ht="12" customHeight="1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913"/>
        <v>40725</v>
      </c>
      <c r="V1888">
        <f t="shared" si="902"/>
        <v>1</v>
      </c>
      <c r="W1888">
        <f t="shared" si="900"/>
        <v>7</v>
      </c>
      <c r="X1888">
        <f t="shared" si="901"/>
        <v>2011</v>
      </c>
    </row>
    <row r="1889" spans="1:24" ht="12" customHeight="1">
      <c r="A1889" s="4">
        <v>3981</v>
      </c>
      <c r="B1889" s="4">
        <v>28451</v>
      </c>
      <c r="C1889" s="5">
        <f t="shared" ref="C1889:C1891" si="91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913"/>
        <v>39820</v>
      </c>
      <c r="V1889">
        <f t="shared" si="902"/>
        <v>7</v>
      </c>
      <c r="W1889">
        <f t="shared" si="900"/>
        <v>1</v>
      </c>
      <c r="X1889">
        <f t="shared" si="901"/>
        <v>2009</v>
      </c>
    </row>
    <row r="1890" spans="1:24" ht="12" customHeight="1">
      <c r="A1890" s="4">
        <v>3982</v>
      </c>
      <c r="B1890" s="4">
        <v>28451</v>
      </c>
      <c r="C1890" s="5">
        <f t="shared" si="91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  <c r="V1890">
        <f t="shared" si="902"/>
        <v>6</v>
      </c>
      <c r="W1890">
        <f t="shared" si="900"/>
        <v>1</v>
      </c>
      <c r="X1890">
        <f t="shared" si="901"/>
        <v>2009</v>
      </c>
    </row>
    <row r="1891" spans="1:24" ht="12" customHeight="1">
      <c r="A1891" s="4">
        <v>3983</v>
      </c>
      <c r="B1891" s="4">
        <v>28451</v>
      </c>
      <c r="C1891" s="5">
        <f t="shared" si="91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915">C1891+2</f>
        <v>39820</v>
      </c>
      <c r="V1891">
        <f t="shared" si="902"/>
        <v>7</v>
      </c>
      <c r="W1891">
        <f t="shared" si="900"/>
        <v>1</v>
      </c>
      <c r="X1891">
        <f t="shared" si="901"/>
        <v>2009</v>
      </c>
    </row>
    <row r="1892" spans="1:24" ht="12" customHeight="1">
      <c r="A1892" s="4">
        <v>3989</v>
      </c>
      <c r="B1892" s="4">
        <v>28482</v>
      </c>
      <c r="C1892" s="5">
        <f t="shared" ref="C1892:C1893" si="91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915"/>
        <v>40247</v>
      </c>
      <c r="V1892">
        <f t="shared" si="902"/>
        <v>10</v>
      </c>
      <c r="W1892">
        <f t="shared" si="900"/>
        <v>3</v>
      </c>
      <c r="X1892">
        <f t="shared" si="901"/>
        <v>2010</v>
      </c>
    </row>
    <row r="1893" spans="1:24" ht="12" customHeight="1">
      <c r="A1893" s="4">
        <v>3990</v>
      </c>
      <c r="B1893" s="4">
        <v>28482</v>
      </c>
      <c r="C1893" s="5">
        <f t="shared" si="91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  <c r="V1893">
        <f t="shared" si="902"/>
        <v>8</v>
      </c>
      <c r="W1893">
        <f t="shared" si="900"/>
        <v>3</v>
      </c>
      <c r="X1893">
        <f t="shared" si="901"/>
        <v>2010</v>
      </c>
    </row>
    <row r="1894" spans="1:24" ht="12" customHeight="1">
      <c r="A1894" s="4">
        <v>4012</v>
      </c>
      <c r="B1894" s="4">
        <v>28642</v>
      </c>
      <c r="C1894" s="5">
        <f t="shared" ref="C1894:C1895" si="91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918">C1894+2</f>
        <v>40563</v>
      </c>
      <c r="V1894">
        <f t="shared" si="902"/>
        <v>20</v>
      </c>
      <c r="W1894">
        <f t="shared" si="900"/>
        <v>1</v>
      </c>
      <c r="X1894">
        <f t="shared" si="901"/>
        <v>2011</v>
      </c>
    </row>
    <row r="1895" spans="1:24" ht="12" customHeight="1">
      <c r="A1895" s="4">
        <v>4013</v>
      </c>
      <c r="B1895" s="4">
        <v>28642</v>
      </c>
      <c r="C1895" s="5">
        <f t="shared" si="91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918"/>
        <v>40563</v>
      </c>
      <c r="V1895">
        <f t="shared" si="902"/>
        <v>20</v>
      </c>
      <c r="W1895">
        <f t="shared" si="900"/>
        <v>1</v>
      </c>
      <c r="X1895">
        <f t="shared" si="901"/>
        <v>2011</v>
      </c>
    </row>
    <row r="1896" spans="1:24" ht="12" customHeight="1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  <c r="V1896">
        <f t="shared" si="902"/>
        <v>28</v>
      </c>
      <c r="W1896">
        <f t="shared" si="900"/>
        <v>4</v>
      </c>
      <c r="X1896">
        <f t="shared" si="901"/>
        <v>2009</v>
      </c>
    </row>
    <row r="1897" spans="1:24" ht="12" customHeight="1">
      <c r="A1897" s="4">
        <v>4499</v>
      </c>
      <c r="B1897" s="4">
        <v>32036</v>
      </c>
      <c r="C1897" s="5">
        <f t="shared" ref="C1897:C1898" si="91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  <c r="V1897">
        <f t="shared" si="902"/>
        <v>7</v>
      </c>
      <c r="W1897">
        <f t="shared" si="900"/>
        <v>10</v>
      </c>
      <c r="X1897">
        <f t="shared" si="901"/>
        <v>2011</v>
      </c>
    </row>
    <row r="1898" spans="1:24" ht="12" customHeight="1">
      <c r="A1898" s="4">
        <v>4500</v>
      </c>
      <c r="B1898" s="4">
        <v>32036</v>
      </c>
      <c r="C1898" s="5">
        <f t="shared" si="91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920">C1898+1</f>
        <v>40822</v>
      </c>
      <c r="V1898">
        <f t="shared" si="902"/>
        <v>6</v>
      </c>
      <c r="W1898">
        <f t="shared" si="900"/>
        <v>10</v>
      </c>
      <c r="X1898">
        <f t="shared" si="901"/>
        <v>2011</v>
      </c>
    </row>
    <row r="1899" spans="1:24" ht="12" customHeight="1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920"/>
        <v>39821</v>
      </c>
      <c r="V1899">
        <f t="shared" si="902"/>
        <v>8</v>
      </c>
      <c r="W1899">
        <f t="shared" si="900"/>
        <v>1</v>
      </c>
      <c r="X1899">
        <f t="shared" si="901"/>
        <v>2009</v>
      </c>
    </row>
    <row r="1900" spans="1:24" ht="12" customHeight="1">
      <c r="A1900" s="4">
        <v>4702</v>
      </c>
      <c r="B1900" s="4">
        <v>33505</v>
      </c>
      <c r="C1900" s="5">
        <f t="shared" ref="C1900:C1901" si="92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  <c r="V1900">
        <f t="shared" si="902"/>
        <v>29</v>
      </c>
      <c r="W1900">
        <f t="shared" si="900"/>
        <v>9</v>
      </c>
      <c r="X1900">
        <f t="shared" si="901"/>
        <v>2010</v>
      </c>
    </row>
    <row r="1901" spans="1:24" ht="12" customHeight="1">
      <c r="A1901" s="4">
        <v>4703</v>
      </c>
      <c r="B1901" s="4">
        <v>33505</v>
      </c>
      <c r="C1901" s="5">
        <f t="shared" si="92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  <c r="V1901">
        <f t="shared" si="902"/>
        <v>25</v>
      </c>
      <c r="W1901">
        <f t="shared" si="900"/>
        <v>9</v>
      </c>
      <c r="X1901">
        <f t="shared" si="901"/>
        <v>2010</v>
      </c>
    </row>
    <row r="1902" spans="1:24" ht="12" customHeight="1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922">C1902+2</f>
        <v>41030</v>
      </c>
      <c r="V1902">
        <f t="shared" si="902"/>
        <v>1</v>
      </c>
      <c r="W1902">
        <f t="shared" si="900"/>
        <v>5</v>
      </c>
      <c r="X1902">
        <f t="shared" si="901"/>
        <v>2012</v>
      </c>
    </row>
    <row r="1903" spans="1:24" ht="12" customHeight="1">
      <c r="A1903" s="4">
        <v>4809</v>
      </c>
      <c r="B1903" s="4">
        <v>34209</v>
      </c>
      <c r="C1903" s="5">
        <f t="shared" ref="C1903:C1904" si="92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922"/>
        <v>40416</v>
      </c>
      <c r="V1903">
        <f t="shared" si="902"/>
        <v>26</v>
      </c>
      <c r="W1903">
        <f t="shared" si="900"/>
        <v>8</v>
      </c>
      <c r="X1903">
        <f t="shared" si="901"/>
        <v>2010</v>
      </c>
    </row>
    <row r="1904" spans="1:24" ht="12" customHeight="1">
      <c r="A1904" s="4">
        <v>4810</v>
      </c>
      <c r="B1904" s="4">
        <v>34209</v>
      </c>
      <c r="C1904" s="5">
        <f t="shared" si="92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922"/>
        <v>40416</v>
      </c>
      <c r="V1904">
        <f t="shared" si="902"/>
        <v>26</v>
      </c>
      <c r="W1904">
        <f t="shared" si="900"/>
        <v>8</v>
      </c>
      <c r="X1904">
        <f t="shared" si="901"/>
        <v>2010</v>
      </c>
    </row>
    <row r="1905" spans="1:24" ht="12" customHeight="1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  <c r="V1905">
        <f t="shared" si="902"/>
        <v>17</v>
      </c>
      <c r="W1905">
        <f t="shared" si="900"/>
        <v>3</v>
      </c>
      <c r="X1905">
        <f t="shared" si="901"/>
        <v>2009</v>
      </c>
    </row>
    <row r="1906" spans="1:24" ht="12" customHeight="1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924">C1906+2</f>
        <v>40285</v>
      </c>
      <c r="V1906">
        <f t="shared" si="902"/>
        <v>17</v>
      </c>
      <c r="W1906">
        <f t="shared" si="900"/>
        <v>4</v>
      </c>
      <c r="X1906">
        <f t="shared" si="901"/>
        <v>2010</v>
      </c>
    </row>
    <row r="1907" spans="1:24" ht="12" customHeight="1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924"/>
        <v>40231</v>
      </c>
      <c r="V1907">
        <f t="shared" si="902"/>
        <v>22</v>
      </c>
      <c r="W1907">
        <f t="shared" si="900"/>
        <v>2</v>
      </c>
      <c r="X1907">
        <f t="shared" si="901"/>
        <v>2010</v>
      </c>
    </row>
    <row r="1908" spans="1:24" ht="12" customHeight="1">
      <c r="A1908" s="4">
        <v>5878</v>
      </c>
      <c r="B1908" s="4">
        <v>41702</v>
      </c>
      <c r="C1908" s="5">
        <f t="shared" ref="C1908:C1909" si="92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  <c r="V1908">
        <f t="shared" si="902"/>
        <v>23</v>
      </c>
      <c r="W1908">
        <f t="shared" si="900"/>
        <v>12</v>
      </c>
      <c r="X1908">
        <f t="shared" si="901"/>
        <v>2010</v>
      </c>
    </row>
    <row r="1909" spans="1:24" ht="12" customHeight="1">
      <c r="A1909" s="4">
        <v>5879</v>
      </c>
      <c r="B1909" s="4">
        <v>41702</v>
      </c>
      <c r="C1909" s="5">
        <f t="shared" si="92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926">C1909+2</f>
        <v>40536</v>
      </c>
      <c r="V1909">
        <f t="shared" si="902"/>
        <v>24</v>
      </c>
      <c r="W1909">
        <f t="shared" si="900"/>
        <v>12</v>
      </c>
      <c r="X1909">
        <f t="shared" si="901"/>
        <v>2010</v>
      </c>
    </row>
    <row r="1910" spans="1:24" ht="12" customHeight="1">
      <c r="A1910" s="4">
        <v>6317</v>
      </c>
      <c r="B1910" s="4">
        <v>44706</v>
      </c>
      <c r="C1910" s="5">
        <f t="shared" ref="C1910:C1911" si="92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926"/>
        <v>40269</v>
      </c>
      <c r="V1910">
        <f t="shared" si="902"/>
        <v>1</v>
      </c>
      <c r="W1910">
        <f t="shared" si="900"/>
        <v>4</v>
      </c>
      <c r="X1910">
        <f t="shared" si="901"/>
        <v>2010</v>
      </c>
    </row>
    <row r="1911" spans="1:24" ht="12" customHeight="1">
      <c r="A1911" s="4">
        <v>6318</v>
      </c>
      <c r="B1911" s="4">
        <v>44706</v>
      </c>
      <c r="C1911" s="5">
        <f t="shared" si="92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  <c r="V1911">
        <f t="shared" si="902"/>
        <v>4</v>
      </c>
      <c r="W1911">
        <f t="shared" si="900"/>
        <v>4</v>
      </c>
      <c r="X1911">
        <f t="shared" si="901"/>
        <v>2010</v>
      </c>
    </row>
    <row r="1912" spans="1:24" ht="12" customHeight="1">
      <c r="A1912" s="4">
        <v>6383</v>
      </c>
      <c r="B1912" s="4">
        <v>45347</v>
      </c>
      <c r="C1912" s="5">
        <f t="shared" ref="C1912:C1913" si="92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  <c r="V1912">
        <f t="shared" si="902"/>
        <v>30</v>
      </c>
      <c r="W1912">
        <f t="shared" si="900"/>
        <v>9</v>
      </c>
      <c r="X1912">
        <f t="shared" si="901"/>
        <v>2010</v>
      </c>
    </row>
    <row r="1913" spans="1:24" ht="12" customHeight="1">
      <c r="A1913" s="4">
        <v>6384</v>
      </c>
      <c r="B1913" s="4">
        <v>45347</v>
      </c>
      <c r="C1913" s="5">
        <f t="shared" si="92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  <c r="V1913">
        <f t="shared" si="902"/>
        <v>1</v>
      </c>
      <c r="W1913">
        <f t="shared" si="900"/>
        <v>10</v>
      </c>
      <c r="X1913">
        <f t="shared" si="901"/>
        <v>2010</v>
      </c>
    </row>
    <row r="1914" spans="1:24" ht="12" customHeight="1">
      <c r="A1914" s="4">
        <v>6559</v>
      </c>
      <c r="B1914" s="4">
        <v>46627</v>
      </c>
      <c r="C1914" s="5">
        <f t="shared" ref="C1914:C1915" si="92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930">C1914+1</f>
        <v>39976</v>
      </c>
      <c r="V1914">
        <f t="shared" si="902"/>
        <v>12</v>
      </c>
      <c r="W1914">
        <f t="shared" si="900"/>
        <v>6</v>
      </c>
      <c r="X1914">
        <f t="shared" si="901"/>
        <v>2009</v>
      </c>
    </row>
    <row r="1915" spans="1:24" ht="12" customHeight="1">
      <c r="A1915" s="4">
        <v>6560</v>
      </c>
      <c r="B1915" s="4">
        <v>46627</v>
      </c>
      <c r="C1915" s="5">
        <f t="shared" si="92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930"/>
        <v>39976</v>
      </c>
      <c r="V1915">
        <f t="shared" si="902"/>
        <v>12</v>
      </c>
      <c r="W1915">
        <f t="shared" si="900"/>
        <v>6</v>
      </c>
      <c r="X1915">
        <f t="shared" si="901"/>
        <v>2009</v>
      </c>
    </row>
    <row r="1916" spans="1:24" ht="12" customHeight="1">
      <c r="A1916" s="4">
        <v>6628</v>
      </c>
      <c r="B1916" s="4">
        <v>47168</v>
      </c>
      <c r="C1916" s="5">
        <f t="shared" ref="C1916:C1917" si="93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930"/>
        <v>39986</v>
      </c>
      <c r="V1916">
        <f t="shared" si="902"/>
        <v>22</v>
      </c>
      <c r="W1916">
        <f t="shared" si="900"/>
        <v>6</v>
      </c>
      <c r="X1916">
        <f t="shared" si="901"/>
        <v>2009</v>
      </c>
    </row>
    <row r="1917" spans="1:24" ht="12" customHeight="1">
      <c r="A1917" s="4">
        <v>6629</v>
      </c>
      <c r="B1917" s="4">
        <v>47168</v>
      </c>
      <c r="C1917" s="5">
        <f t="shared" si="93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930"/>
        <v>39986</v>
      </c>
      <c r="V1917">
        <f t="shared" si="902"/>
        <v>22</v>
      </c>
      <c r="W1917">
        <f t="shared" si="900"/>
        <v>6</v>
      </c>
      <c r="X1917">
        <f t="shared" si="901"/>
        <v>2009</v>
      </c>
    </row>
    <row r="1918" spans="1:24" ht="12" customHeight="1">
      <c r="A1918" s="4">
        <v>7011</v>
      </c>
      <c r="B1918" s="4">
        <v>50051</v>
      </c>
      <c r="C1918" s="5">
        <f t="shared" ref="C1918:C1919" si="93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933">C1918+2</f>
        <v>40092</v>
      </c>
      <c r="V1918">
        <f t="shared" si="902"/>
        <v>6</v>
      </c>
      <c r="W1918">
        <f t="shared" si="900"/>
        <v>10</v>
      </c>
      <c r="X1918">
        <f t="shared" si="901"/>
        <v>2009</v>
      </c>
    </row>
    <row r="1919" spans="1:24" ht="12" customHeight="1">
      <c r="A1919" s="4">
        <v>7012</v>
      </c>
      <c r="B1919" s="4">
        <v>50051</v>
      </c>
      <c r="C1919" s="5">
        <f t="shared" si="93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933"/>
        <v>40092</v>
      </c>
      <c r="V1919">
        <f t="shared" si="902"/>
        <v>6</v>
      </c>
      <c r="W1919">
        <f t="shared" si="900"/>
        <v>10</v>
      </c>
      <c r="X1919">
        <f t="shared" si="901"/>
        <v>2009</v>
      </c>
    </row>
    <row r="1920" spans="1:24" ht="12" customHeight="1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933"/>
        <v>40929</v>
      </c>
      <c r="V1920">
        <f t="shared" si="902"/>
        <v>21</v>
      </c>
      <c r="W1920">
        <f t="shared" si="900"/>
        <v>1</v>
      </c>
      <c r="X1920">
        <f t="shared" si="901"/>
        <v>2012</v>
      </c>
    </row>
    <row r="1921" spans="1:24" ht="12" customHeight="1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933"/>
        <v>40968</v>
      </c>
      <c r="V1921">
        <f t="shared" si="902"/>
        <v>29</v>
      </c>
      <c r="W1921">
        <f t="shared" si="900"/>
        <v>2</v>
      </c>
      <c r="X1921">
        <f t="shared" si="901"/>
        <v>2012</v>
      </c>
    </row>
    <row r="1922" spans="1:24" ht="12" customHeight="1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933"/>
        <v>41104</v>
      </c>
      <c r="V1922">
        <f t="shared" si="902"/>
        <v>14</v>
      </c>
      <c r="W1922">
        <f t="shared" si="900"/>
        <v>7</v>
      </c>
      <c r="X1922">
        <f t="shared" si="901"/>
        <v>2012</v>
      </c>
    </row>
    <row r="1923" spans="1:24" ht="12" customHeight="1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  <c r="V1923">
        <f t="shared" si="902"/>
        <v>1</v>
      </c>
      <c r="W1923">
        <f t="shared" ref="W1923:W1986" si="934">MONTH(U1923)</f>
        <v>6</v>
      </c>
      <c r="X1923">
        <f t="shared" ref="X1923:X1986" si="935">YEAR(U1923)</f>
        <v>2012</v>
      </c>
    </row>
    <row r="1924" spans="1:24" ht="12" customHeight="1">
      <c r="A1924" s="4">
        <v>7219</v>
      </c>
      <c r="B1924" s="4">
        <v>51524</v>
      </c>
      <c r="C1924" s="5">
        <f t="shared" ref="C1924:C1925" si="936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  <c r="V1924">
        <f t="shared" ref="V1924:V1987" si="937">DAY(U1924)</f>
        <v>15</v>
      </c>
      <c r="W1924">
        <f t="shared" si="934"/>
        <v>3</v>
      </c>
      <c r="X1924">
        <f t="shared" si="935"/>
        <v>2010</v>
      </c>
    </row>
    <row r="1925" spans="1:24" ht="12" customHeight="1">
      <c r="A1925" s="4">
        <v>7220</v>
      </c>
      <c r="B1925" s="4">
        <v>51524</v>
      </c>
      <c r="C1925" s="5">
        <f t="shared" si="936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  <c r="V1925">
        <f t="shared" si="937"/>
        <v>16</v>
      </c>
      <c r="W1925">
        <f t="shared" si="934"/>
        <v>3</v>
      </c>
      <c r="X1925">
        <f t="shared" si="935"/>
        <v>2010</v>
      </c>
    </row>
    <row r="1926" spans="1:24" ht="12" customHeight="1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  <c r="V1926">
        <f t="shared" si="937"/>
        <v>9</v>
      </c>
      <c r="W1926">
        <f t="shared" si="934"/>
        <v>2</v>
      </c>
      <c r="X1926">
        <f t="shared" si="935"/>
        <v>2010</v>
      </c>
    </row>
    <row r="1927" spans="1:24" ht="12" customHeight="1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  <c r="V1927">
        <f t="shared" si="937"/>
        <v>17</v>
      </c>
      <c r="W1927">
        <f t="shared" si="934"/>
        <v>5</v>
      </c>
      <c r="X1927">
        <f t="shared" si="935"/>
        <v>2012</v>
      </c>
    </row>
    <row r="1928" spans="1:24" ht="12" customHeight="1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  <c r="V1928">
        <f t="shared" si="937"/>
        <v>15</v>
      </c>
      <c r="W1928">
        <f t="shared" si="934"/>
        <v>3</v>
      </c>
      <c r="X1928">
        <f t="shared" si="935"/>
        <v>2012</v>
      </c>
    </row>
    <row r="1929" spans="1:24" ht="12" customHeight="1">
      <c r="A1929" s="4">
        <v>7435</v>
      </c>
      <c r="B1929" s="4">
        <v>53024</v>
      </c>
      <c r="C1929" s="5">
        <f t="shared" ref="C1929:C1930" si="938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939">C1929+1</f>
        <v>41042</v>
      </c>
      <c r="V1929">
        <f t="shared" si="937"/>
        <v>13</v>
      </c>
      <c r="W1929">
        <f t="shared" si="934"/>
        <v>5</v>
      </c>
      <c r="X1929">
        <f t="shared" si="935"/>
        <v>2012</v>
      </c>
    </row>
    <row r="1930" spans="1:24" ht="12" customHeight="1">
      <c r="A1930" s="4">
        <v>7436</v>
      </c>
      <c r="B1930" s="4">
        <v>53024</v>
      </c>
      <c r="C1930" s="5">
        <f t="shared" si="938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939"/>
        <v>41042</v>
      </c>
      <c r="V1930">
        <f t="shared" si="937"/>
        <v>13</v>
      </c>
      <c r="W1930">
        <f t="shared" si="934"/>
        <v>5</v>
      </c>
      <c r="X1930">
        <f t="shared" si="935"/>
        <v>2012</v>
      </c>
    </row>
    <row r="1931" spans="1:24" ht="12" customHeight="1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940">C1931+0</f>
        <v>40180</v>
      </c>
      <c r="V1931">
        <f t="shared" si="937"/>
        <v>2</v>
      </c>
      <c r="W1931">
        <f t="shared" si="934"/>
        <v>1</v>
      </c>
      <c r="X1931">
        <f t="shared" si="935"/>
        <v>2010</v>
      </c>
    </row>
    <row r="1932" spans="1:24" ht="12" customHeight="1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940"/>
        <v>40042</v>
      </c>
      <c r="V1932">
        <f t="shared" si="937"/>
        <v>17</v>
      </c>
      <c r="W1932">
        <f t="shared" si="934"/>
        <v>8</v>
      </c>
      <c r="X1932">
        <f t="shared" si="935"/>
        <v>2009</v>
      </c>
    </row>
    <row r="1933" spans="1:24" ht="12" customHeight="1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940"/>
        <v>41138</v>
      </c>
      <c r="V1933">
        <f t="shared" si="937"/>
        <v>17</v>
      </c>
      <c r="W1933">
        <f t="shared" si="934"/>
        <v>8</v>
      </c>
      <c r="X1933">
        <f t="shared" si="935"/>
        <v>2012</v>
      </c>
    </row>
    <row r="1934" spans="1:24" ht="12" customHeight="1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941">C1934+2</f>
        <v>41182</v>
      </c>
      <c r="V1934">
        <f t="shared" si="937"/>
        <v>30</v>
      </c>
      <c r="W1934">
        <f t="shared" si="934"/>
        <v>9</v>
      </c>
      <c r="X1934">
        <f t="shared" si="935"/>
        <v>2012</v>
      </c>
    </row>
    <row r="1935" spans="1:24" ht="12" customHeight="1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941"/>
        <v>40990</v>
      </c>
      <c r="V1935">
        <f t="shared" si="937"/>
        <v>22</v>
      </c>
      <c r="W1935">
        <f t="shared" si="934"/>
        <v>3</v>
      </c>
      <c r="X1935">
        <f t="shared" si="935"/>
        <v>2012</v>
      </c>
    </row>
    <row r="1936" spans="1:24" ht="12" customHeight="1">
      <c r="A1936" s="4">
        <v>8311</v>
      </c>
      <c r="B1936" s="4">
        <v>59392</v>
      </c>
      <c r="C1936" s="5">
        <f t="shared" ref="C1936:C1937" si="942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  <c r="V1936">
        <f t="shared" si="937"/>
        <v>27</v>
      </c>
      <c r="W1936">
        <f t="shared" si="934"/>
        <v>6</v>
      </c>
      <c r="X1936">
        <f t="shared" si="935"/>
        <v>2010</v>
      </c>
    </row>
    <row r="1937" spans="1:24" ht="12" customHeight="1">
      <c r="A1937" s="4">
        <v>8312</v>
      </c>
      <c r="B1937" s="4">
        <v>59392</v>
      </c>
      <c r="C1937" s="5">
        <f t="shared" si="942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943">C1937+2</f>
        <v>40357</v>
      </c>
      <c r="V1937">
        <f t="shared" si="937"/>
        <v>28</v>
      </c>
      <c r="W1937">
        <f t="shared" si="934"/>
        <v>6</v>
      </c>
      <c r="X1937">
        <f t="shared" si="935"/>
        <v>2010</v>
      </c>
    </row>
    <row r="1938" spans="1:24" ht="12" customHeight="1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943"/>
        <v>40036</v>
      </c>
      <c r="V1938">
        <f t="shared" si="937"/>
        <v>11</v>
      </c>
      <c r="W1938">
        <f t="shared" si="934"/>
        <v>8</v>
      </c>
      <c r="X1938">
        <f t="shared" si="935"/>
        <v>2009</v>
      </c>
    </row>
    <row r="1939" spans="1:24" ht="12" customHeight="1">
      <c r="A1939" s="4">
        <v>534</v>
      </c>
      <c r="B1939" s="4">
        <v>3648</v>
      </c>
      <c r="C1939" s="5">
        <f t="shared" ref="C1939:C1940" si="944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943"/>
        <v>40347</v>
      </c>
      <c r="V1939">
        <f t="shared" si="937"/>
        <v>18</v>
      </c>
      <c r="W1939">
        <f t="shared" si="934"/>
        <v>6</v>
      </c>
      <c r="X1939">
        <f t="shared" si="935"/>
        <v>2010</v>
      </c>
    </row>
    <row r="1940" spans="1:24" ht="12" customHeight="1">
      <c r="A1940" s="4">
        <v>535</v>
      </c>
      <c r="B1940" s="4">
        <v>3648</v>
      </c>
      <c r="C1940" s="5">
        <f t="shared" si="944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  <c r="V1940">
        <f t="shared" si="937"/>
        <v>23</v>
      </c>
      <c r="W1940">
        <f t="shared" si="934"/>
        <v>6</v>
      </c>
      <c r="X1940">
        <f t="shared" si="935"/>
        <v>2010</v>
      </c>
    </row>
    <row r="1941" spans="1:24" ht="12" customHeight="1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  <c r="V1941">
        <f t="shared" si="937"/>
        <v>23</v>
      </c>
      <c r="W1941">
        <f t="shared" si="934"/>
        <v>10</v>
      </c>
      <c r="X1941">
        <f t="shared" si="935"/>
        <v>2009</v>
      </c>
    </row>
    <row r="1942" spans="1:24" ht="12" customHeight="1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  <c r="V1942">
        <f t="shared" si="937"/>
        <v>25</v>
      </c>
      <c r="W1942">
        <f t="shared" si="934"/>
        <v>12</v>
      </c>
      <c r="X1942">
        <f t="shared" si="935"/>
        <v>2010</v>
      </c>
    </row>
    <row r="1943" spans="1:24" ht="12" customHeight="1">
      <c r="A1943" s="4">
        <v>1294</v>
      </c>
      <c r="B1943" s="4">
        <v>9478</v>
      </c>
      <c r="C1943" s="5">
        <f t="shared" ref="C1943:C1944" si="945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  <c r="V1943">
        <f t="shared" si="937"/>
        <v>29</v>
      </c>
      <c r="W1943">
        <f t="shared" si="934"/>
        <v>3</v>
      </c>
      <c r="X1943">
        <f t="shared" si="935"/>
        <v>2009</v>
      </c>
    </row>
    <row r="1944" spans="1:24" ht="12" customHeight="1">
      <c r="A1944" s="4">
        <v>1295</v>
      </c>
      <c r="B1944" s="4">
        <v>9478</v>
      </c>
      <c r="C1944" s="5">
        <f t="shared" si="945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  <c r="V1944">
        <f t="shared" si="937"/>
        <v>30</v>
      </c>
      <c r="W1944">
        <f t="shared" si="934"/>
        <v>3</v>
      </c>
      <c r="X1944">
        <f t="shared" si="935"/>
        <v>2009</v>
      </c>
    </row>
    <row r="1945" spans="1:24" ht="12" customHeight="1">
      <c r="A1945" s="4">
        <v>1715</v>
      </c>
      <c r="B1945" s="4">
        <v>12323</v>
      </c>
      <c r="C1945" s="5">
        <f t="shared" ref="C1945:C1946" si="946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  <c r="V1945">
        <f t="shared" si="937"/>
        <v>3</v>
      </c>
      <c r="W1945">
        <f t="shared" si="934"/>
        <v>4</v>
      </c>
      <c r="X1945">
        <f t="shared" si="935"/>
        <v>2011</v>
      </c>
    </row>
    <row r="1946" spans="1:24" ht="12" customHeight="1">
      <c r="A1946" s="4">
        <v>1716</v>
      </c>
      <c r="B1946" s="4">
        <v>12323</v>
      </c>
      <c r="C1946" s="5">
        <f t="shared" si="946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  <c r="V1946">
        <f t="shared" si="937"/>
        <v>4</v>
      </c>
      <c r="W1946">
        <f t="shared" si="934"/>
        <v>4</v>
      </c>
      <c r="X1946">
        <f t="shared" si="935"/>
        <v>2011</v>
      </c>
    </row>
    <row r="1947" spans="1:24" ht="12" customHeight="1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  <c r="V1947">
        <f t="shared" si="937"/>
        <v>24</v>
      </c>
      <c r="W1947">
        <f t="shared" si="934"/>
        <v>12</v>
      </c>
      <c r="X1947">
        <f t="shared" si="935"/>
        <v>2009</v>
      </c>
    </row>
    <row r="1948" spans="1:24" ht="12" customHeight="1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  <c r="V1948">
        <f t="shared" si="937"/>
        <v>15</v>
      </c>
      <c r="W1948">
        <f t="shared" si="934"/>
        <v>2</v>
      </c>
      <c r="X1948">
        <f t="shared" si="935"/>
        <v>2010</v>
      </c>
    </row>
    <row r="1949" spans="1:24" ht="12" customHeight="1">
      <c r="A1949" s="4">
        <v>2484</v>
      </c>
      <c r="B1949" s="4">
        <v>18085</v>
      </c>
      <c r="C1949" s="5">
        <f t="shared" ref="C1949:C1950" si="947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  <c r="V1949">
        <f t="shared" si="937"/>
        <v>27</v>
      </c>
      <c r="W1949">
        <f t="shared" si="934"/>
        <v>9</v>
      </c>
      <c r="X1949">
        <f t="shared" si="935"/>
        <v>2011</v>
      </c>
    </row>
    <row r="1950" spans="1:24" ht="12" customHeight="1">
      <c r="A1950" s="4">
        <v>2485</v>
      </c>
      <c r="B1950" s="4">
        <v>18085</v>
      </c>
      <c r="C1950" s="5">
        <f t="shared" si="947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948">C1950+1</f>
        <v>40812</v>
      </c>
      <c r="V1950">
        <f t="shared" si="937"/>
        <v>26</v>
      </c>
      <c r="W1950">
        <f t="shared" si="934"/>
        <v>9</v>
      </c>
      <c r="X1950">
        <f t="shared" si="935"/>
        <v>2011</v>
      </c>
    </row>
    <row r="1951" spans="1:24" ht="12" customHeight="1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948"/>
        <v>40521</v>
      </c>
      <c r="V1951">
        <f t="shared" si="937"/>
        <v>9</v>
      </c>
      <c r="W1951">
        <f t="shared" si="934"/>
        <v>12</v>
      </c>
      <c r="X1951">
        <f t="shared" si="935"/>
        <v>2010</v>
      </c>
    </row>
    <row r="1952" spans="1:24" ht="12" customHeight="1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  <c r="V1952">
        <f t="shared" si="937"/>
        <v>26</v>
      </c>
      <c r="W1952">
        <f t="shared" si="934"/>
        <v>10</v>
      </c>
      <c r="X1952">
        <f t="shared" si="935"/>
        <v>2010</v>
      </c>
    </row>
    <row r="1953" spans="1:24" ht="12" customHeight="1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  <c r="V1953">
        <f t="shared" si="937"/>
        <v>13</v>
      </c>
      <c r="W1953">
        <f t="shared" si="934"/>
        <v>1</v>
      </c>
      <c r="X1953">
        <f t="shared" si="935"/>
        <v>2011</v>
      </c>
    </row>
    <row r="1954" spans="1:24" ht="12" customHeight="1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  <c r="V1954">
        <f t="shared" si="937"/>
        <v>4</v>
      </c>
      <c r="W1954">
        <f t="shared" si="934"/>
        <v>8</v>
      </c>
      <c r="X1954">
        <f t="shared" si="935"/>
        <v>2010</v>
      </c>
    </row>
    <row r="1955" spans="1:24" ht="12" customHeight="1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  <c r="V1955">
        <f t="shared" si="937"/>
        <v>11</v>
      </c>
      <c r="W1955">
        <f t="shared" si="934"/>
        <v>6</v>
      </c>
      <c r="X1955">
        <f t="shared" si="935"/>
        <v>2012</v>
      </c>
    </row>
    <row r="1956" spans="1:24" ht="12" customHeight="1">
      <c r="A1956" s="4">
        <v>4574</v>
      </c>
      <c r="B1956" s="4">
        <v>32580</v>
      </c>
      <c r="C1956" s="5">
        <f t="shared" ref="C1956:C1957" si="949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  <c r="V1956">
        <f t="shared" si="937"/>
        <v>15</v>
      </c>
      <c r="W1956">
        <f t="shared" si="934"/>
        <v>9</v>
      </c>
      <c r="X1956">
        <f t="shared" si="935"/>
        <v>2011</v>
      </c>
    </row>
    <row r="1957" spans="1:24" ht="12" customHeight="1">
      <c r="A1957" s="4">
        <v>4575</v>
      </c>
      <c r="B1957" s="4">
        <v>32580</v>
      </c>
      <c r="C1957" s="5">
        <f t="shared" si="949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  <c r="V1957">
        <f t="shared" si="937"/>
        <v>17</v>
      </c>
      <c r="W1957">
        <f t="shared" si="934"/>
        <v>9</v>
      </c>
      <c r="X1957">
        <f t="shared" si="935"/>
        <v>2011</v>
      </c>
    </row>
    <row r="1958" spans="1:24" ht="12" customHeight="1">
      <c r="A1958" s="4">
        <v>4788</v>
      </c>
      <c r="B1958" s="4">
        <v>34017</v>
      </c>
      <c r="C1958" s="5">
        <f t="shared" ref="C1958:C1959" si="950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  <c r="V1958">
        <f t="shared" si="937"/>
        <v>23</v>
      </c>
      <c r="W1958">
        <f t="shared" si="934"/>
        <v>3</v>
      </c>
      <c r="X1958">
        <f t="shared" si="935"/>
        <v>2009</v>
      </c>
    </row>
    <row r="1959" spans="1:24" ht="12" customHeight="1">
      <c r="A1959" s="4">
        <v>4789</v>
      </c>
      <c r="B1959" s="4">
        <v>34017</v>
      </c>
      <c r="C1959" s="5">
        <f t="shared" si="950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951">C1959+2</f>
        <v>39897</v>
      </c>
      <c r="V1959">
        <f t="shared" si="937"/>
        <v>25</v>
      </c>
      <c r="W1959">
        <f t="shared" si="934"/>
        <v>3</v>
      </c>
      <c r="X1959">
        <f t="shared" si="935"/>
        <v>2009</v>
      </c>
    </row>
    <row r="1960" spans="1:24" ht="12" customHeight="1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951"/>
        <v>40264</v>
      </c>
      <c r="V1960">
        <f t="shared" si="937"/>
        <v>27</v>
      </c>
      <c r="W1960">
        <f t="shared" si="934"/>
        <v>3</v>
      </c>
      <c r="X1960">
        <f t="shared" si="935"/>
        <v>2010</v>
      </c>
    </row>
    <row r="1961" spans="1:24" ht="12" customHeight="1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  <c r="V1961">
        <f t="shared" si="937"/>
        <v>18</v>
      </c>
      <c r="W1961">
        <f t="shared" si="934"/>
        <v>1</v>
      </c>
      <c r="X1961">
        <f t="shared" si="935"/>
        <v>2009</v>
      </c>
    </row>
    <row r="1962" spans="1:24" ht="12" customHeight="1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  <c r="V1962">
        <f t="shared" si="937"/>
        <v>14</v>
      </c>
      <c r="W1962">
        <f t="shared" si="934"/>
        <v>7</v>
      </c>
      <c r="X1962">
        <f t="shared" si="935"/>
        <v>2012</v>
      </c>
    </row>
    <row r="1963" spans="1:24" ht="12" customHeight="1">
      <c r="A1963" s="4">
        <v>7478</v>
      </c>
      <c r="B1963" s="4">
        <v>53382</v>
      </c>
      <c r="C1963" s="5">
        <f t="shared" ref="C1963:C1964" si="952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953">C1963+1</f>
        <v>40175</v>
      </c>
      <c r="V1963">
        <f t="shared" si="937"/>
        <v>28</v>
      </c>
      <c r="W1963">
        <f t="shared" si="934"/>
        <v>12</v>
      </c>
      <c r="X1963">
        <f t="shared" si="935"/>
        <v>2009</v>
      </c>
    </row>
    <row r="1964" spans="1:24" ht="12" customHeight="1">
      <c r="A1964" s="4">
        <v>7479</v>
      </c>
      <c r="B1964" s="4">
        <v>53382</v>
      </c>
      <c r="C1964" s="5">
        <f t="shared" si="952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953"/>
        <v>40175</v>
      </c>
      <c r="V1964">
        <f t="shared" si="937"/>
        <v>28</v>
      </c>
      <c r="W1964">
        <f t="shared" si="934"/>
        <v>12</v>
      </c>
      <c r="X1964">
        <f t="shared" si="935"/>
        <v>2009</v>
      </c>
    </row>
    <row r="1965" spans="1:24" ht="12" customHeight="1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953"/>
        <v>40839</v>
      </c>
      <c r="V1965">
        <f t="shared" si="937"/>
        <v>23</v>
      </c>
      <c r="W1965">
        <f t="shared" si="934"/>
        <v>10</v>
      </c>
      <c r="X1965">
        <f t="shared" si="935"/>
        <v>2011</v>
      </c>
    </row>
    <row r="1966" spans="1:24" ht="12" customHeight="1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953"/>
        <v>40620</v>
      </c>
      <c r="V1966">
        <f t="shared" si="937"/>
        <v>18</v>
      </c>
      <c r="W1966">
        <f t="shared" si="934"/>
        <v>3</v>
      </c>
      <c r="X1966">
        <f t="shared" si="935"/>
        <v>2011</v>
      </c>
    </row>
    <row r="1967" spans="1:24" ht="12" customHeight="1">
      <c r="A1967" s="4">
        <v>39</v>
      </c>
      <c r="B1967" s="4">
        <v>230</v>
      </c>
      <c r="C1967" s="5">
        <f t="shared" ref="C1967:C1968" si="954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955">C1967+2</f>
        <v>40479</v>
      </c>
      <c r="V1967">
        <f t="shared" si="937"/>
        <v>28</v>
      </c>
      <c r="W1967">
        <f t="shared" si="934"/>
        <v>10</v>
      </c>
      <c r="X1967">
        <f t="shared" si="935"/>
        <v>2010</v>
      </c>
    </row>
    <row r="1968" spans="1:24" ht="12" customHeight="1">
      <c r="A1968" s="4">
        <v>40</v>
      </c>
      <c r="B1968" s="4">
        <v>230</v>
      </c>
      <c r="C1968" s="5">
        <f t="shared" si="954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955"/>
        <v>40479</v>
      </c>
      <c r="V1968">
        <f t="shared" si="937"/>
        <v>28</v>
      </c>
      <c r="W1968">
        <f t="shared" si="934"/>
        <v>10</v>
      </c>
      <c r="X1968">
        <f t="shared" si="935"/>
        <v>2010</v>
      </c>
    </row>
    <row r="1969" spans="1:24" ht="12" customHeight="1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  <c r="V1969">
        <f t="shared" si="937"/>
        <v>18</v>
      </c>
      <c r="W1969">
        <f t="shared" si="934"/>
        <v>6</v>
      </c>
      <c r="X1969">
        <f t="shared" si="935"/>
        <v>2009</v>
      </c>
    </row>
    <row r="1970" spans="1:24" ht="12" customHeight="1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  <c r="V1970">
        <f t="shared" si="937"/>
        <v>21</v>
      </c>
      <c r="W1970">
        <f t="shared" si="934"/>
        <v>7</v>
      </c>
      <c r="X1970">
        <f t="shared" si="935"/>
        <v>2011</v>
      </c>
    </row>
    <row r="1971" spans="1:24" ht="12" customHeight="1">
      <c r="A1971" s="4">
        <v>101</v>
      </c>
      <c r="B1971" s="4">
        <v>640</v>
      </c>
      <c r="C1971" s="5">
        <f t="shared" ref="C1971:C1972" si="956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957">C1971+1</f>
        <v>40201</v>
      </c>
      <c r="V1971">
        <f t="shared" si="937"/>
        <v>23</v>
      </c>
      <c r="W1971">
        <f t="shared" si="934"/>
        <v>1</v>
      </c>
      <c r="X1971">
        <f t="shared" si="935"/>
        <v>2010</v>
      </c>
    </row>
    <row r="1972" spans="1:24" ht="12" customHeight="1">
      <c r="A1972" s="4">
        <v>102</v>
      </c>
      <c r="B1972" s="4">
        <v>640</v>
      </c>
      <c r="C1972" s="5">
        <f t="shared" si="956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957"/>
        <v>40201</v>
      </c>
      <c r="V1972">
        <f t="shared" si="937"/>
        <v>23</v>
      </c>
      <c r="W1972">
        <f t="shared" si="934"/>
        <v>1</v>
      </c>
      <c r="X1972">
        <f t="shared" si="935"/>
        <v>2010</v>
      </c>
    </row>
    <row r="1973" spans="1:24" ht="12" customHeight="1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957"/>
        <v>40139</v>
      </c>
      <c r="V1973">
        <f t="shared" si="937"/>
        <v>22</v>
      </c>
      <c r="W1973">
        <f t="shared" si="934"/>
        <v>11</v>
      </c>
      <c r="X1973">
        <f t="shared" si="935"/>
        <v>2009</v>
      </c>
    </row>
    <row r="1974" spans="1:24" ht="12" customHeight="1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957"/>
        <v>40824</v>
      </c>
      <c r="V1974">
        <f t="shared" si="937"/>
        <v>8</v>
      </c>
      <c r="W1974">
        <f t="shared" si="934"/>
        <v>10</v>
      </c>
      <c r="X1974">
        <f t="shared" si="935"/>
        <v>2011</v>
      </c>
    </row>
    <row r="1975" spans="1:24" ht="12" customHeight="1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  <c r="V1975">
        <f t="shared" si="937"/>
        <v>8</v>
      </c>
      <c r="W1975">
        <f t="shared" si="934"/>
        <v>3</v>
      </c>
      <c r="X1975">
        <f t="shared" si="935"/>
        <v>2010</v>
      </c>
    </row>
    <row r="1976" spans="1:24" ht="12" customHeight="1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  <c r="V1976">
        <f t="shared" si="937"/>
        <v>23</v>
      </c>
      <c r="W1976">
        <f t="shared" si="934"/>
        <v>4</v>
      </c>
      <c r="X1976">
        <f t="shared" si="935"/>
        <v>2009</v>
      </c>
    </row>
    <row r="1977" spans="1:24" ht="12" customHeight="1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  <c r="V1977">
        <f t="shared" si="937"/>
        <v>21</v>
      </c>
      <c r="W1977">
        <f t="shared" si="934"/>
        <v>2</v>
      </c>
      <c r="X1977">
        <f t="shared" si="935"/>
        <v>2012</v>
      </c>
    </row>
    <row r="1978" spans="1:24" ht="12" customHeight="1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  <c r="V1978">
        <f t="shared" si="937"/>
        <v>18</v>
      </c>
      <c r="W1978">
        <f t="shared" si="934"/>
        <v>6</v>
      </c>
      <c r="X1978">
        <f t="shared" si="935"/>
        <v>2011</v>
      </c>
    </row>
    <row r="1979" spans="1:24" ht="12" customHeight="1">
      <c r="A1979" s="4">
        <v>247</v>
      </c>
      <c r="B1979" s="4">
        <v>1701</v>
      </c>
      <c r="C1979" s="5">
        <f t="shared" ref="C1979:C1980" si="958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959">C1979+2</f>
        <v>41049</v>
      </c>
      <c r="V1979">
        <f t="shared" si="937"/>
        <v>20</v>
      </c>
      <c r="W1979">
        <f t="shared" si="934"/>
        <v>5</v>
      </c>
      <c r="X1979">
        <f t="shared" si="935"/>
        <v>2012</v>
      </c>
    </row>
    <row r="1980" spans="1:24" ht="12" customHeight="1">
      <c r="A1980" s="4">
        <v>248</v>
      </c>
      <c r="B1980" s="4">
        <v>1701</v>
      </c>
      <c r="C1980" s="5">
        <f t="shared" si="958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959"/>
        <v>41049</v>
      </c>
      <c r="V1980">
        <f t="shared" si="937"/>
        <v>20</v>
      </c>
      <c r="W1980">
        <f t="shared" si="934"/>
        <v>5</v>
      </c>
      <c r="X1980">
        <f t="shared" si="935"/>
        <v>2012</v>
      </c>
    </row>
    <row r="1981" spans="1:24" ht="12" customHeight="1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959"/>
        <v>40163</v>
      </c>
      <c r="V1981">
        <f t="shared" si="937"/>
        <v>16</v>
      </c>
      <c r="W1981">
        <f t="shared" si="934"/>
        <v>12</v>
      </c>
      <c r="X1981">
        <f t="shared" si="935"/>
        <v>2009</v>
      </c>
    </row>
    <row r="1982" spans="1:24" ht="12" customHeight="1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  <c r="V1982">
        <f t="shared" si="937"/>
        <v>15</v>
      </c>
      <c r="W1982">
        <f t="shared" si="934"/>
        <v>3</v>
      </c>
      <c r="X1982">
        <f t="shared" si="935"/>
        <v>2012</v>
      </c>
    </row>
    <row r="1983" spans="1:24" ht="12" customHeight="1">
      <c r="A1983" s="4">
        <v>312</v>
      </c>
      <c r="B1983" s="4">
        <v>2181</v>
      </c>
      <c r="C1983" s="5">
        <f t="shared" ref="C1983:C1984" si="960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  <c r="V1983">
        <f t="shared" si="937"/>
        <v>12</v>
      </c>
      <c r="W1983">
        <f t="shared" si="934"/>
        <v>9</v>
      </c>
      <c r="X1983">
        <f t="shared" si="935"/>
        <v>2011</v>
      </c>
    </row>
    <row r="1984" spans="1:24" ht="12" customHeight="1">
      <c r="A1984" s="4">
        <v>313</v>
      </c>
      <c r="B1984" s="4">
        <v>2181</v>
      </c>
      <c r="C1984" s="5">
        <f t="shared" si="960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  <c r="V1984">
        <f t="shared" si="937"/>
        <v>14</v>
      </c>
      <c r="W1984">
        <f t="shared" si="934"/>
        <v>9</v>
      </c>
      <c r="X1984">
        <f t="shared" si="935"/>
        <v>2011</v>
      </c>
    </row>
    <row r="1985" spans="1:24" ht="12" customHeight="1">
      <c r="A1985" s="4">
        <v>378</v>
      </c>
      <c r="B1985" s="4">
        <v>2628</v>
      </c>
      <c r="C1985" s="5">
        <f t="shared" ref="C1985:C1986" si="961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  <c r="V1985">
        <f t="shared" si="937"/>
        <v>26</v>
      </c>
      <c r="W1985">
        <f t="shared" si="934"/>
        <v>10</v>
      </c>
      <c r="X1985">
        <f t="shared" si="935"/>
        <v>2010</v>
      </c>
    </row>
    <row r="1986" spans="1:24" ht="12" customHeight="1">
      <c r="A1986" s="4">
        <v>379</v>
      </c>
      <c r="B1986" s="4">
        <v>2628</v>
      </c>
      <c r="C1986" s="5">
        <f t="shared" si="961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962">C1986+9</f>
        <v>40481</v>
      </c>
      <c r="V1986">
        <f t="shared" si="937"/>
        <v>30</v>
      </c>
      <c r="W1986">
        <f t="shared" si="934"/>
        <v>10</v>
      </c>
      <c r="X1986">
        <f t="shared" si="935"/>
        <v>2010</v>
      </c>
    </row>
    <row r="1987" spans="1:24" ht="12" customHeight="1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962"/>
        <v>41037</v>
      </c>
      <c r="V1987">
        <f t="shared" si="937"/>
        <v>8</v>
      </c>
      <c r="W1987">
        <f t="shared" ref="W1987:W2050" si="963">MONTH(U1987)</f>
        <v>5</v>
      </c>
      <c r="X1987">
        <f t="shared" ref="X1987:X2050" si="964">YEAR(U1987)</f>
        <v>2012</v>
      </c>
    </row>
    <row r="1988" spans="1:24" ht="12" customHeight="1">
      <c r="A1988" s="4">
        <v>434</v>
      </c>
      <c r="B1988" s="4">
        <v>2912</v>
      </c>
      <c r="C1988" s="5">
        <f t="shared" ref="C1988:C1989" si="965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  <c r="V1988">
        <f t="shared" ref="V1988:V2051" si="966">DAY(U1988)</f>
        <v>13</v>
      </c>
      <c r="W1988">
        <f t="shared" si="963"/>
        <v>3</v>
      </c>
      <c r="X1988">
        <f t="shared" si="964"/>
        <v>2012</v>
      </c>
    </row>
    <row r="1989" spans="1:24" ht="12" customHeight="1">
      <c r="A1989" s="4">
        <v>435</v>
      </c>
      <c r="B1989" s="4">
        <v>2912</v>
      </c>
      <c r="C1989" s="5">
        <f t="shared" si="965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  <c r="V1989">
        <f t="shared" si="966"/>
        <v>18</v>
      </c>
      <c r="W1989">
        <f t="shared" si="963"/>
        <v>3</v>
      </c>
      <c r="X1989">
        <f t="shared" si="964"/>
        <v>2012</v>
      </c>
    </row>
    <row r="1990" spans="1:24" ht="12" customHeight="1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  <c r="V1990">
        <f t="shared" si="966"/>
        <v>16</v>
      </c>
      <c r="W1990">
        <f t="shared" si="963"/>
        <v>11</v>
      </c>
      <c r="X1990">
        <f t="shared" si="964"/>
        <v>2011</v>
      </c>
    </row>
    <row r="1991" spans="1:24" ht="12" customHeight="1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  <c r="V1991">
        <f t="shared" si="966"/>
        <v>20</v>
      </c>
      <c r="W1991">
        <f t="shared" si="963"/>
        <v>3</v>
      </c>
      <c r="X1991">
        <f t="shared" si="964"/>
        <v>2011</v>
      </c>
    </row>
    <row r="1992" spans="1:24" ht="12" customHeight="1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967">C1992+0</f>
        <v>40808</v>
      </c>
      <c r="V1992">
        <f t="shared" si="966"/>
        <v>22</v>
      </c>
      <c r="W1992">
        <f t="shared" si="963"/>
        <v>9</v>
      </c>
      <c r="X1992">
        <f t="shared" si="964"/>
        <v>2011</v>
      </c>
    </row>
    <row r="1993" spans="1:24" ht="12" customHeight="1">
      <c r="A1993" s="4">
        <v>521</v>
      </c>
      <c r="B1993" s="4">
        <v>3585</v>
      </c>
      <c r="C1993" s="5">
        <f t="shared" ref="C1993:C1994" si="968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967"/>
        <v>40139</v>
      </c>
      <c r="V1993">
        <f t="shared" si="966"/>
        <v>22</v>
      </c>
      <c r="W1993">
        <f t="shared" si="963"/>
        <v>11</v>
      </c>
      <c r="X1993">
        <f t="shared" si="964"/>
        <v>2009</v>
      </c>
    </row>
    <row r="1994" spans="1:24" ht="12" customHeight="1">
      <c r="A1994" s="4">
        <v>522</v>
      </c>
      <c r="B1994" s="4">
        <v>3585</v>
      </c>
      <c r="C1994" s="5">
        <f t="shared" si="968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  <c r="V1994">
        <f t="shared" si="966"/>
        <v>23</v>
      </c>
      <c r="W1994">
        <f t="shared" si="963"/>
        <v>11</v>
      </c>
      <c r="X1994">
        <f t="shared" si="964"/>
        <v>2009</v>
      </c>
    </row>
    <row r="1995" spans="1:24" ht="12" customHeight="1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969">C1995+2</f>
        <v>40451</v>
      </c>
      <c r="V1995">
        <f t="shared" si="966"/>
        <v>30</v>
      </c>
      <c r="W1995">
        <f t="shared" si="963"/>
        <v>9</v>
      </c>
      <c r="X1995">
        <f t="shared" si="964"/>
        <v>2010</v>
      </c>
    </row>
    <row r="1996" spans="1:24" ht="12" customHeight="1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969"/>
        <v>40824</v>
      </c>
      <c r="V1996">
        <f t="shared" si="966"/>
        <v>8</v>
      </c>
      <c r="W1996">
        <f t="shared" si="963"/>
        <v>10</v>
      </c>
      <c r="X1996">
        <f t="shared" si="964"/>
        <v>2011</v>
      </c>
    </row>
    <row r="1997" spans="1:24" ht="12" customHeight="1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  <c r="V1997">
        <f t="shared" si="966"/>
        <v>30</v>
      </c>
      <c r="W1997">
        <f t="shared" si="963"/>
        <v>9</v>
      </c>
      <c r="X1997">
        <f t="shared" si="964"/>
        <v>2009</v>
      </c>
    </row>
    <row r="1998" spans="1:24" ht="12" customHeight="1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  <c r="V1998">
        <f t="shared" si="966"/>
        <v>30</v>
      </c>
      <c r="W1998">
        <f t="shared" si="963"/>
        <v>12</v>
      </c>
      <c r="X1998">
        <f t="shared" si="964"/>
        <v>2009</v>
      </c>
    </row>
    <row r="1999" spans="1:24" ht="12" customHeight="1">
      <c r="A1999" s="4">
        <v>680</v>
      </c>
      <c r="B1999" s="4">
        <v>4743</v>
      </c>
      <c r="C1999" s="5">
        <f t="shared" ref="C1999:C2000" si="970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  <c r="V1999">
        <f t="shared" si="966"/>
        <v>3</v>
      </c>
      <c r="W1999">
        <f t="shared" si="963"/>
        <v>4</v>
      </c>
      <c r="X1999">
        <f t="shared" si="964"/>
        <v>2010</v>
      </c>
    </row>
    <row r="2000" spans="1:24" ht="12" customHeight="1">
      <c r="A2000" s="4">
        <v>681</v>
      </c>
      <c r="B2000" s="4">
        <v>4743</v>
      </c>
      <c r="C2000" s="5">
        <f t="shared" si="970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  <c r="V2000">
        <f t="shared" si="966"/>
        <v>6</v>
      </c>
      <c r="W2000">
        <f t="shared" si="963"/>
        <v>4</v>
      </c>
      <c r="X2000">
        <f t="shared" si="964"/>
        <v>2010</v>
      </c>
    </row>
    <row r="2001" spans="1:24" ht="12" customHeight="1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971">C2001+2</f>
        <v>40646</v>
      </c>
      <c r="V2001">
        <f t="shared" si="966"/>
        <v>13</v>
      </c>
      <c r="W2001">
        <f t="shared" si="963"/>
        <v>4</v>
      </c>
      <c r="X2001">
        <f t="shared" si="964"/>
        <v>2011</v>
      </c>
    </row>
    <row r="2002" spans="1:24" ht="12" customHeight="1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971"/>
        <v>39969</v>
      </c>
      <c r="V2002">
        <f t="shared" si="966"/>
        <v>5</v>
      </c>
      <c r="W2002">
        <f t="shared" si="963"/>
        <v>6</v>
      </c>
      <c r="X2002">
        <f t="shared" si="964"/>
        <v>2009</v>
      </c>
    </row>
    <row r="2003" spans="1:24" ht="12" customHeight="1">
      <c r="A2003" s="4">
        <v>750</v>
      </c>
      <c r="B2003" s="4">
        <v>5381</v>
      </c>
      <c r="C2003" s="5">
        <f t="shared" ref="C2003:C2004" si="972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973">C2003+7</f>
        <v>40213</v>
      </c>
      <c r="V2003">
        <f t="shared" si="966"/>
        <v>4</v>
      </c>
      <c r="W2003">
        <f t="shared" si="963"/>
        <v>2</v>
      </c>
      <c r="X2003">
        <f t="shared" si="964"/>
        <v>2010</v>
      </c>
    </row>
    <row r="2004" spans="1:24" ht="12" customHeight="1">
      <c r="A2004" s="4">
        <v>751</v>
      </c>
      <c r="B2004" s="4">
        <v>5381</v>
      </c>
      <c r="C2004" s="5">
        <f t="shared" si="972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973"/>
        <v>40213</v>
      </c>
      <c r="V2004">
        <f t="shared" si="966"/>
        <v>4</v>
      </c>
      <c r="W2004">
        <f t="shared" si="963"/>
        <v>2</v>
      </c>
      <c r="X2004">
        <f t="shared" si="964"/>
        <v>2010</v>
      </c>
    </row>
    <row r="2005" spans="1:24" ht="12" customHeight="1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  <c r="V2005">
        <f t="shared" si="966"/>
        <v>19</v>
      </c>
      <c r="W2005">
        <f t="shared" si="963"/>
        <v>3</v>
      </c>
      <c r="X2005">
        <f t="shared" si="964"/>
        <v>2011</v>
      </c>
    </row>
    <row r="2006" spans="1:24" ht="12" customHeight="1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974">C2006+1</f>
        <v>40914</v>
      </c>
      <c r="V2006">
        <f t="shared" si="966"/>
        <v>6</v>
      </c>
      <c r="W2006">
        <f t="shared" si="963"/>
        <v>1</v>
      </c>
      <c r="X2006">
        <f t="shared" si="964"/>
        <v>2012</v>
      </c>
    </row>
    <row r="2007" spans="1:24" ht="12" customHeight="1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974"/>
        <v>39958</v>
      </c>
      <c r="V2007">
        <f t="shared" si="966"/>
        <v>25</v>
      </c>
      <c r="W2007">
        <f t="shared" si="963"/>
        <v>5</v>
      </c>
      <c r="X2007">
        <f t="shared" si="964"/>
        <v>2009</v>
      </c>
    </row>
    <row r="2008" spans="1:24" ht="12" customHeight="1">
      <c r="A2008" s="4">
        <v>896</v>
      </c>
      <c r="B2008" s="4">
        <v>6438</v>
      </c>
      <c r="C2008" s="5">
        <f t="shared" ref="C2008:C2009" si="975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  <c r="V2008">
        <f t="shared" si="966"/>
        <v>16</v>
      </c>
      <c r="W2008">
        <f t="shared" si="963"/>
        <v>5</v>
      </c>
      <c r="X2008">
        <f t="shared" si="964"/>
        <v>2010</v>
      </c>
    </row>
    <row r="2009" spans="1:24" ht="12" customHeight="1">
      <c r="A2009" s="4">
        <v>897</v>
      </c>
      <c r="B2009" s="4">
        <v>6438</v>
      </c>
      <c r="C2009" s="5">
        <f t="shared" si="975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  <c r="V2009">
        <f t="shared" si="966"/>
        <v>17</v>
      </c>
      <c r="W2009">
        <f t="shared" si="963"/>
        <v>5</v>
      </c>
      <c r="X2009">
        <f t="shared" si="964"/>
        <v>2010</v>
      </c>
    </row>
    <row r="2010" spans="1:24" ht="12" customHeight="1">
      <c r="A2010" s="4">
        <v>917</v>
      </c>
      <c r="B2010" s="4">
        <v>6592</v>
      </c>
      <c r="C2010" s="5">
        <f t="shared" ref="C2010:C2011" si="976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  <c r="V2010">
        <f t="shared" si="966"/>
        <v>8</v>
      </c>
      <c r="W2010">
        <f t="shared" si="963"/>
        <v>12</v>
      </c>
      <c r="X2010">
        <f t="shared" si="964"/>
        <v>2009</v>
      </c>
    </row>
    <row r="2011" spans="1:24" ht="12" customHeight="1">
      <c r="A2011" s="4">
        <v>918</v>
      </c>
      <c r="B2011" s="4">
        <v>6592</v>
      </c>
      <c r="C2011" s="5">
        <f t="shared" si="976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977">C2011+2</f>
        <v>40150</v>
      </c>
      <c r="V2011">
        <f t="shared" si="966"/>
        <v>3</v>
      </c>
      <c r="W2011">
        <f t="shared" si="963"/>
        <v>12</v>
      </c>
      <c r="X2011">
        <f t="shared" si="964"/>
        <v>2009</v>
      </c>
    </row>
    <row r="2012" spans="1:24" ht="12" customHeight="1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977"/>
        <v>40666</v>
      </c>
      <c r="V2012">
        <f t="shared" si="966"/>
        <v>3</v>
      </c>
      <c r="W2012">
        <f t="shared" si="963"/>
        <v>5</v>
      </c>
      <c r="X2012">
        <f t="shared" si="964"/>
        <v>2011</v>
      </c>
    </row>
    <row r="2013" spans="1:24" ht="12" customHeight="1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977"/>
        <v>40727</v>
      </c>
      <c r="V2013">
        <f t="shared" si="966"/>
        <v>3</v>
      </c>
      <c r="W2013">
        <f t="shared" si="963"/>
        <v>7</v>
      </c>
      <c r="X2013">
        <f t="shared" si="964"/>
        <v>2011</v>
      </c>
    </row>
    <row r="2014" spans="1:24" ht="12" customHeight="1">
      <c r="A2014" s="4">
        <v>1060</v>
      </c>
      <c r="B2014" s="4">
        <v>7841</v>
      </c>
      <c r="C2014" s="5">
        <f t="shared" ref="C2014:C2015" si="978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977"/>
        <v>41051</v>
      </c>
      <c r="V2014">
        <f t="shared" si="966"/>
        <v>22</v>
      </c>
      <c r="W2014">
        <f t="shared" si="963"/>
        <v>5</v>
      </c>
      <c r="X2014">
        <f t="shared" si="964"/>
        <v>2012</v>
      </c>
    </row>
    <row r="2015" spans="1:24" ht="12" customHeight="1">
      <c r="A2015" s="4">
        <v>1061</v>
      </c>
      <c r="B2015" s="4">
        <v>7841</v>
      </c>
      <c r="C2015" s="5">
        <f t="shared" si="978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977"/>
        <v>41051</v>
      </c>
      <c r="V2015">
        <f t="shared" si="966"/>
        <v>22</v>
      </c>
      <c r="W2015">
        <f t="shared" si="963"/>
        <v>5</v>
      </c>
      <c r="X2015">
        <f t="shared" si="964"/>
        <v>2012</v>
      </c>
    </row>
    <row r="2016" spans="1:24" ht="12" customHeight="1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  <c r="V2016">
        <f t="shared" si="966"/>
        <v>6</v>
      </c>
      <c r="W2016">
        <f t="shared" si="963"/>
        <v>11</v>
      </c>
      <c r="X2016">
        <f t="shared" si="964"/>
        <v>2009</v>
      </c>
    </row>
    <row r="2017" spans="1:24" ht="12" customHeight="1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  <c r="V2017">
        <f t="shared" si="966"/>
        <v>2</v>
      </c>
      <c r="W2017">
        <f t="shared" si="963"/>
        <v>3</v>
      </c>
      <c r="X2017">
        <f t="shared" si="964"/>
        <v>2009</v>
      </c>
    </row>
    <row r="2018" spans="1:24" ht="12" customHeight="1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  <c r="V2018">
        <f t="shared" si="966"/>
        <v>18</v>
      </c>
      <c r="W2018">
        <f t="shared" si="963"/>
        <v>8</v>
      </c>
      <c r="X2018">
        <f t="shared" si="964"/>
        <v>2012</v>
      </c>
    </row>
    <row r="2019" spans="1:24" ht="12" customHeight="1">
      <c r="A2019" s="4">
        <v>1193</v>
      </c>
      <c r="B2019" s="4">
        <v>8710</v>
      </c>
      <c r="C2019" s="5">
        <f t="shared" ref="C2019:C2020" si="979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  <c r="V2019">
        <f t="shared" si="966"/>
        <v>5</v>
      </c>
      <c r="W2019">
        <f t="shared" si="963"/>
        <v>1</v>
      </c>
      <c r="X2019">
        <f t="shared" si="964"/>
        <v>2009</v>
      </c>
    </row>
    <row r="2020" spans="1:24" ht="12" customHeight="1">
      <c r="A2020" s="4">
        <v>1194</v>
      </c>
      <c r="B2020" s="4">
        <v>8710</v>
      </c>
      <c r="C2020" s="5">
        <f t="shared" si="979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  <c r="V2020">
        <f t="shared" si="966"/>
        <v>6</v>
      </c>
      <c r="W2020">
        <f t="shared" si="963"/>
        <v>1</v>
      </c>
      <c r="X2020">
        <f t="shared" si="964"/>
        <v>2009</v>
      </c>
    </row>
    <row r="2021" spans="1:24" ht="12" customHeight="1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  <c r="V2021">
        <f t="shared" si="966"/>
        <v>14</v>
      </c>
      <c r="W2021">
        <f t="shared" si="963"/>
        <v>10</v>
      </c>
      <c r="X2021">
        <f t="shared" si="964"/>
        <v>2009</v>
      </c>
    </row>
    <row r="2022" spans="1:24" ht="12" customHeight="1">
      <c r="A2022" s="4">
        <v>1217</v>
      </c>
      <c r="B2022" s="4">
        <v>8960</v>
      </c>
      <c r="C2022" s="5">
        <f t="shared" ref="C2022:C2023" si="980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981">C2022+2</f>
        <v>40336</v>
      </c>
      <c r="V2022">
        <f t="shared" si="966"/>
        <v>7</v>
      </c>
      <c r="W2022">
        <f t="shared" si="963"/>
        <v>6</v>
      </c>
      <c r="X2022">
        <f t="shared" si="964"/>
        <v>2010</v>
      </c>
    </row>
    <row r="2023" spans="1:24" ht="12" customHeight="1">
      <c r="A2023" s="4">
        <v>1218</v>
      </c>
      <c r="B2023" s="4">
        <v>8960</v>
      </c>
      <c r="C2023" s="5">
        <f t="shared" si="980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981"/>
        <v>40336</v>
      </c>
      <c r="V2023">
        <f t="shared" si="966"/>
        <v>7</v>
      </c>
      <c r="W2023">
        <f t="shared" si="963"/>
        <v>6</v>
      </c>
      <c r="X2023">
        <f t="shared" si="964"/>
        <v>2010</v>
      </c>
    </row>
    <row r="2024" spans="1:24" ht="12" customHeight="1">
      <c r="A2024" s="4">
        <v>1277</v>
      </c>
      <c r="B2024" s="4">
        <v>9281</v>
      </c>
      <c r="C2024" s="5">
        <f t="shared" ref="C2024:C2025" si="982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981"/>
        <v>40964</v>
      </c>
      <c r="V2024">
        <f t="shared" si="966"/>
        <v>25</v>
      </c>
      <c r="W2024">
        <f t="shared" si="963"/>
        <v>2</v>
      </c>
      <c r="X2024">
        <f t="shared" si="964"/>
        <v>2012</v>
      </c>
    </row>
    <row r="2025" spans="1:24" ht="12" customHeight="1">
      <c r="A2025" s="4">
        <v>1278</v>
      </c>
      <c r="B2025" s="4">
        <v>9281</v>
      </c>
      <c r="C2025" s="5">
        <f t="shared" si="982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981"/>
        <v>40964</v>
      </c>
      <c r="V2025">
        <f t="shared" si="966"/>
        <v>25</v>
      </c>
      <c r="W2025">
        <f t="shared" si="963"/>
        <v>2</v>
      </c>
      <c r="X2025">
        <f t="shared" si="964"/>
        <v>2012</v>
      </c>
    </row>
    <row r="2026" spans="1:24" ht="12" customHeight="1">
      <c r="A2026" s="4">
        <v>1285</v>
      </c>
      <c r="B2026" s="4">
        <v>9350</v>
      </c>
      <c r="C2026" s="5">
        <f t="shared" ref="C2026:C2027" si="983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  <c r="V2026">
        <f t="shared" si="966"/>
        <v>1</v>
      </c>
      <c r="W2026">
        <f t="shared" si="963"/>
        <v>11</v>
      </c>
      <c r="X2026">
        <f t="shared" si="964"/>
        <v>2012</v>
      </c>
    </row>
    <row r="2027" spans="1:24" ht="12" customHeight="1">
      <c r="A2027" s="4">
        <v>1286</v>
      </c>
      <c r="B2027" s="4">
        <v>9350</v>
      </c>
      <c r="C2027" s="5">
        <f t="shared" si="983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  <c r="V2027">
        <f t="shared" si="966"/>
        <v>2</v>
      </c>
      <c r="W2027">
        <f t="shared" si="963"/>
        <v>11</v>
      </c>
      <c r="X2027">
        <f t="shared" si="964"/>
        <v>2012</v>
      </c>
    </row>
    <row r="2028" spans="1:24" ht="12" customHeight="1">
      <c r="A2028" s="4">
        <v>1322</v>
      </c>
      <c r="B2028" s="4">
        <v>9665</v>
      </c>
      <c r="C2028" s="5">
        <f t="shared" ref="C2028:C2030" si="984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  <c r="V2028">
        <f t="shared" si="966"/>
        <v>23</v>
      </c>
      <c r="W2028">
        <f t="shared" si="963"/>
        <v>4</v>
      </c>
      <c r="X2028">
        <f t="shared" si="964"/>
        <v>2009</v>
      </c>
    </row>
    <row r="2029" spans="1:24" ht="12" customHeight="1">
      <c r="A2029" s="4">
        <v>1323</v>
      </c>
      <c r="B2029" s="4">
        <v>9665</v>
      </c>
      <c r="C2029" s="5">
        <f t="shared" si="984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985">C2029+2</f>
        <v>39928</v>
      </c>
      <c r="V2029">
        <f t="shared" si="966"/>
        <v>25</v>
      </c>
      <c r="W2029">
        <f t="shared" si="963"/>
        <v>4</v>
      </c>
      <c r="X2029">
        <f t="shared" si="964"/>
        <v>2009</v>
      </c>
    </row>
    <row r="2030" spans="1:24" ht="12" customHeight="1">
      <c r="A2030" s="4">
        <v>1324</v>
      </c>
      <c r="B2030" s="4">
        <v>9665</v>
      </c>
      <c r="C2030" s="5">
        <f t="shared" si="984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985"/>
        <v>39928</v>
      </c>
      <c r="V2030">
        <f t="shared" si="966"/>
        <v>25</v>
      </c>
      <c r="W2030">
        <f t="shared" si="963"/>
        <v>4</v>
      </c>
      <c r="X2030">
        <f t="shared" si="964"/>
        <v>2009</v>
      </c>
    </row>
    <row r="2031" spans="1:24" ht="12" customHeight="1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  <c r="V2031">
        <f t="shared" si="966"/>
        <v>19</v>
      </c>
      <c r="W2031">
        <f t="shared" si="963"/>
        <v>8</v>
      </c>
      <c r="X2031">
        <f t="shared" si="964"/>
        <v>2009</v>
      </c>
    </row>
    <row r="2032" spans="1:24" ht="12" customHeight="1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986">C2032+1</f>
        <v>40142</v>
      </c>
      <c r="V2032">
        <f t="shared" si="966"/>
        <v>25</v>
      </c>
      <c r="W2032">
        <f t="shared" si="963"/>
        <v>11</v>
      </c>
      <c r="X2032">
        <f t="shared" si="964"/>
        <v>2009</v>
      </c>
    </row>
    <row r="2033" spans="1:24" ht="12" customHeight="1">
      <c r="A2033" s="4">
        <v>1413</v>
      </c>
      <c r="B2033" s="4">
        <v>10247</v>
      </c>
      <c r="C2033" s="5">
        <f t="shared" ref="C2033:C2034" si="987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986"/>
        <v>40189</v>
      </c>
      <c r="V2033">
        <f t="shared" si="966"/>
        <v>11</v>
      </c>
      <c r="W2033">
        <f t="shared" si="963"/>
        <v>1</v>
      </c>
      <c r="X2033">
        <f t="shared" si="964"/>
        <v>2010</v>
      </c>
    </row>
    <row r="2034" spans="1:24" ht="12" customHeight="1">
      <c r="A2034" s="4">
        <v>1414</v>
      </c>
      <c r="B2034" s="4">
        <v>10247</v>
      </c>
      <c r="C2034" s="5">
        <f t="shared" si="987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988">C2034+2</f>
        <v>40190</v>
      </c>
      <c r="V2034">
        <f t="shared" si="966"/>
        <v>12</v>
      </c>
      <c r="W2034">
        <f t="shared" si="963"/>
        <v>1</v>
      </c>
      <c r="X2034">
        <f t="shared" si="964"/>
        <v>2010</v>
      </c>
    </row>
    <row r="2035" spans="1:24" ht="12" customHeight="1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988"/>
        <v>40074</v>
      </c>
      <c r="V2035">
        <f t="shared" si="966"/>
        <v>18</v>
      </c>
      <c r="W2035">
        <f t="shared" si="963"/>
        <v>9</v>
      </c>
      <c r="X2035">
        <f t="shared" si="964"/>
        <v>2009</v>
      </c>
    </row>
    <row r="2036" spans="1:24" ht="12" customHeight="1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  <c r="V2036">
        <f t="shared" si="966"/>
        <v>30</v>
      </c>
      <c r="W2036">
        <f t="shared" si="963"/>
        <v>10</v>
      </c>
      <c r="X2036">
        <f t="shared" si="964"/>
        <v>2010</v>
      </c>
    </row>
    <row r="2037" spans="1:24" ht="12" customHeight="1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  <c r="V2037">
        <f t="shared" si="966"/>
        <v>22</v>
      </c>
      <c r="W2037">
        <f t="shared" si="963"/>
        <v>12</v>
      </c>
      <c r="X2037">
        <f t="shared" si="964"/>
        <v>2009</v>
      </c>
    </row>
    <row r="2038" spans="1:24" ht="12" customHeight="1">
      <c r="A2038" s="4">
        <v>1579</v>
      </c>
      <c r="B2038" s="4">
        <v>11425</v>
      </c>
      <c r="C2038" s="5">
        <f t="shared" ref="C2038:C2039" si="989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  <c r="V2038">
        <f t="shared" si="966"/>
        <v>23</v>
      </c>
      <c r="W2038">
        <f t="shared" si="963"/>
        <v>6</v>
      </c>
      <c r="X2038">
        <f t="shared" si="964"/>
        <v>2011</v>
      </c>
    </row>
    <row r="2039" spans="1:24" ht="12" customHeight="1">
      <c r="A2039" s="4">
        <v>1580</v>
      </c>
      <c r="B2039" s="4">
        <v>11425</v>
      </c>
      <c r="C2039" s="5">
        <f t="shared" si="989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  <c r="V2039">
        <f t="shared" si="966"/>
        <v>24</v>
      </c>
      <c r="W2039">
        <f t="shared" si="963"/>
        <v>6</v>
      </c>
      <c r="X2039">
        <f t="shared" si="964"/>
        <v>2011</v>
      </c>
    </row>
    <row r="2040" spans="1:24" ht="12" customHeight="1">
      <c r="A2040" s="4">
        <v>1591</v>
      </c>
      <c r="B2040" s="4">
        <v>11491</v>
      </c>
      <c r="C2040" s="5">
        <f t="shared" ref="C2040:C2041" si="990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  <c r="V2040">
        <f t="shared" si="966"/>
        <v>26</v>
      </c>
      <c r="W2040">
        <f t="shared" si="963"/>
        <v>8</v>
      </c>
      <c r="X2040">
        <f t="shared" si="964"/>
        <v>2010</v>
      </c>
    </row>
    <row r="2041" spans="1:24" ht="12" customHeight="1">
      <c r="A2041" s="4">
        <v>1592</v>
      </c>
      <c r="B2041" s="4">
        <v>11491</v>
      </c>
      <c r="C2041" s="5">
        <f t="shared" si="990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991">C2041+2</f>
        <v>40409</v>
      </c>
      <c r="V2041">
        <f t="shared" si="966"/>
        <v>19</v>
      </c>
      <c r="W2041">
        <f t="shared" si="963"/>
        <v>8</v>
      </c>
      <c r="X2041">
        <f t="shared" si="964"/>
        <v>2010</v>
      </c>
    </row>
    <row r="2042" spans="1:24" ht="12" customHeight="1">
      <c r="A2042" s="4">
        <v>1636</v>
      </c>
      <c r="B2042" s="4">
        <v>11841</v>
      </c>
      <c r="C2042" s="5">
        <f t="shared" ref="C2042:C2043" si="992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991"/>
        <v>40290</v>
      </c>
      <c r="V2042">
        <f t="shared" si="966"/>
        <v>22</v>
      </c>
      <c r="W2042">
        <f t="shared" si="963"/>
        <v>4</v>
      </c>
      <c r="X2042">
        <f t="shared" si="964"/>
        <v>2010</v>
      </c>
    </row>
    <row r="2043" spans="1:24" ht="12" customHeight="1">
      <c r="A2043" s="4">
        <v>1637</v>
      </c>
      <c r="B2043" s="4">
        <v>11841</v>
      </c>
      <c r="C2043" s="5">
        <f t="shared" si="992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  <c r="V2043">
        <f t="shared" si="966"/>
        <v>20</v>
      </c>
      <c r="W2043">
        <f t="shared" si="963"/>
        <v>4</v>
      </c>
      <c r="X2043">
        <f t="shared" si="964"/>
        <v>2010</v>
      </c>
    </row>
    <row r="2044" spans="1:24" ht="12" customHeight="1">
      <c r="A2044" s="4">
        <v>1648</v>
      </c>
      <c r="B2044" s="4">
        <v>11878</v>
      </c>
      <c r="C2044" s="5">
        <f t="shared" ref="C2044:C2045" si="993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994">C2044+1</f>
        <v>40234</v>
      </c>
      <c r="V2044">
        <f t="shared" si="966"/>
        <v>25</v>
      </c>
      <c r="W2044">
        <f t="shared" si="963"/>
        <v>2</v>
      </c>
      <c r="X2044">
        <f t="shared" si="964"/>
        <v>2010</v>
      </c>
    </row>
    <row r="2045" spans="1:24" ht="12" customHeight="1">
      <c r="A2045" s="4">
        <v>1649</v>
      </c>
      <c r="B2045" s="4">
        <v>11878</v>
      </c>
      <c r="C2045" s="5">
        <f t="shared" si="993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994"/>
        <v>40234</v>
      </c>
      <c r="V2045">
        <f t="shared" si="966"/>
        <v>25</v>
      </c>
      <c r="W2045">
        <f t="shared" si="963"/>
        <v>2</v>
      </c>
      <c r="X2045">
        <f t="shared" si="964"/>
        <v>2010</v>
      </c>
    </row>
    <row r="2046" spans="1:24" ht="12" customHeight="1">
      <c r="A2046" s="4">
        <v>1682</v>
      </c>
      <c r="B2046" s="4">
        <v>12130</v>
      </c>
      <c r="C2046" s="5">
        <f t="shared" ref="C2046:C2047" si="995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96">C2046+3</f>
        <v>40889</v>
      </c>
      <c r="V2046">
        <f t="shared" si="966"/>
        <v>12</v>
      </c>
      <c r="W2046">
        <f t="shared" si="963"/>
        <v>12</v>
      </c>
      <c r="X2046">
        <f t="shared" si="964"/>
        <v>2011</v>
      </c>
    </row>
    <row r="2047" spans="1:24" ht="12" customHeight="1">
      <c r="A2047" s="4">
        <v>1683</v>
      </c>
      <c r="B2047" s="4">
        <v>12130</v>
      </c>
      <c r="C2047" s="5">
        <f t="shared" si="995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96"/>
        <v>40889</v>
      </c>
      <c r="V2047">
        <f t="shared" si="966"/>
        <v>12</v>
      </c>
      <c r="W2047">
        <f t="shared" si="963"/>
        <v>12</v>
      </c>
      <c r="X2047">
        <f t="shared" si="964"/>
        <v>2011</v>
      </c>
    </row>
    <row r="2048" spans="1:24" ht="12" customHeight="1">
      <c r="A2048" s="4">
        <v>1684</v>
      </c>
      <c r="B2048" s="4">
        <v>12160</v>
      </c>
      <c r="C2048" s="5">
        <f t="shared" ref="C2048:C2050" si="997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  <c r="V2048">
        <f t="shared" si="966"/>
        <v>17</v>
      </c>
      <c r="W2048">
        <f t="shared" si="963"/>
        <v>12</v>
      </c>
      <c r="X2048">
        <f t="shared" si="964"/>
        <v>2010</v>
      </c>
    </row>
    <row r="2049" spans="1:24" ht="12" customHeight="1">
      <c r="A2049" s="4">
        <v>1685</v>
      </c>
      <c r="B2049" s="4">
        <v>12160</v>
      </c>
      <c r="C2049" s="5">
        <f t="shared" si="997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  <c r="V2049">
        <f t="shared" si="966"/>
        <v>16</v>
      </c>
      <c r="W2049">
        <f t="shared" si="963"/>
        <v>12</v>
      </c>
      <c r="X2049">
        <f t="shared" si="964"/>
        <v>2010</v>
      </c>
    </row>
    <row r="2050" spans="1:24" ht="12" customHeight="1">
      <c r="A2050" s="4">
        <v>1686</v>
      </c>
      <c r="B2050" s="4">
        <v>12160</v>
      </c>
      <c r="C2050" s="5">
        <f t="shared" si="997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  <c r="V2050">
        <f t="shared" si="966"/>
        <v>17</v>
      </c>
      <c r="W2050">
        <f t="shared" si="963"/>
        <v>12</v>
      </c>
      <c r="X2050">
        <f t="shared" si="964"/>
        <v>2010</v>
      </c>
    </row>
    <row r="2051" spans="1:24" ht="12" customHeight="1">
      <c r="A2051" s="4">
        <v>1697</v>
      </c>
      <c r="B2051" s="4">
        <v>12258</v>
      </c>
      <c r="C2051" s="5">
        <f t="shared" ref="C2051:C2054" si="998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  <c r="V2051">
        <f t="shared" si="966"/>
        <v>30</v>
      </c>
      <c r="W2051">
        <f t="shared" ref="W2051:W2114" si="999">MONTH(U2051)</f>
        <v>11</v>
      </c>
      <c r="X2051">
        <f t="shared" ref="X2051:X2114" si="1000">YEAR(U2051)</f>
        <v>2009</v>
      </c>
    </row>
    <row r="2052" spans="1:24" ht="12" customHeight="1">
      <c r="A2052" s="4">
        <v>1698</v>
      </c>
      <c r="B2052" s="4">
        <v>12258</v>
      </c>
      <c r="C2052" s="5">
        <f t="shared" si="998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  <c r="V2052">
        <f t="shared" ref="V2052:V2115" si="1001">DAY(U2052)</f>
        <v>5</v>
      </c>
      <c r="W2052">
        <f t="shared" si="999"/>
        <v>12</v>
      </c>
      <c r="X2052">
        <f t="shared" si="1000"/>
        <v>2009</v>
      </c>
    </row>
    <row r="2053" spans="1:24" ht="12" customHeight="1">
      <c r="A2053" s="4">
        <v>1699</v>
      </c>
      <c r="B2053" s="4">
        <v>12258</v>
      </c>
      <c r="C2053" s="5">
        <f t="shared" si="998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  <c r="V2053">
        <f t="shared" si="1001"/>
        <v>4</v>
      </c>
      <c r="W2053">
        <f t="shared" si="999"/>
        <v>12</v>
      </c>
      <c r="X2053">
        <f t="shared" si="1000"/>
        <v>2009</v>
      </c>
    </row>
    <row r="2054" spans="1:24" ht="12" customHeight="1">
      <c r="A2054" s="4">
        <v>1700</v>
      </c>
      <c r="B2054" s="4">
        <v>12258</v>
      </c>
      <c r="C2054" s="5">
        <f t="shared" si="998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  <c r="V2054">
        <f t="shared" si="1001"/>
        <v>7</v>
      </c>
      <c r="W2054">
        <f t="shared" si="999"/>
        <v>12</v>
      </c>
      <c r="X2054">
        <f t="shared" si="1000"/>
        <v>2009</v>
      </c>
    </row>
    <row r="2055" spans="1:24" ht="12" customHeight="1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  <c r="V2055">
        <f t="shared" si="1001"/>
        <v>6</v>
      </c>
      <c r="W2055">
        <f t="shared" si="999"/>
        <v>7</v>
      </c>
      <c r="X2055">
        <f t="shared" si="1000"/>
        <v>2011</v>
      </c>
    </row>
    <row r="2056" spans="1:24" ht="12" customHeight="1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1002">C2056+7</f>
        <v>41078</v>
      </c>
      <c r="V2056">
        <f t="shared" si="1001"/>
        <v>18</v>
      </c>
      <c r="W2056">
        <f t="shared" si="999"/>
        <v>6</v>
      </c>
      <c r="X2056">
        <f t="shared" si="1000"/>
        <v>2012</v>
      </c>
    </row>
    <row r="2057" spans="1:24" ht="12" customHeight="1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1002"/>
        <v>40252</v>
      </c>
      <c r="V2057">
        <f t="shared" si="1001"/>
        <v>15</v>
      </c>
      <c r="W2057">
        <f t="shared" si="999"/>
        <v>3</v>
      </c>
      <c r="X2057">
        <f t="shared" si="1000"/>
        <v>2010</v>
      </c>
    </row>
    <row r="2058" spans="1:24" ht="12" customHeight="1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  <c r="V2058">
        <f t="shared" si="1001"/>
        <v>10</v>
      </c>
      <c r="W2058">
        <f t="shared" si="999"/>
        <v>4</v>
      </c>
      <c r="X2058">
        <f t="shared" si="1000"/>
        <v>2009</v>
      </c>
    </row>
    <row r="2059" spans="1:24" ht="12" customHeight="1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1003">C2059+1</f>
        <v>41246</v>
      </c>
      <c r="V2059">
        <f t="shared" si="1001"/>
        <v>3</v>
      </c>
      <c r="W2059">
        <f t="shared" si="999"/>
        <v>12</v>
      </c>
      <c r="X2059">
        <f t="shared" si="1000"/>
        <v>2012</v>
      </c>
    </row>
    <row r="2060" spans="1:24" ht="12" customHeight="1">
      <c r="A2060" s="4">
        <v>1799</v>
      </c>
      <c r="B2060" s="4">
        <v>12897</v>
      </c>
      <c r="C2060" s="5">
        <f t="shared" ref="C2060:C2061" si="1004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1003"/>
        <v>40743</v>
      </c>
      <c r="V2060">
        <f t="shared" si="1001"/>
        <v>19</v>
      </c>
      <c r="W2060">
        <f t="shared" si="999"/>
        <v>7</v>
      </c>
      <c r="X2060">
        <f t="shared" si="1000"/>
        <v>2011</v>
      </c>
    </row>
    <row r="2061" spans="1:24" ht="12" customHeight="1">
      <c r="A2061" s="4">
        <v>1800</v>
      </c>
      <c r="B2061" s="4">
        <v>12897</v>
      </c>
      <c r="C2061" s="5">
        <f t="shared" si="1004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1003"/>
        <v>40743</v>
      </c>
      <c r="V2061">
        <f t="shared" si="1001"/>
        <v>19</v>
      </c>
      <c r="W2061">
        <f t="shared" si="999"/>
        <v>7</v>
      </c>
      <c r="X2061">
        <f t="shared" si="1000"/>
        <v>2011</v>
      </c>
    </row>
    <row r="2062" spans="1:24" ht="12" customHeight="1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  <c r="V2062">
        <f t="shared" si="1001"/>
        <v>24</v>
      </c>
      <c r="W2062">
        <f t="shared" si="999"/>
        <v>7</v>
      </c>
      <c r="X2062">
        <f t="shared" si="1000"/>
        <v>2009</v>
      </c>
    </row>
    <row r="2063" spans="1:24" ht="12" customHeight="1">
      <c r="A2063" s="4">
        <v>1823</v>
      </c>
      <c r="B2063" s="4">
        <v>13091</v>
      </c>
      <c r="C2063" s="5">
        <f t="shared" ref="C2063:C2064" si="1005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1006">C2063+1</f>
        <v>40133</v>
      </c>
      <c r="V2063">
        <f t="shared" si="1001"/>
        <v>16</v>
      </c>
      <c r="W2063">
        <f t="shared" si="999"/>
        <v>11</v>
      </c>
      <c r="X2063">
        <f t="shared" si="1000"/>
        <v>2009</v>
      </c>
    </row>
    <row r="2064" spans="1:24" ht="12" customHeight="1">
      <c r="A2064" s="4">
        <v>1824</v>
      </c>
      <c r="B2064" s="4">
        <v>13091</v>
      </c>
      <c r="C2064" s="5">
        <f t="shared" si="1005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1006"/>
        <v>40133</v>
      </c>
      <c r="V2064">
        <f t="shared" si="1001"/>
        <v>16</v>
      </c>
      <c r="W2064">
        <f t="shared" si="999"/>
        <v>11</v>
      </c>
      <c r="X2064">
        <f t="shared" si="1000"/>
        <v>2009</v>
      </c>
    </row>
    <row r="2065" spans="1:24" ht="12" customHeight="1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1007">C2065+2</f>
        <v>41077</v>
      </c>
      <c r="V2065">
        <f t="shared" si="1001"/>
        <v>17</v>
      </c>
      <c r="W2065">
        <f t="shared" si="999"/>
        <v>6</v>
      </c>
      <c r="X2065">
        <f t="shared" si="1000"/>
        <v>2012</v>
      </c>
    </row>
    <row r="2066" spans="1:24" ht="12" customHeight="1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1007"/>
        <v>40466</v>
      </c>
      <c r="V2066">
        <f t="shared" si="1001"/>
        <v>15</v>
      </c>
      <c r="W2066">
        <f t="shared" si="999"/>
        <v>10</v>
      </c>
      <c r="X2066">
        <f t="shared" si="1000"/>
        <v>2010</v>
      </c>
    </row>
    <row r="2067" spans="1:24" ht="12" customHeight="1">
      <c r="A2067" s="4">
        <v>1874</v>
      </c>
      <c r="B2067" s="4">
        <v>13479</v>
      </c>
      <c r="C2067" s="5">
        <f t="shared" ref="C2067:C2068" si="1008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1007"/>
        <v>40153</v>
      </c>
      <c r="V2067">
        <f t="shared" si="1001"/>
        <v>6</v>
      </c>
      <c r="W2067">
        <f t="shared" si="999"/>
        <v>12</v>
      </c>
      <c r="X2067">
        <f t="shared" si="1000"/>
        <v>2009</v>
      </c>
    </row>
    <row r="2068" spans="1:24" ht="12" customHeight="1">
      <c r="A2068" s="4">
        <v>1875</v>
      </c>
      <c r="B2068" s="4">
        <v>13479</v>
      </c>
      <c r="C2068" s="5">
        <f t="shared" si="1008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1009">C2068+1</f>
        <v>40152</v>
      </c>
      <c r="V2068">
        <f t="shared" si="1001"/>
        <v>5</v>
      </c>
      <c r="W2068">
        <f t="shared" si="999"/>
        <v>12</v>
      </c>
      <c r="X2068">
        <f t="shared" si="1000"/>
        <v>2009</v>
      </c>
    </row>
    <row r="2069" spans="1:24" ht="12" customHeight="1">
      <c r="A2069" s="4">
        <v>1903</v>
      </c>
      <c r="B2069" s="4">
        <v>13633</v>
      </c>
      <c r="C2069" s="5">
        <f t="shared" ref="C2069:C2070" si="1010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1009"/>
        <v>41003</v>
      </c>
      <c r="V2069">
        <f t="shared" si="1001"/>
        <v>4</v>
      </c>
      <c r="W2069">
        <f t="shared" si="999"/>
        <v>4</v>
      </c>
      <c r="X2069">
        <f t="shared" si="1000"/>
        <v>2012</v>
      </c>
    </row>
    <row r="2070" spans="1:24" ht="12" customHeight="1">
      <c r="A2070" s="4">
        <v>1904</v>
      </c>
      <c r="B2070" s="4">
        <v>13633</v>
      </c>
      <c r="C2070" s="5">
        <f t="shared" si="1010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1009"/>
        <v>41003</v>
      </c>
      <c r="V2070">
        <f t="shared" si="1001"/>
        <v>4</v>
      </c>
      <c r="W2070">
        <f t="shared" si="999"/>
        <v>4</v>
      </c>
      <c r="X2070">
        <f t="shared" si="1000"/>
        <v>2012</v>
      </c>
    </row>
    <row r="2071" spans="1:24" ht="12" customHeight="1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  <c r="V2071">
        <f t="shared" si="1001"/>
        <v>23</v>
      </c>
      <c r="W2071">
        <f t="shared" si="999"/>
        <v>5</v>
      </c>
      <c r="X2071">
        <f t="shared" si="1000"/>
        <v>2009</v>
      </c>
    </row>
    <row r="2072" spans="1:24" ht="12" customHeight="1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  <c r="V2072">
        <f t="shared" si="1001"/>
        <v>11</v>
      </c>
      <c r="W2072">
        <f t="shared" si="999"/>
        <v>8</v>
      </c>
      <c r="X2072">
        <f t="shared" si="1000"/>
        <v>2010</v>
      </c>
    </row>
    <row r="2073" spans="1:24" ht="12" customHeight="1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  <c r="V2073">
        <f t="shared" si="1001"/>
        <v>28</v>
      </c>
      <c r="W2073">
        <f t="shared" si="999"/>
        <v>4</v>
      </c>
      <c r="X2073">
        <f t="shared" si="1000"/>
        <v>2012</v>
      </c>
    </row>
    <row r="2074" spans="1:24" ht="12" customHeight="1">
      <c r="A2074" s="4">
        <v>1962</v>
      </c>
      <c r="B2074" s="4">
        <v>14023</v>
      </c>
      <c r="C2074" s="5">
        <f t="shared" ref="C2074:C2075" si="1011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  <c r="V2074">
        <f t="shared" si="1001"/>
        <v>22</v>
      </c>
      <c r="W2074">
        <f t="shared" si="999"/>
        <v>2</v>
      </c>
      <c r="X2074">
        <f t="shared" si="1000"/>
        <v>2010</v>
      </c>
    </row>
    <row r="2075" spans="1:24" ht="12" customHeight="1">
      <c r="A2075" s="4">
        <v>1963</v>
      </c>
      <c r="B2075" s="4">
        <v>14023</v>
      </c>
      <c r="C2075" s="5">
        <f t="shared" si="1011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  <c r="V2075">
        <f t="shared" si="1001"/>
        <v>21</v>
      </c>
      <c r="W2075">
        <f t="shared" si="999"/>
        <v>2</v>
      </c>
      <c r="X2075">
        <f t="shared" si="1000"/>
        <v>2010</v>
      </c>
    </row>
    <row r="2076" spans="1:24" ht="12" customHeight="1">
      <c r="A2076" s="4">
        <v>1976</v>
      </c>
      <c r="B2076" s="4">
        <v>14115</v>
      </c>
      <c r="C2076" s="5">
        <f t="shared" ref="C2076:C2077" si="1012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1013">C2076+2</f>
        <v>40041</v>
      </c>
      <c r="V2076">
        <f t="shared" si="1001"/>
        <v>16</v>
      </c>
      <c r="W2076">
        <f t="shared" si="999"/>
        <v>8</v>
      </c>
      <c r="X2076">
        <f t="shared" si="1000"/>
        <v>2009</v>
      </c>
    </row>
    <row r="2077" spans="1:24" ht="12" customHeight="1">
      <c r="A2077" s="4">
        <v>1977</v>
      </c>
      <c r="B2077" s="4">
        <v>14115</v>
      </c>
      <c r="C2077" s="5">
        <f t="shared" si="1012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1013"/>
        <v>40041</v>
      </c>
      <c r="V2077">
        <f t="shared" si="1001"/>
        <v>16</v>
      </c>
      <c r="W2077">
        <f t="shared" si="999"/>
        <v>8</v>
      </c>
      <c r="X2077">
        <f t="shared" si="1000"/>
        <v>2009</v>
      </c>
    </row>
    <row r="2078" spans="1:24" ht="12" customHeight="1">
      <c r="A2078" s="4">
        <v>1984</v>
      </c>
      <c r="B2078" s="4">
        <v>14147</v>
      </c>
      <c r="C2078" s="5">
        <f t="shared" ref="C2078:C2080" si="1014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  <c r="V2078">
        <f t="shared" si="1001"/>
        <v>10</v>
      </c>
      <c r="W2078">
        <f t="shared" si="999"/>
        <v>3</v>
      </c>
      <c r="X2078">
        <f t="shared" si="1000"/>
        <v>2010</v>
      </c>
    </row>
    <row r="2079" spans="1:24" ht="12" customHeight="1">
      <c r="A2079" s="4">
        <v>1985</v>
      </c>
      <c r="B2079" s="4">
        <v>14147</v>
      </c>
      <c r="C2079" s="5">
        <f t="shared" si="1014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  <c r="V2079">
        <f t="shared" si="1001"/>
        <v>8</v>
      </c>
      <c r="W2079">
        <f t="shared" si="999"/>
        <v>3</v>
      </c>
      <c r="X2079">
        <f t="shared" si="1000"/>
        <v>2010</v>
      </c>
    </row>
    <row r="2080" spans="1:24" ht="12" customHeight="1">
      <c r="A2080" s="4">
        <v>1986</v>
      </c>
      <c r="B2080" s="4">
        <v>14147</v>
      </c>
      <c r="C2080" s="5">
        <f t="shared" si="1014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  <c r="V2080">
        <f t="shared" si="1001"/>
        <v>9</v>
      </c>
      <c r="W2080">
        <f t="shared" si="999"/>
        <v>3</v>
      </c>
      <c r="X2080">
        <f t="shared" si="1000"/>
        <v>2010</v>
      </c>
    </row>
    <row r="2081" spans="1:24" ht="12" customHeight="1">
      <c r="A2081" s="4">
        <v>1990</v>
      </c>
      <c r="B2081" s="4">
        <v>14211</v>
      </c>
      <c r="C2081" s="5">
        <f t="shared" ref="C2081:C2082" si="1015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  <c r="V2081">
        <f t="shared" si="1001"/>
        <v>15</v>
      </c>
      <c r="W2081">
        <f t="shared" si="999"/>
        <v>2</v>
      </c>
      <c r="X2081">
        <f t="shared" si="1000"/>
        <v>2009</v>
      </c>
    </row>
    <row r="2082" spans="1:24" ht="12" customHeight="1">
      <c r="A2082" s="4">
        <v>1991</v>
      </c>
      <c r="B2082" s="4">
        <v>14211</v>
      </c>
      <c r="C2082" s="5">
        <f t="shared" si="1015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  <c r="V2082">
        <f t="shared" si="1001"/>
        <v>14</v>
      </c>
      <c r="W2082">
        <f t="shared" si="999"/>
        <v>2</v>
      </c>
      <c r="X2082">
        <f t="shared" si="1000"/>
        <v>2009</v>
      </c>
    </row>
    <row r="2083" spans="1:24" ht="12" customHeight="1">
      <c r="A2083" s="4">
        <v>2011</v>
      </c>
      <c r="B2083" s="4">
        <v>14368</v>
      </c>
      <c r="C2083" s="5">
        <f t="shared" ref="C2083:C2084" si="1016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  <c r="V2083">
        <f t="shared" si="1001"/>
        <v>11</v>
      </c>
      <c r="W2083">
        <f t="shared" si="999"/>
        <v>9</v>
      </c>
      <c r="X2083">
        <f t="shared" si="1000"/>
        <v>2011</v>
      </c>
    </row>
    <row r="2084" spans="1:24" ht="12" customHeight="1">
      <c r="A2084" s="4">
        <v>2012</v>
      </c>
      <c r="B2084" s="4">
        <v>14368</v>
      </c>
      <c r="C2084" s="5">
        <f t="shared" si="1016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1017">C2084+2</f>
        <v>40798</v>
      </c>
      <c r="V2084">
        <f t="shared" si="1001"/>
        <v>12</v>
      </c>
      <c r="W2084">
        <f t="shared" si="999"/>
        <v>9</v>
      </c>
      <c r="X2084">
        <f t="shared" si="1000"/>
        <v>2011</v>
      </c>
    </row>
    <row r="2085" spans="1:24" ht="12" customHeight="1">
      <c r="A2085" s="4">
        <v>2045</v>
      </c>
      <c r="B2085" s="4">
        <v>14596</v>
      </c>
      <c r="C2085" s="5">
        <f t="shared" ref="C2085:C2086" si="1018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1017"/>
        <v>39825</v>
      </c>
      <c r="V2085">
        <f t="shared" si="1001"/>
        <v>12</v>
      </c>
      <c r="W2085">
        <f t="shared" si="999"/>
        <v>1</v>
      </c>
      <c r="X2085">
        <f t="shared" si="1000"/>
        <v>2009</v>
      </c>
    </row>
    <row r="2086" spans="1:24" ht="12" customHeight="1">
      <c r="A2086" s="4">
        <v>2046</v>
      </c>
      <c r="B2086" s="4">
        <v>14596</v>
      </c>
      <c r="C2086" s="5">
        <f t="shared" si="1018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  <c r="V2086">
        <f t="shared" si="1001"/>
        <v>11</v>
      </c>
      <c r="W2086">
        <f t="shared" si="999"/>
        <v>1</v>
      </c>
      <c r="X2086">
        <f t="shared" si="1000"/>
        <v>2009</v>
      </c>
    </row>
    <row r="2087" spans="1:24" ht="12" customHeight="1">
      <c r="A2087" s="4">
        <v>2055</v>
      </c>
      <c r="B2087" s="4">
        <v>14693</v>
      </c>
      <c r="C2087" s="5">
        <f t="shared" ref="C2087:C2088" si="1019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1020">C2087+2</f>
        <v>40554</v>
      </c>
      <c r="V2087">
        <f t="shared" si="1001"/>
        <v>11</v>
      </c>
      <c r="W2087">
        <f t="shared" si="999"/>
        <v>1</v>
      </c>
      <c r="X2087">
        <f t="shared" si="1000"/>
        <v>2011</v>
      </c>
    </row>
    <row r="2088" spans="1:24" ht="12" customHeight="1">
      <c r="A2088" s="4">
        <v>2056</v>
      </c>
      <c r="B2088" s="4">
        <v>14693</v>
      </c>
      <c r="C2088" s="5">
        <f t="shared" si="1019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1020"/>
        <v>40554</v>
      </c>
      <c r="V2088">
        <f t="shared" si="1001"/>
        <v>11</v>
      </c>
      <c r="W2088">
        <f t="shared" si="999"/>
        <v>1</v>
      </c>
      <c r="X2088">
        <f t="shared" si="1000"/>
        <v>2011</v>
      </c>
    </row>
    <row r="2089" spans="1:24" ht="12" customHeight="1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  <c r="V2089">
        <f t="shared" si="1001"/>
        <v>6</v>
      </c>
      <c r="W2089">
        <f t="shared" si="999"/>
        <v>9</v>
      </c>
      <c r="X2089">
        <f t="shared" si="1000"/>
        <v>2012</v>
      </c>
    </row>
    <row r="2090" spans="1:24" ht="12" customHeight="1">
      <c r="A2090" s="4">
        <v>2073</v>
      </c>
      <c r="B2090" s="4">
        <v>14823</v>
      </c>
      <c r="C2090" s="5">
        <f t="shared" ref="C2090:C2091" si="1021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  <c r="V2090">
        <f t="shared" si="1001"/>
        <v>21</v>
      </c>
      <c r="W2090">
        <f t="shared" si="999"/>
        <v>2</v>
      </c>
      <c r="X2090">
        <f t="shared" si="1000"/>
        <v>2009</v>
      </c>
    </row>
    <row r="2091" spans="1:24" ht="12" customHeight="1">
      <c r="A2091" s="4">
        <v>2074</v>
      </c>
      <c r="B2091" s="4">
        <v>14823</v>
      </c>
      <c r="C2091" s="5">
        <f t="shared" si="1021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  <c r="V2091">
        <f t="shared" si="1001"/>
        <v>12</v>
      </c>
      <c r="W2091">
        <f t="shared" si="999"/>
        <v>2</v>
      </c>
      <c r="X2091">
        <f t="shared" si="1000"/>
        <v>2009</v>
      </c>
    </row>
    <row r="2092" spans="1:24" ht="12" customHeight="1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  <c r="V2092">
        <f t="shared" si="1001"/>
        <v>13</v>
      </c>
      <c r="W2092">
        <f t="shared" si="999"/>
        <v>2</v>
      </c>
      <c r="X2092">
        <f t="shared" si="1000"/>
        <v>2010</v>
      </c>
    </row>
    <row r="2093" spans="1:24" ht="12" customHeight="1">
      <c r="A2093" s="4">
        <v>2213</v>
      </c>
      <c r="B2093" s="4">
        <v>15972</v>
      </c>
      <c r="C2093" s="5">
        <f t="shared" ref="C2093:C2094" si="1022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  <c r="V2093">
        <f t="shared" si="1001"/>
        <v>9</v>
      </c>
      <c r="W2093">
        <f t="shared" si="999"/>
        <v>8</v>
      </c>
      <c r="X2093">
        <f t="shared" si="1000"/>
        <v>2011</v>
      </c>
    </row>
    <row r="2094" spans="1:24" ht="12" customHeight="1">
      <c r="A2094" s="4">
        <v>2214</v>
      </c>
      <c r="B2094" s="4">
        <v>15972</v>
      </c>
      <c r="C2094" s="5">
        <f t="shared" si="1022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  <c r="V2094">
        <f t="shared" si="1001"/>
        <v>10</v>
      </c>
      <c r="W2094">
        <f t="shared" si="999"/>
        <v>8</v>
      </c>
      <c r="X2094">
        <f t="shared" si="1000"/>
        <v>2011</v>
      </c>
    </row>
    <row r="2095" spans="1:24" ht="12" customHeight="1">
      <c r="A2095" s="4">
        <v>2222</v>
      </c>
      <c r="B2095" s="4">
        <v>16065</v>
      </c>
      <c r="C2095" s="5">
        <f t="shared" ref="C2095:C2096" si="1023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  <c r="V2095">
        <f t="shared" si="1001"/>
        <v>20</v>
      </c>
      <c r="W2095">
        <f t="shared" si="999"/>
        <v>7</v>
      </c>
      <c r="X2095">
        <f t="shared" si="1000"/>
        <v>2010</v>
      </c>
    </row>
    <row r="2096" spans="1:24" ht="12" customHeight="1">
      <c r="A2096" s="4">
        <v>2223</v>
      </c>
      <c r="B2096" s="4">
        <v>16065</v>
      </c>
      <c r="C2096" s="5">
        <f t="shared" si="1023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1024">C2096+1</f>
        <v>40380</v>
      </c>
      <c r="V2096">
        <f t="shared" si="1001"/>
        <v>21</v>
      </c>
      <c r="W2096">
        <f t="shared" si="999"/>
        <v>7</v>
      </c>
      <c r="X2096">
        <f t="shared" si="1000"/>
        <v>2010</v>
      </c>
    </row>
    <row r="2097" spans="1:24" ht="12" customHeight="1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1024"/>
        <v>40563</v>
      </c>
      <c r="V2097">
        <f t="shared" si="1001"/>
        <v>20</v>
      </c>
      <c r="W2097">
        <f t="shared" si="999"/>
        <v>1</v>
      </c>
      <c r="X2097">
        <f t="shared" si="1000"/>
        <v>2011</v>
      </c>
    </row>
    <row r="2098" spans="1:24" ht="12" customHeight="1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1024"/>
        <v>40748</v>
      </c>
      <c r="V2098">
        <f t="shared" si="1001"/>
        <v>24</v>
      </c>
      <c r="W2098">
        <f t="shared" si="999"/>
        <v>7</v>
      </c>
      <c r="X2098">
        <f t="shared" si="1000"/>
        <v>2011</v>
      </c>
    </row>
    <row r="2099" spans="1:24" ht="12" customHeight="1">
      <c r="A2099" s="4">
        <v>2249</v>
      </c>
      <c r="B2099" s="4">
        <v>16196</v>
      </c>
      <c r="C2099" s="5">
        <f t="shared" ref="C2099:C2100" si="1025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  <c r="V2099">
        <f t="shared" si="1001"/>
        <v>22</v>
      </c>
      <c r="W2099">
        <f t="shared" si="999"/>
        <v>10</v>
      </c>
      <c r="X2099">
        <f t="shared" si="1000"/>
        <v>2009</v>
      </c>
    </row>
    <row r="2100" spans="1:24" ht="12" customHeight="1">
      <c r="A2100" s="4">
        <v>2250</v>
      </c>
      <c r="B2100" s="4">
        <v>16196</v>
      </c>
      <c r="C2100" s="5">
        <f t="shared" si="1025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1026">C2100+1</f>
        <v>40107</v>
      </c>
      <c r="V2100">
        <f t="shared" si="1001"/>
        <v>21</v>
      </c>
      <c r="W2100">
        <f t="shared" si="999"/>
        <v>10</v>
      </c>
      <c r="X2100">
        <f t="shared" si="1000"/>
        <v>2009</v>
      </c>
    </row>
    <row r="2101" spans="1:24" ht="12" customHeight="1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1026"/>
        <v>40642</v>
      </c>
      <c r="V2101">
        <f t="shared" si="1001"/>
        <v>9</v>
      </c>
      <c r="W2101">
        <f t="shared" si="999"/>
        <v>4</v>
      </c>
      <c r="X2101">
        <f t="shared" si="1000"/>
        <v>2011</v>
      </c>
    </row>
    <row r="2102" spans="1:24" ht="12" customHeight="1">
      <c r="A2102" s="4">
        <v>2292</v>
      </c>
      <c r="B2102" s="4">
        <v>16519</v>
      </c>
      <c r="C2102" s="5">
        <f t="shared" ref="C2102:C2103" si="1027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1028">C2102+2</f>
        <v>40706</v>
      </c>
      <c r="V2102">
        <f t="shared" si="1001"/>
        <v>12</v>
      </c>
      <c r="W2102">
        <f t="shared" si="999"/>
        <v>6</v>
      </c>
      <c r="X2102">
        <f t="shared" si="1000"/>
        <v>2011</v>
      </c>
    </row>
    <row r="2103" spans="1:24" ht="12" customHeight="1">
      <c r="A2103" s="4">
        <v>2293</v>
      </c>
      <c r="B2103" s="4">
        <v>16519</v>
      </c>
      <c r="C2103" s="5">
        <f t="shared" si="1027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1028"/>
        <v>40706</v>
      </c>
      <c r="V2103">
        <f t="shared" si="1001"/>
        <v>12</v>
      </c>
      <c r="W2103">
        <f t="shared" si="999"/>
        <v>6</v>
      </c>
      <c r="X2103">
        <f t="shared" si="1000"/>
        <v>2011</v>
      </c>
    </row>
    <row r="2104" spans="1:24" ht="12" customHeight="1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1028"/>
        <v>40946</v>
      </c>
      <c r="V2104">
        <f t="shared" si="1001"/>
        <v>7</v>
      </c>
      <c r="W2104">
        <f t="shared" si="999"/>
        <v>2</v>
      </c>
      <c r="X2104">
        <f t="shared" si="1000"/>
        <v>2012</v>
      </c>
    </row>
    <row r="2105" spans="1:24" ht="12" customHeight="1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1028"/>
        <v>40538</v>
      </c>
      <c r="V2105">
        <f t="shared" si="1001"/>
        <v>26</v>
      </c>
      <c r="W2105">
        <f t="shared" si="999"/>
        <v>12</v>
      </c>
      <c r="X2105">
        <f t="shared" si="1000"/>
        <v>2010</v>
      </c>
    </row>
    <row r="2106" spans="1:24" ht="12" customHeight="1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1028"/>
        <v>40086</v>
      </c>
      <c r="V2106">
        <f t="shared" si="1001"/>
        <v>30</v>
      </c>
      <c r="W2106">
        <f t="shared" si="999"/>
        <v>9</v>
      </c>
      <c r="X2106">
        <f t="shared" si="1000"/>
        <v>2009</v>
      </c>
    </row>
    <row r="2107" spans="1:24" ht="12" customHeight="1">
      <c r="A2107" s="4">
        <v>2331</v>
      </c>
      <c r="B2107" s="4">
        <v>16804</v>
      </c>
      <c r="C2107" s="5">
        <f t="shared" ref="C2107:C2108" si="1029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1028"/>
        <v>40980</v>
      </c>
      <c r="V2107">
        <f t="shared" si="1001"/>
        <v>12</v>
      </c>
      <c r="W2107">
        <f t="shared" si="999"/>
        <v>3</v>
      </c>
      <c r="X2107">
        <f t="shared" si="1000"/>
        <v>2012</v>
      </c>
    </row>
    <row r="2108" spans="1:24" ht="12" customHeight="1">
      <c r="A2108" s="4">
        <v>2332</v>
      </c>
      <c r="B2108" s="4">
        <v>16804</v>
      </c>
      <c r="C2108" s="5">
        <f t="shared" si="1029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  <c r="V2108">
        <f t="shared" si="1001"/>
        <v>11</v>
      </c>
      <c r="W2108">
        <f t="shared" si="999"/>
        <v>3</v>
      </c>
      <c r="X2108">
        <f t="shared" si="1000"/>
        <v>2012</v>
      </c>
    </row>
    <row r="2109" spans="1:24" ht="12" customHeight="1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1030">C2109+2</f>
        <v>40101</v>
      </c>
      <c r="V2109">
        <f t="shared" si="1001"/>
        <v>15</v>
      </c>
      <c r="W2109">
        <f t="shared" si="999"/>
        <v>10</v>
      </c>
      <c r="X2109">
        <f t="shared" si="1000"/>
        <v>2009</v>
      </c>
    </row>
    <row r="2110" spans="1:24" ht="12" customHeight="1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1030"/>
        <v>41214</v>
      </c>
      <c r="V2110">
        <f t="shared" si="1001"/>
        <v>1</v>
      </c>
      <c r="W2110">
        <f t="shared" si="999"/>
        <v>11</v>
      </c>
      <c r="X2110">
        <f t="shared" si="1000"/>
        <v>2012</v>
      </c>
    </row>
    <row r="2111" spans="1:24" ht="12" customHeight="1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  <c r="V2111">
        <f t="shared" si="1001"/>
        <v>13</v>
      </c>
      <c r="W2111">
        <f t="shared" si="999"/>
        <v>3</v>
      </c>
      <c r="X2111">
        <f t="shared" si="1000"/>
        <v>2012</v>
      </c>
    </row>
    <row r="2112" spans="1:24" ht="12" customHeight="1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  <c r="V2112">
        <f t="shared" si="1001"/>
        <v>25</v>
      </c>
      <c r="W2112">
        <f t="shared" si="999"/>
        <v>9</v>
      </c>
      <c r="X2112">
        <f t="shared" si="1000"/>
        <v>2012</v>
      </c>
    </row>
    <row r="2113" spans="1:24" ht="12" customHeight="1">
      <c r="A2113" s="4">
        <v>2378</v>
      </c>
      <c r="B2113" s="4">
        <v>17252</v>
      </c>
      <c r="C2113" s="5">
        <f t="shared" ref="C2113:C2114" si="1031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  <c r="V2113">
        <f t="shared" si="1001"/>
        <v>30</v>
      </c>
      <c r="W2113">
        <f t="shared" si="999"/>
        <v>4</v>
      </c>
      <c r="X2113">
        <f t="shared" si="1000"/>
        <v>2011</v>
      </c>
    </row>
    <row r="2114" spans="1:24" ht="12" customHeight="1">
      <c r="A2114" s="4">
        <v>2379</v>
      </c>
      <c r="B2114" s="4">
        <v>17252</v>
      </c>
      <c r="C2114" s="5">
        <f t="shared" si="1031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  <c r="V2114">
        <f t="shared" si="1001"/>
        <v>1</v>
      </c>
      <c r="W2114">
        <f t="shared" si="999"/>
        <v>5</v>
      </c>
      <c r="X2114">
        <f t="shared" si="1000"/>
        <v>2011</v>
      </c>
    </row>
    <row r="2115" spans="1:24" ht="12" customHeight="1">
      <c r="A2115" s="4">
        <v>2388</v>
      </c>
      <c r="B2115" s="4">
        <v>17312</v>
      </c>
      <c r="C2115" s="5">
        <f t="shared" ref="C2115:C2116" si="1032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1033">C2115+1</f>
        <v>40684</v>
      </c>
      <c r="V2115">
        <f t="shared" si="1001"/>
        <v>21</v>
      </c>
      <c r="W2115">
        <f t="shared" ref="W2115:W2178" si="1034">MONTH(U2115)</f>
        <v>5</v>
      </c>
      <c r="X2115">
        <f t="shared" ref="X2115:X2178" si="1035">YEAR(U2115)</f>
        <v>2011</v>
      </c>
    </row>
    <row r="2116" spans="1:24" ht="12" customHeight="1">
      <c r="A2116" s="4">
        <v>2389</v>
      </c>
      <c r="B2116" s="4">
        <v>17312</v>
      </c>
      <c r="C2116" s="5">
        <f t="shared" si="1032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1033"/>
        <v>40684</v>
      </c>
      <c r="V2116">
        <f t="shared" ref="V2116:V2179" si="1036">DAY(U2116)</f>
        <v>21</v>
      </c>
      <c r="W2116">
        <f t="shared" si="1034"/>
        <v>5</v>
      </c>
      <c r="X2116">
        <f t="shared" si="1035"/>
        <v>2011</v>
      </c>
    </row>
    <row r="2117" spans="1:24" ht="12" customHeight="1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  <c r="V2117">
        <f t="shared" si="1036"/>
        <v>30</v>
      </c>
      <c r="W2117">
        <f t="shared" si="1034"/>
        <v>10</v>
      </c>
      <c r="X2117">
        <f t="shared" si="1035"/>
        <v>2011</v>
      </c>
    </row>
    <row r="2118" spans="1:24" ht="12" customHeight="1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  <c r="V2118">
        <f t="shared" si="1036"/>
        <v>21</v>
      </c>
      <c r="W2118">
        <f t="shared" si="1034"/>
        <v>7</v>
      </c>
      <c r="X2118">
        <f t="shared" si="1035"/>
        <v>2012</v>
      </c>
    </row>
    <row r="2119" spans="1:24" ht="12" customHeight="1">
      <c r="A2119" s="4">
        <v>2431</v>
      </c>
      <c r="B2119" s="4">
        <v>17668</v>
      </c>
      <c r="C2119" s="5">
        <f t="shared" ref="C2119:C2121" si="1037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  <c r="V2119">
        <f t="shared" si="1036"/>
        <v>27</v>
      </c>
      <c r="W2119">
        <f t="shared" si="1034"/>
        <v>11</v>
      </c>
      <c r="X2119">
        <f t="shared" si="1035"/>
        <v>2009</v>
      </c>
    </row>
    <row r="2120" spans="1:24" ht="12" customHeight="1">
      <c r="A2120" s="4">
        <v>2432</v>
      </c>
      <c r="B2120" s="4">
        <v>17668</v>
      </c>
      <c r="C2120" s="5">
        <f t="shared" si="1037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1038">C2120+1</f>
        <v>40143</v>
      </c>
      <c r="V2120">
        <f t="shared" si="1036"/>
        <v>26</v>
      </c>
      <c r="W2120">
        <f t="shared" si="1034"/>
        <v>11</v>
      </c>
      <c r="X2120">
        <f t="shared" si="1035"/>
        <v>2009</v>
      </c>
    </row>
    <row r="2121" spans="1:24" ht="12" customHeight="1">
      <c r="A2121" s="4">
        <v>2433</v>
      </c>
      <c r="B2121" s="4">
        <v>17668</v>
      </c>
      <c r="C2121" s="5">
        <f t="shared" si="1037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1038"/>
        <v>40143</v>
      </c>
      <c r="V2121">
        <f t="shared" si="1036"/>
        <v>26</v>
      </c>
      <c r="W2121">
        <f t="shared" si="1034"/>
        <v>11</v>
      </c>
      <c r="X2121">
        <f t="shared" si="1035"/>
        <v>2009</v>
      </c>
    </row>
    <row r="2122" spans="1:24" ht="12" customHeight="1">
      <c r="A2122" s="4">
        <v>2443</v>
      </c>
      <c r="B2122" s="4">
        <v>17735</v>
      </c>
      <c r="C2122" s="5">
        <f t="shared" ref="C2122:C2123" si="1039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1040">C2122+5</f>
        <v>41107</v>
      </c>
      <c r="V2122">
        <f t="shared" si="1036"/>
        <v>17</v>
      </c>
      <c r="W2122">
        <f t="shared" si="1034"/>
        <v>7</v>
      </c>
      <c r="X2122">
        <f t="shared" si="1035"/>
        <v>2012</v>
      </c>
    </row>
    <row r="2123" spans="1:24" ht="12" customHeight="1">
      <c r="A2123" s="4">
        <v>2444</v>
      </c>
      <c r="B2123" s="4">
        <v>17735</v>
      </c>
      <c r="C2123" s="5">
        <f t="shared" si="1039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1040"/>
        <v>41107</v>
      </c>
      <c r="V2123">
        <f t="shared" si="1036"/>
        <v>17</v>
      </c>
      <c r="W2123">
        <f t="shared" si="1034"/>
        <v>7</v>
      </c>
      <c r="X2123">
        <f t="shared" si="1035"/>
        <v>2012</v>
      </c>
    </row>
    <row r="2124" spans="1:24" ht="12" customHeight="1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1041">C2124+3</f>
        <v>40194</v>
      </c>
      <c r="V2124">
        <f t="shared" si="1036"/>
        <v>16</v>
      </c>
      <c r="W2124">
        <f t="shared" si="1034"/>
        <v>1</v>
      </c>
      <c r="X2124">
        <f t="shared" si="1035"/>
        <v>2010</v>
      </c>
    </row>
    <row r="2125" spans="1:24" ht="12" customHeight="1">
      <c r="A2125" s="4">
        <v>2469</v>
      </c>
      <c r="B2125" s="4">
        <v>17956</v>
      </c>
      <c r="C2125" s="5">
        <f t="shared" ref="C2125:C2126" si="1042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1041"/>
        <v>40398</v>
      </c>
      <c r="V2125">
        <f t="shared" si="1036"/>
        <v>8</v>
      </c>
      <c r="W2125">
        <f t="shared" si="1034"/>
        <v>8</v>
      </c>
      <c r="X2125">
        <f t="shared" si="1035"/>
        <v>2010</v>
      </c>
    </row>
    <row r="2126" spans="1:24" ht="12" customHeight="1">
      <c r="A2126" s="4">
        <v>2470</v>
      </c>
      <c r="B2126" s="4">
        <v>17956</v>
      </c>
      <c r="C2126" s="5">
        <f t="shared" si="1042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  <c r="V2126">
        <f t="shared" si="1036"/>
        <v>6</v>
      </c>
      <c r="W2126">
        <f t="shared" si="1034"/>
        <v>8</v>
      </c>
      <c r="X2126">
        <f t="shared" si="1035"/>
        <v>2010</v>
      </c>
    </row>
    <row r="2127" spans="1:24" ht="12" customHeight="1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  <c r="V2127">
        <f t="shared" si="1036"/>
        <v>7</v>
      </c>
      <c r="W2127">
        <f t="shared" si="1034"/>
        <v>4</v>
      </c>
      <c r="X2127">
        <f t="shared" si="1035"/>
        <v>2012</v>
      </c>
    </row>
    <row r="2128" spans="1:24" ht="12" customHeight="1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  <c r="V2128">
        <f t="shared" si="1036"/>
        <v>17</v>
      </c>
      <c r="W2128">
        <f t="shared" si="1034"/>
        <v>3</v>
      </c>
      <c r="X2128">
        <f t="shared" si="1035"/>
        <v>2012</v>
      </c>
    </row>
    <row r="2129" spans="1:24" ht="12" customHeight="1">
      <c r="A2129" s="4">
        <v>2496</v>
      </c>
      <c r="B2129" s="4">
        <v>18178</v>
      </c>
      <c r="C2129" s="5">
        <f t="shared" ref="C2129:C2130" si="1043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  <c r="V2129">
        <f t="shared" si="1036"/>
        <v>2</v>
      </c>
      <c r="W2129">
        <f t="shared" si="1034"/>
        <v>11</v>
      </c>
      <c r="X2129">
        <f t="shared" si="1035"/>
        <v>2009</v>
      </c>
    </row>
    <row r="2130" spans="1:24" ht="12" customHeight="1">
      <c r="A2130" s="4">
        <v>2497</v>
      </c>
      <c r="B2130" s="4">
        <v>18178</v>
      </c>
      <c r="C2130" s="5">
        <f t="shared" si="1043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  <c r="V2130">
        <f t="shared" si="1036"/>
        <v>9</v>
      </c>
      <c r="W2130">
        <f t="shared" si="1034"/>
        <v>11</v>
      </c>
      <c r="X2130">
        <f t="shared" si="1035"/>
        <v>2009</v>
      </c>
    </row>
    <row r="2131" spans="1:24" ht="12" customHeight="1">
      <c r="A2131" s="4">
        <v>2501</v>
      </c>
      <c r="B2131" s="4">
        <v>18182</v>
      </c>
      <c r="C2131" s="5">
        <f t="shared" ref="C2131:C2133" si="1044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  <c r="V2131">
        <f t="shared" si="1036"/>
        <v>12</v>
      </c>
      <c r="W2131">
        <f t="shared" si="1034"/>
        <v>4</v>
      </c>
      <c r="X2131">
        <f t="shared" si="1035"/>
        <v>2011</v>
      </c>
    </row>
    <row r="2132" spans="1:24" ht="12" customHeight="1">
      <c r="A2132" s="4">
        <v>2502</v>
      </c>
      <c r="B2132" s="4">
        <v>18182</v>
      </c>
      <c r="C2132" s="5">
        <f t="shared" si="1044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  <c r="V2132">
        <f t="shared" si="1036"/>
        <v>11</v>
      </c>
      <c r="W2132">
        <f t="shared" si="1034"/>
        <v>4</v>
      </c>
      <c r="X2132">
        <f t="shared" si="1035"/>
        <v>2011</v>
      </c>
    </row>
    <row r="2133" spans="1:24" ht="12" customHeight="1">
      <c r="A2133" s="4">
        <v>2503</v>
      </c>
      <c r="B2133" s="4">
        <v>18182</v>
      </c>
      <c r="C2133" s="5">
        <f t="shared" si="1044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1045">C2133+2</f>
        <v>40645</v>
      </c>
      <c r="V2133">
        <f t="shared" si="1036"/>
        <v>12</v>
      </c>
      <c r="W2133">
        <f t="shared" si="1034"/>
        <v>4</v>
      </c>
      <c r="X2133">
        <f t="shared" si="1035"/>
        <v>2011</v>
      </c>
    </row>
    <row r="2134" spans="1:24" ht="12" customHeight="1">
      <c r="A2134" s="4">
        <v>2538</v>
      </c>
      <c r="B2134" s="4">
        <v>18405</v>
      </c>
      <c r="C2134" s="5">
        <f t="shared" ref="C2134:C2135" si="1046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1045"/>
        <v>39822</v>
      </c>
      <c r="V2134">
        <f t="shared" si="1036"/>
        <v>9</v>
      </c>
      <c r="W2134">
        <f t="shared" si="1034"/>
        <v>1</v>
      </c>
      <c r="X2134">
        <f t="shared" si="1035"/>
        <v>2009</v>
      </c>
    </row>
    <row r="2135" spans="1:24" ht="12" customHeight="1">
      <c r="A2135" s="4">
        <v>2539</v>
      </c>
      <c r="B2135" s="4">
        <v>18405</v>
      </c>
      <c r="C2135" s="5">
        <f t="shared" si="1046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  <c r="V2135">
        <f t="shared" si="1036"/>
        <v>10</v>
      </c>
      <c r="W2135">
        <f t="shared" si="1034"/>
        <v>1</v>
      </c>
      <c r="X2135">
        <f t="shared" si="1035"/>
        <v>2009</v>
      </c>
    </row>
    <row r="2136" spans="1:24" ht="12" customHeight="1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  <c r="V2136">
        <f t="shared" si="1036"/>
        <v>31</v>
      </c>
      <c r="W2136">
        <f t="shared" si="1034"/>
        <v>10</v>
      </c>
      <c r="X2136">
        <f t="shared" si="1035"/>
        <v>2012</v>
      </c>
    </row>
    <row r="2137" spans="1:24" ht="12" customHeight="1">
      <c r="A2137" s="4">
        <v>2568</v>
      </c>
      <c r="B2137" s="4">
        <v>18533</v>
      </c>
      <c r="C2137" s="5">
        <f t="shared" ref="C2137:C2138" si="1047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  <c r="V2137">
        <f t="shared" si="1036"/>
        <v>7</v>
      </c>
      <c r="W2137">
        <f t="shared" si="1034"/>
        <v>11</v>
      </c>
      <c r="X2137">
        <f t="shared" si="1035"/>
        <v>2009</v>
      </c>
    </row>
    <row r="2138" spans="1:24" ht="12" customHeight="1">
      <c r="A2138" s="4">
        <v>2569</v>
      </c>
      <c r="B2138" s="4">
        <v>18533</v>
      </c>
      <c r="C2138" s="5">
        <f t="shared" si="1047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  <c r="V2138">
        <f t="shared" si="1036"/>
        <v>8</v>
      </c>
      <c r="W2138">
        <f t="shared" si="1034"/>
        <v>11</v>
      </c>
      <c r="X2138">
        <f t="shared" si="1035"/>
        <v>2009</v>
      </c>
    </row>
    <row r="2139" spans="1:24" ht="12" customHeight="1">
      <c r="A2139" s="4">
        <v>2584</v>
      </c>
      <c r="B2139" s="4">
        <v>18661</v>
      </c>
      <c r="C2139" s="5">
        <f t="shared" ref="C2139:C2140" si="1048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  <c r="V2139">
        <f t="shared" si="1036"/>
        <v>12</v>
      </c>
      <c r="W2139">
        <f t="shared" si="1034"/>
        <v>9</v>
      </c>
      <c r="X2139">
        <f t="shared" si="1035"/>
        <v>2012</v>
      </c>
    </row>
    <row r="2140" spans="1:24" ht="12" customHeight="1">
      <c r="A2140" s="4">
        <v>2585</v>
      </c>
      <c r="B2140" s="4">
        <v>18661</v>
      </c>
      <c r="C2140" s="5">
        <f t="shared" si="1048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1049">C2140+2</f>
        <v>41162</v>
      </c>
      <c r="V2140">
        <f t="shared" si="1036"/>
        <v>10</v>
      </c>
      <c r="W2140">
        <f t="shared" si="1034"/>
        <v>9</v>
      </c>
      <c r="X2140">
        <f t="shared" si="1035"/>
        <v>2012</v>
      </c>
    </row>
    <row r="2141" spans="1:24" ht="12" customHeight="1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1049"/>
        <v>40039</v>
      </c>
      <c r="V2141">
        <f t="shared" si="1036"/>
        <v>14</v>
      </c>
      <c r="W2141">
        <f t="shared" si="1034"/>
        <v>8</v>
      </c>
      <c r="X2141">
        <f t="shared" si="1035"/>
        <v>2009</v>
      </c>
    </row>
    <row r="2142" spans="1:24" ht="12" customHeight="1">
      <c r="A2142" s="4">
        <v>2592</v>
      </c>
      <c r="B2142" s="4">
        <v>18753</v>
      </c>
      <c r="C2142" s="5">
        <f t="shared" ref="C2142:C2143" si="1050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1049"/>
        <v>40027</v>
      </c>
      <c r="V2142">
        <f t="shared" si="1036"/>
        <v>2</v>
      </c>
      <c r="W2142">
        <f t="shared" si="1034"/>
        <v>8</v>
      </c>
      <c r="X2142">
        <f t="shared" si="1035"/>
        <v>2009</v>
      </c>
    </row>
    <row r="2143" spans="1:24" ht="12" customHeight="1">
      <c r="A2143" s="4">
        <v>2593</v>
      </c>
      <c r="B2143" s="4">
        <v>18753</v>
      </c>
      <c r="C2143" s="5">
        <f t="shared" si="1050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1049"/>
        <v>40027</v>
      </c>
      <c r="V2143">
        <f t="shared" si="1036"/>
        <v>2</v>
      </c>
      <c r="W2143">
        <f t="shared" si="1034"/>
        <v>8</v>
      </c>
      <c r="X2143">
        <f t="shared" si="1035"/>
        <v>2009</v>
      </c>
    </row>
    <row r="2144" spans="1:24" ht="12" customHeight="1">
      <c r="A2144" s="4">
        <v>2653</v>
      </c>
      <c r="B2144" s="4">
        <v>19204</v>
      </c>
      <c r="C2144" s="5">
        <f t="shared" ref="C2144:C2145" si="1051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  <c r="V2144">
        <f t="shared" si="1036"/>
        <v>19</v>
      </c>
      <c r="W2144">
        <f t="shared" si="1034"/>
        <v>9</v>
      </c>
      <c r="X2144">
        <f t="shared" si="1035"/>
        <v>2009</v>
      </c>
    </row>
    <row r="2145" spans="1:24" ht="12" customHeight="1">
      <c r="A2145" s="4">
        <v>2654</v>
      </c>
      <c r="B2145" s="4">
        <v>19204</v>
      </c>
      <c r="C2145" s="5">
        <f t="shared" si="1051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  <c r="V2145">
        <f t="shared" si="1036"/>
        <v>20</v>
      </c>
      <c r="W2145">
        <f t="shared" si="1034"/>
        <v>9</v>
      </c>
      <c r="X2145">
        <f t="shared" si="1035"/>
        <v>2009</v>
      </c>
    </row>
    <row r="2146" spans="1:24" ht="12" customHeight="1">
      <c r="A2146" s="4">
        <v>2680</v>
      </c>
      <c r="B2146" s="4">
        <v>19394</v>
      </c>
      <c r="C2146" s="5">
        <f t="shared" ref="C2146:C2147" si="1052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  <c r="V2146">
        <f t="shared" si="1036"/>
        <v>26</v>
      </c>
      <c r="W2146">
        <f t="shared" si="1034"/>
        <v>12</v>
      </c>
      <c r="X2146">
        <f t="shared" si="1035"/>
        <v>2012</v>
      </c>
    </row>
    <row r="2147" spans="1:24" ht="12" customHeight="1">
      <c r="A2147" s="4">
        <v>2681</v>
      </c>
      <c r="B2147" s="4">
        <v>19394</v>
      </c>
      <c r="C2147" s="5">
        <f t="shared" si="1052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  <c r="V2147">
        <f t="shared" si="1036"/>
        <v>28</v>
      </c>
      <c r="W2147">
        <f t="shared" si="1034"/>
        <v>12</v>
      </c>
      <c r="X2147">
        <f t="shared" si="1035"/>
        <v>2012</v>
      </c>
    </row>
    <row r="2148" spans="1:24" ht="12" customHeight="1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  <c r="V2148">
        <f t="shared" si="1036"/>
        <v>11</v>
      </c>
      <c r="W2148">
        <f t="shared" si="1034"/>
        <v>9</v>
      </c>
      <c r="X2148">
        <f t="shared" si="1035"/>
        <v>2012</v>
      </c>
    </row>
    <row r="2149" spans="1:24" ht="12" customHeight="1">
      <c r="A2149" s="4">
        <v>2729</v>
      </c>
      <c r="B2149" s="4">
        <v>19687</v>
      </c>
      <c r="C2149" s="5">
        <f t="shared" ref="C2149:C2150" si="1053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  <c r="V2149">
        <f t="shared" si="1036"/>
        <v>14</v>
      </c>
      <c r="W2149">
        <f t="shared" si="1034"/>
        <v>8</v>
      </c>
      <c r="X2149">
        <f t="shared" si="1035"/>
        <v>2010</v>
      </c>
    </row>
    <row r="2150" spans="1:24" ht="12" customHeight="1">
      <c r="A2150" s="4">
        <v>2730</v>
      </c>
      <c r="B2150" s="4">
        <v>19687</v>
      </c>
      <c r="C2150" s="5">
        <f t="shared" si="1053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  <c r="V2150">
        <f t="shared" si="1036"/>
        <v>15</v>
      </c>
      <c r="W2150">
        <f t="shared" si="1034"/>
        <v>8</v>
      </c>
      <c r="X2150">
        <f t="shared" si="1035"/>
        <v>2010</v>
      </c>
    </row>
    <row r="2151" spans="1:24" ht="12" customHeight="1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  <c r="V2151">
        <f t="shared" si="1036"/>
        <v>6</v>
      </c>
      <c r="W2151">
        <f t="shared" si="1034"/>
        <v>10</v>
      </c>
      <c r="X2151">
        <f t="shared" si="1035"/>
        <v>2009</v>
      </c>
    </row>
    <row r="2152" spans="1:24" ht="12" customHeight="1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1054">C2152+4</f>
        <v>41204</v>
      </c>
      <c r="V2152">
        <f t="shared" si="1036"/>
        <v>22</v>
      </c>
      <c r="W2152">
        <f t="shared" si="1034"/>
        <v>10</v>
      </c>
      <c r="X2152">
        <f t="shared" si="1035"/>
        <v>2012</v>
      </c>
    </row>
    <row r="2153" spans="1:24" ht="12" customHeight="1">
      <c r="A2153" s="4">
        <v>2792</v>
      </c>
      <c r="B2153" s="4">
        <v>20134</v>
      </c>
      <c r="C2153" s="5">
        <f t="shared" ref="C2153:C2154" si="1055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1054"/>
        <v>40618</v>
      </c>
      <c r="V2153">
        <f t="shared" si="1036"/>
        <v>16</v>
      </c>
      <c r="W2153">
        <f t="shared" si="1034"/>
        <v>3</v>
      </c>
      <c r="X2153">
        <f t="shared" si="1035"/>
        <v>2011</v>
      </c>
    </row>
    <row r="2154" spans="1:24" ht="12" customHeight="1">
      <c r="A2154" s="4">
        <v>2793</v>
      </c>
      <c r="B2154" s="4">
        <v>20134</v>
      </c>
      <c r="C2154" s="5">
        <f t="shared" si="1055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  <c r="V2154">
        <f t="shared" si="1036"/>
        <v>19</v>
      </c>
      <c r="W2154">
        <f t="shared" si="1034"/>
        <v>3</v>
      </c>
      <c r="X2154">
        <f t="shared" si="1035"/>
        <v>2011</v>
      </c>
    </row>
    <row r="2155" spans="1:24" ht="12" customHeight="1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  <c r="V2155">
        <f t="shared" si="1036"/>
        <v>25</v>
      </c>
      <c r="W2155">
        <f t="shared" si="1034"/>
        <v>5</v>
      </c>
      <c r="X2155">
        <f t="shared" si="1035"/>
        <v>2011</v>
      </c>
    </row>
    <row r="2156" spans="1:24" ht="12" customHeight="1">
      <c r="A2156" s="4">
        <v>2807</v>
      </c>
      <c r="B2156" s="4">
        <v>20261</v>
      </c>
      <c r="C2156" s="5">
        <f t="shared" ref="C2156:C2158" si="1056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  <c r="V2156">
        <f t="shared" si="1036"/>
        <v>20</v>
      </c>
      <c r="W2156">
        <f t="shared" si="1034"/>
        <v>5</v>
      </c>
      <c r="X2156">
        <f t="shared" si="1035"/>
        <v>2009</v>
      </c>
    </row>
    <row r="2157" spans="1:24" ht="12" customHeight="1">
      <c r="A2157" s="4">
        <v>2808</v>
      </c>
      <c r="B2157" s="4">
        <v>20261</v>
      </c>
      <c r="C2157" s="5">
        <f t="shared" si="1056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  <c r="V2157">
        <f t="shared" si="1036"/>
        <v>23</v>
      </c>
      <c r="W2157">
        <f t="shared" si="1034"/>
        <v>5</v>
      </c>
      <c r="X2157">
        <f t="shared" si="1035"/>
        <v>2009</v>
      </c>
    </row>
    <row r="2158" spans="1:24" ht="12" customHeight="1">
      <c r="A2158" s="4">
        <v>2809</v>
      </c>
      <c r="B2158" s="4">
        <v>20261</v>
      </c>
      <c r="C2158" s="5">
        <f t="shared" si="1056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  <c r="V2158">
        <f t="shared" si="1036"/>
        <v>21</v>
      </c>
      <c r="W2158">
        <f t="shared" si="1034"/>
        <v>5</v>
      </c>
      <c r="X2158">
        <f t="shared" si="1035"/>
        <v>2009</v>
      </c>
    </row>
    <row r="2159" spans="1:24" ht="12" customHeight="1">
      <c r="A2159" s="4">
        <v>2837</v>
      </c>
      <c r="B2159" s="4">
        <v>20453</v>
      </c>
      <c r="C2159" s="5">
        <f t="shared" ref="C2159:C2160" si="1057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1058">C2159+2</f>
        <v>40614</v>
      </c>
      <c r="V2159">
        <f t="shared" si="1036"/>
        <v>12</v>
      </c>
      <c r="W2159">
        <f t="shared" si="1034"/>
        <v>3</v>
      </c>
      <c r="X2159">
        <f t="shared" si="1035"/>
        <v>2011</v>
      </c>
    </row>
    <row r="2160" spans="1:24" ht="12" customHeight="1">
      <c r="A2160" s="4">
        <v>2838</v>
      </c>
      <c r="B2160" s="4">
        <v>20453</v>
      </c>
      <c r="C2160" s="5">
        <f t="shared" si="1057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1058"/>
        <v>40614</v>
      </c>
      <c r="V2160">
        <f t="shared" si="1036"/>
        <v>12</v>
      </c>
      <c r="W2160">
        <f t="shared" si="1034"/>
        <v>3</v>
      </c>
      <c r="X2160">
        <f t="shared" si="1035"/>
        <v>2011</v>
      </c>
    </row>
    <row r="2161" spans="1:24" ht="12" customHeight="1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1058"/>
        <v>39953</v>
      </c>
      <c r="V2161">
        <f t="shared" si="1036"/>
        <v>20</v>
      </c>
      <c r="W2161">
        <f t="shared" si="1034"/>
        <v>5</v>
      </c>
      <c r="X2161">
        <f t="shared" si="1035"/>
        <v>2009</v>
      </c>
    </row>
    <row r="2162" spans="1:24" ht="12" customHeight="1">
      <c r="A2162" s="4">
        <v>2870</v>
      </c>
      <c r="B2162" s="4">
        <v>20709</v>
      </c>
      <c r="C2162" s="5">
        <f t="shared" ref="C2162:C2163" si="1059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  <c r="V2162">
        <f t="shared" si="1036"/>
        <v>11</v>
      </c>
      <c r="W2162">
        <f t="shared" si="1034"/>
        <v>8</v>
      </c>
      <c r="X2162">
        <f t="shared" si="1035"/>
        <v>2009</v>
      </c>
    </row>
    <row r="2163" spans="1:24" ht="12" customHeight="1">
      <c r="A2163" s="4">
        <v>2871</v>
      </c>
      <c r="B2163" s="4">
        <v>20709</v>
      </c>
      <c r="C2163" s="5">
        <f t="shared" si="1059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1060">C2163+2</f>
        <v>40038</v>
      </c>
      <c r="V2163">
        <f t="shared" si="1036"/>
        <v>13</v>
      </c>
      <c r="W2163">
        <f t="shared" si="1034"/>
        <v>8</v>
      </c>
      <c r="X2163">
        <f t="shared" si="1035"/>
        <v>2009</v>
      </c>
    </row>
    <row r="2164" spans="1:24" ht="12" customHeight="1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1060"/>
        <v>40434</v>
      </c>
      <c r="V2164">
        <f t="shared" si="1036"/>
        <v>13</v>
      </c>
      <c r="W2164">
        <f t="shared" si="1034"/>
        <v>9</v>
      </c>
      <c r="X2164">
        <f t="shared" si="1035"/>
        <v>2010</v>
      </c>
    </row>
    <row r="2165" spans="1:24" ht="12" customHeight="1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1060"/>
        <v>41069</v>
      </c>
      <c r="V2165">
        <f t="shared" si="1036"/>
        <v>9</v>
      </c>
      <c r="W2165">
        <f t="shared" si="1034"/>
        <v>6</v>
      </c>
      <c r="X2165">
        <f t="shared" si="1035"/>
        <v>2012</v>
      </c>
    </row>
    <row r="2166" spans="1:24" ht="12" customHeight="1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  <c r="V2166">
        <f t="shared" si="1036"/>
        <v>27</v>
      </c>
      <c r="W2166">
        <f t="shared" si="1034"/>
        <v>2</v>
      </c>
      <c r="X2166">
        <f t="shared" si="1035"/>
        <v>2011</v>
      </c>
    </row>
    <row r="2167" spans="1:24" ht="12" customHeight="1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  <c r="V2167">
        <f t="shared" si="1036"/>
        <v>15</v>
      </c>
      <c r="W2167">
        <f t="shared" si="1034"/>
        <v>1</v>
      </c>
      <c r="X2167">
        <f t="shared" si="1035"/>
        <v>2012</v>
      </c>
    </row>
    <row r="2168" spans="1:24" ht="12" customHeight="1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  <c r="V2168">
        <f t="shared" si="1036"/>
        <v>3</v>
      </c>
      <c r="W2168">
        <f t="shared" si="1034"/>
        <v>4</v>
      </c>
      <c r="X2168">
        <f t="shared" si="1035"/>
        <v>2012</v>
      </c>
    </row>
    <row r="2169" spans="1:24" ht="12" customHeight="1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  <c r="V2169">
        <f t="shared" si="1036"/>
        <v>14</v>
      </c>
      <c r="W2169">
        <f t="shared" si="1034"/>
        <v>2</v>
      </c>
      <c r="X2169">
        <f t="shared" si="1035"/>
        <v>2011</v>
      </c>
    </row>
    <row r="2170" spans="1:24" ht="12" customHeight="1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  <c r="V2170">
        <f t="shared" si="1036"/>
        <v>25</v>
      </c>
      <c r="W2170">
        <f t="shared" si="1034"/>
        <v>10</v>
      </c>
      <c r="X2170">
        <f t="shared" si="1035"/>
        <v>2011</v>
      </c>
    </row>
    <row r="2171" spans="1:24" ht="12" customHeight="1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  <c r="V2171">
        <f t="shared" si="1036"/>
        <v>31</v>
      </c>
      <c r="W2171">
        <f t="shared" si="1034"/>
        <v>7</v>
      </c>
      <c r="X2171">
        <f t="shared" si="1035"/>
        <v>2010</v>
      </c>
    </row>
    <row r="2172" spans="1:24" ht="12" customHeight="1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  <c r="V2172">
        <f t="shared" si="1036"/>
        <v>16</v>
      </c>
      <c r="W2172">
        <f t="shared" si="1034"/>
        <v>10</v>
      </c>
      <c r="X2172">
        <f t="shared" si="1035"/>
        <v>2011</v>
      </c>
    </row>
    <row r="2173" spans="1:24" ht="12" customHeight="1">
      <c r="A2173" s="4">
        <v>3104</v>
      </c>
      <c r="B2173" s="4">
        <v>22272</v>
      </c>
      <c r="C2173" s="5">
        <f t="shared" ref="C2173:C2174" si="1061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1062">C2173+2</f>
        <v>41037</v>
      </c>
      <c r="V2173">
        <f t="shared" si="1036"/>
        <v>8</v>
      </c>
      <c r="W2173">
        <f t="shared" si="1034"/>
        <v>5</v>
      </c>
      <c r="X2173">
        <f t="shared" si="1035"/>
        <v>2012</v>
      </c>
    </row>
    <row r="2174" spans="1:24" ht="12" customHeight="1">
      <c r="A2174" s="4">
        <v>3105</v>
      </c>
      <c r="B2174" s="4">
        <v>22272</v>
      </c>
      <c r="C2174" s="5">
        <f t="shared" si="1061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1062"/>
        <v>41037</v>
      </c>
      <c r="V2174">
        <f t="shared" si="1036"/>
        <v>8</v>
      </c>
      <c r="W2174">
        <f t="shared" si="1034"/>
        <v>5</v>
      </c>
      <c r="X2174">
        <f t="shared" si="1035"/>
        <v>2012</v>
      </c>
    </row>
    <row r="2175" spans="1:24" ht="12" customHeight="1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  <c r="V2175">
        <f t="shared" si="1036"/>
        <v>29</v>
      </c>
      <c r="W2175">
        <f t="shared" si="1034"/>
        <v>3</v>
      </c>
      <c r="X2175">
        <f t="shared" si="1035"/>
        <v>2012</v>
      </c>
    </row>
    <row r="2176" spans="1:24" ht="12" customHeight="1">
      <c r="A2176" s="4">
        <v>3125</v>
      </c>
      <c r="B2176" s="4">
        <v>22434</v>
      </c>
      <c r="C2176" s="5">
        <f t="shared" ref="C2176:C2177" si="1063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1064">C2176+2</f>
        <v>41152</v>
      </c>
      <c r="V2176">
        <f t="shared" si="1036"/>
        <v>31</v>
      </c>
      <c r="W2176">
        <f t="shared" si="1034"/>
        <v>8</v>
      </c>
      <c r="X2176">
        <f t="shared" si="1035"/>
        <v>2012</v>
      </c>
    </row>
    <row r="2177" spans="1:24" ht="12" customHeight="1">
      <c r="A2177" s="4">
        <v>3126</v>
      </c>
      <c r="B2177" s="4">
        <v>22434</v>
      </c>
      <c r="C2177" s="5">
        <f t="shared" si="1063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1064"/>
        <v>41152</v>
      </c>
      <c r="V2177">
        <f t="shared" si="1036"/>
        <v>31</v>
      </c>
      <c r="W2177">
        <f t="shared" si="1034"/>
        <v>8</v>
      </c>
      <c r="X2177">
        <f t="shared" si="1035"/>
        <v>2012</v>
      </c>
    </row>
    <row r="2178" spans="1:24" ht="12" customHeight="1">
      <c r="A2178" s="4">
        <v>3179</v>
      </c>
      <c r="B2178" s="4">
        <v>22849</v>
      </c>
      <c r="C2178" s="5">
        <f t="shared" ref="C2178:C2181" si="1065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  <c r="V2178">
        <f t="shared" si="1036"/>
        <v>15</v>
      </c>
      <c r="W2178">
        <f t="shared" si="1034"/>
        <v>2</v>
      </c>
      <c r="X2178">
        <f t="shared" si="1035"/>
        <v>2011</v>
      </c>
    </row>
    <row r="2179" spans="1:24" ht="12" customHeight="1">
      <c r="A2179" s="4">
        <v>3180</v>
      </c>
      <c r="B2179" s="4">
        <v>22849</v>
      </c>
      <c r="C2179" s="5">
        <f t="shared" si="1065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1066">C2179+2</f>
        <v>40590</v>
      </c>
      <c r="V2179">
        <f t="shared" si="1036"/>
        <v>16</v>
      </c>
      <c r="W2179">
        <f t="shared" ref="W2179:W2242" si="1067">MONTH(U2179)</f>
        <v>2</v>
      </c>
      <c r="X2179">
        <f t="shared" ref="X2179:X2242" si="1068">YEAR(U2179)</f>
        <v>2011</v>
      </c>
    </row>
    <row r="2180" spans="1:24" ht="12" customHeight="1">
      <c r="A2180" s="4">
        <v>3181</v>
      </c>
      <c r="B2180" s="4">
        <v>22849</v>
      </c>
      <c r="C2180" s="5">
        <f t="shared" si="1065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1066"/>
        <v>40590</v>
      </c>
      <c r="V2180">
        <f t="shared" ref="V2180:V2243" si="1069">DAY(U2180)</f>
        <v>16</v>
      </c>
      <c r="W2180">
        <f t="shared" si="1067"/>
        <v>2</v>
      </c>
      <c r="X2180">
        <f t="shared" si="1068"/>
        <v>2011</v>
      </c>
    </row>
    <row r="2181" spans="1:24" ht="12" customHeight="1">
      <c r="A2181" s="4">
        <v>3182</v>
      </c>
      <c r="B2181" s="4">
        <v>22849</v>
      </c>
      <c r="C2181" s="5">
        <f t="shared" si="1065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1066"/>
        <v>40590</v>
      </c>
      <c r="V2181">
        <f t="shared" si="1069"/>
        <v>16</v>
      </c>
      <c r="W2181">
        <f t="shared" si="1067"/>
        <v>2</v>
      </c>
      <c r="X2181">
        <f t="shared" si="1068"/>
        <v>2011</v>
      </c>
    </row>
    <row r="2182" spans="1:24" ht="12" customHeight="1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  <c r="V2182">
        <f t="shared" si="1069"/>
        <v>7</v>
      </c>
      <c r="W2182">
        <f t="shared" si="1067"/>
        <v>4</v>
      </c>
      <c r="X2182">
        <f t="shared" si="1068"/>
        <v>2010</v>
      </c>
    </row>
    <row r="2183" spans="1:24" ht="12" customHeight="1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  <c r="V2183">
        <f t="shared" si="1069"/>
        <v>28</v>
      </c>
      <c r="W2183">
        <f t="shared" si="1067"/>
        <v>12</v>
      </c>
      <c r="X2183">
        <f t="shared" si="1068"/>
        <v>2011</v>
      </c>
    </row>
    <row r="2184" spans="1:24" ht="12" customHeight="1">
      <c r="A2184" s="4">
        <v>3206</v>
      </c>
      <c r="B2184" s="4">
        <v>23008</v>
      </c>
      <c r="C2184" s="5">
        <f t="shared" ref="C2184:C2185" si="1070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1071">C2184+2</f>
        <v>40097</v>
      </c>
      <c r="V2184">
        <f t="shared" si="1069"/>
        <v>11</v>
      </c>
      <c r="W2184">
        <f t="shared" si="1067"/>
        <v>10</v>
      </c>
      <c r="X2184">
        <f t="shared" si="1068"/>
        <v>2009</v>
      </c>
    </row>
    <row r="2185" spans="1:24" ht="12" customHeight="1">
      <c r="A2185" s="4">
        <v>3207</v>
      </c>
      <c r="B2185" s="4">
        <v>23008</v>
      </c>
      <c r="C2185" s="5">
        <f t="shared" si="1070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1071"/>
        <v>40097</v>
      </c>
      <c r="V2185">
        <f t="shared" si="1069"/>
        <v>11</v>
      </c>
      <c r="W2185">
        <f t="shared" si="1067"/>
        <v>10</v>
      </c>
      <c r="X2185">
        <f t="shared" si="1068"/>
        <v>2009</v>
      </c>
    </row>
    <row r="2186" spans="1:24" ht="12" customHeight="1">
      <c r="A2186" s="4">
        <v>3233</v>
      </c>
      <c r="B2186" s="4">
        <v>23202</v>
      </c>
      <c r="C2186" s="5">
        <f t="shared" ref="C2186:C2187" si="1072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1071"/>
        <v>40756</v>
      </c>
      <c r="V2186">
        <f t="shared" si="1069"/>
        <v>1</v>
      </c>
      <c r="W2186">
        <f t="shared" si="1067"/>
        <v>8</v>
      </c>
      <c r="X2186">
        <f t="shared" si="1068"/>
        <v>2011</v>
      </c>
    </row>
    <row r="2187" spans="1:24" ht="12" customHeight="1">
      <c r="A2187" s="4">
        <v>3234</v>
      </c>
      <c r="B2187" s="4">
        <v>23202</v>
      </c>
      <c r="C2187" s="5">
        <f t="shared" si="1072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1071"/>
        <v>40756</v>
      </c>
      <c r="V2187">
        <f t="shared" si="1069"/>
        <v>1</v>
      </c>
      <c r="W2187">
        <f t="shared" si="1067"/>
        <v>8</v>
      </c>
      <c r="X2187">
        <f t="shared" si="1068"/>
        <v>2011</v>
      </c>
    </row>
    <row r="2188" spans="1:24" ht="12" customHeight="1">
      <c r="A2188" s="4">
        <v>3276</v>
      </c>
      <c r="B2188" s="4">
        <v>23426</v>
      </c>
      <c r="C2188" s="5">
        <f t="shared" ref="C2188:C2189" si="1073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1071"/>
        <v>40592</v>
      </c>
      <c r="V2188">
        <f t="shared" si="1069"/>
        <v>18</v>
      </c>
      <c r="W2188">
        <f t="shared" si="1067"/>
        <v>2</v>
      </c>
      <c r="X2188">
        <f t="shared" si="1068"/>
        <v>2011</v>
      </c>
    </row>
    <row r="2189" spans="1:24" ht="12" customHeight="1">
      <c r="A2189" s="4">
        <v>3277</v>
      </c>
      <c r="B2189" s="4">
        <v>23426</v>
      </c>
      <c r="C2189" s="5">
        <f t="shared" si="1073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  <c r="V2189">
        <f t="shared" si="1069"/>
        <v>17</v>
      </c>
      <c r="W2189">
        <f t="shared" si="1067"/>
        <v>2</v>
      </c>
      <c r="X2189">
        <f t="shared" si="1068"/>
        <v>2011</v>
      </c>
    </row>
    <row r="2190" spans="1:24" ht="12" customHeight="1">
      <c r="A2190" s="4">
        <v>3311</v>
      </c>
      <c r="B2190" s="4">
        <v>23649</v>
      </c>
      <c r="C2190" s="5">
        <f t="shared" ref="C2190:C2191" si="1074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  <c r="V2190">
        <f t="shared" si="1069"/>
        <v>8</v>
      </c>
      <c r="W2190">
        <f t="shared" si="1067"/>
        <v>9</v>
      </c>
      <c r="X2190">
        <f t="shared" si="1068"/>
        <v>2012</v>
      </c>
    </row>
    <row r="2191" spans="1:24" ht="12" customHeight="1">
      <c r="A2191" s="4">
        <v>3312</v>
      </c>
      <c r="B2191" s="4">
        <v>23649</v>
      </c>
      <c r="C2191" s="5">
        <f t="shared" si="1074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  <c r="V2191">
        <f t="shared" si="1069"/>
        <v>6</v>
      </c>
      <c r="W2191">
        <f t="shared" si="1067"/>
        <v>9</v>
      </c>
      <c r="X2191">
        <f t="shared" si="1068"/>
        <v>2012</v>
      </c>
    </row>
    <row r="2192" spans="1:24" ht="12" customHeight="1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1075">C2192+2</f>
        <v>41133</v>
      </c>
      <c r="V2192">
        <f t="shared" si="1069"/>
        <v>12</v>
      </c>
      <c r="W2192">
        <f t="shared" si="1067"/>
        <v>8</v>
      </c>
      <c r="X2192">
        <f t="shared" si="1068"/>
        <v>2012</v>
      </c>
    </row>
    <row r="2193" spans="1:24" ht="12" customHeight="1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1075"/>
        <v>41224</v>
      </c>
      <c r="V2193">
        <f t="shared" si="1069"/>
        <v>11</v>
      </c>
      <c r="W2193">
        <f t="shared" si="1067"/>
        <v>11</v>
      </c>
      <c r="X2193">
        <f t="shared" si="1068"/>
        <v>2012</v>
      </c>
    </row>
    <row r="2194" spans="1:24" ht="12" customHeight="1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  <c r="V2194">
        <f t="shared" si="1069"/>
        <v>24</v>
      </c>
      <c r="W2194">
        <f t="shared" si="1067"/>
        <v>11</v>
      </c>
      <c r="X2194">
        <f t="shared" si="1068"/>
        <v>2009</v>
      </c>
    </row>
    <row r="2195" spans="1:24" ht="12" customHeight="1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  <c r="V2195">
        <f t="shared" si="1069"/>
        <v>24</v>
      </c>
      <c r="W2195">
        <f t="shared" si="1067"/>
        <v>1</v>
      </c>
      <c r="X2195">
        <f t="shared" si="1068"/>
        <v>2010</v>
      </c>
    </row>
    <row r="2196" spans="1:24" ht="12" customHeight="1">
      <c r="A2196" s="4">
        <v>3395</v>
      </c>
      <c r="B2196" s="4">
        <v>24196</v>
      </c>
      <c r="C2196" s="5">
        <f t="shared" ref="C2196:C2197" si="1076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  <c r="V2196">
        <f t="shared" si="1069"/>
        <v>31</v>
      </c>
      <c r="W2196">
        <f t="shared" si="1067"/>
        <v>7</v>
      </c>
      <c r="X2196">
        <f t="shared" si="1068"/>
        <v>2010</v>
      </c>
    </row>
    <row r="2197" spans="1:24" ht="12" customHeight="1">
      <c r="A2197" s="4">
        <v>3396</v>
      </c>
      <c r="B2197" s="4">
        <v>24196</v>
      </c>
      <c r="C2197" s="5">
        <f t="shared" si="1076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  <c r="V2197">
        <f t="shared" si="1069"/>
        <v>1</v>
      </c>
      <c r="W2197">
        <f t="shared" si="1067"/>
        <v>8</v>
      </c>
      <c r="X2197">
        <f t="shared" si="1068"/>
        <v>2010</v>
      </c>
    </row>
    <row r="2198" spans="1:24" ht="12" customHeight="1">
      <c r="A2198" s="4">
        <v>3397</v>
      </c>
      <c r="B2198" s="4">
        <v>24197</v>
      </c>
      <c r="C2198" s="5">
        <f t="shared" ref="C2198:C2199" si="1077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1078">C2198+7</f>
        <v>40219</v>
      </c>
      <c r="V2198">
        <f t="shared" si="1069"/>
        <v>10</v>
      </c>
      <c r="W2198">
        <f t="shared" si="1067"/>
        <v>2</v>
      </c>
      <c r="X2198">
        <f t="shared" si="1068"/>
        <v>2010</v>
      </c>
    </row>
    <row r="2199" spans="1:24" ht="12" customHeight="1">
      <c r="A2199" s="4">
        <v>3398</v>
      </c>
      <c r="B2199" s="4">
        <v>24197</v>
      </c>
      <c r="C2199" s="5">
        <f t="shared" si="1077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1078"/>
        <v>40219</v>
      </c>
      <c r="V2199">
        <f t="shared" si="1069"/>
        <v>10</v>
      </c>
      <c r="W2199">
        <f t="shared" si="1067"/>
        <v>2</v>
      </c>
      <c r="X2199">
        <f t="shared" si="1068"/>
        <v>2010</v>
      </c>
    </row>
    <row r="2200" spans="1:24" ht="12" customHeight="1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1079">C2200+1</f>
        <v>40706</v>
      </c>
      <c r="V2200">
        <f t="shared" si="1069"/>
        <v>12</v>
      </c>
      <c r="W2200">
        <f t="shared" si="1067"/>
        <v>6</v>
      </c>
      <c r="X2200">
        <f t="shared" si="1068"/>
        <v>2011</v>
      </c>
    </row>
    <row r="2201" spans="1:24" ht="12" customHeight="1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1079"/>
        <v>40995</v>
      </c>
      <c r="V2201">
        <f t="shared" si="1069"/>
        <v>27</v>
      </c>
      <c r="W2201">
        <f t="shared" si="1067"/>
        <v>3</v>
      </c>
      <c r="X2201">
        <f t="shared" si="1068"/>
        <v>2012</v>
      </c>
    </row>
    <row r="2202" spans="1:24" ht="12" customHeight="1">
      <c r="A2202" s="4">
        <v>3444</v>
      </c>
      <c r="B2202" s="4">
        <v>24579</v>
      </c>
      <c r="C2202" s="5">
        <f t="shared" ref="C2202:C2203" si="1080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1079"/>
        <v>41232</v>
      </c>
      <c r="V2202">
        <f t="shared" si="1069"/>
        <v>19</v>
      </c>
      <c r="W2202">
        <f t="shared" si="1067"/>
        <v>11</v>
      </c>
      <c r="X2202">
        <f t="shared" si="1068"/>
        <v>2012</v>
      </c>
    </row>
    <row r="2203" spans="1:24" ht="12" customHeight="1">
      <c r="A2203" s="4">
        <v>3445</v>
      </c>
      <c r="B2203" s="4">
        <v>24579</v>
      </c>
      <c r="C2203" s="5">
        <f t="shared" si="1080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  <c r="V2203">
        <f t="shared" si="1069"/>
        <v>20</v>
      </c>
      <c r="W2203">
        <f t="shared" si="1067"/>
        <v>11</v>
      </c>
      <c r="X2203">
        <f t="shared" si="1068"/>
        <v>2012</v>
      </c>
    </row>
    <row r="2204" spans="1:24" ht="12" customHeight="1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  <c r="V2204">
        <f t="shared" si="1069"/>
        <v>10</v>
      </c>
      <c r="W2204">
        <f t="shared" si="1067"/>
        <v>4</v>
      </c>
      <c r="X2204">
        <f t="shared" si="1068"/>
        <v>2010</v>
      </c>
    </row>
    <row r="2205" spans="1:24" ht="12" customHeight="1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  <c r="V2205">
        <f t="shared" si="1069"/>
        <v>4</v>
      </c>
      <c r="W2205">
        <f t="shared" si="1067"/>
        <v>10</v>
      </c>
      <c r="X2205">
        <f t="shared" si="1068"/>
        <v>2010</v>
      </c>
    </row>
    <row r="2206" spans="1:24" ht="12" customHeight="1">
      <c r="A2206" s="4">
        <v>3500</v>
      </c>
      <c r="B2206" s="4">
        <v>24960</v>
      </c>
      <c r="C2206" s="5">
        <f t="shared" ref="C2206:C2209" si="1081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1082">C2206+1</f>
        <v>40571</v>
      </c>
      <c r="V2206">
        <f t="shared" si="1069"/>
        <v>28</v>
      </c>
      <c r="W2206">
        <f t="shared" si="1067"/>
        <v>1</v>
      </c>
      <c r="X2206">
        <f t="shared" si="1068"/>
        <v>2011</v>
      </c>
    </row>
    <row r="2207" spans="1:24" ht="12" customHeight="1">
      <c r="A2207" s="4">
        <v>3501</v>
      </c>
      <c r="B2207" s="4">
        <v>24960</v>
      </c>
      <c r="C2207" s="5">
        <f t="shared" si="1081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1082"/>
        <v>40571</v>
      </c>
      <c r="V2207">
        <f t="shared" si="1069"/>
        <v>28</v>
      </c>
      <c r="W2207">
        <f t="shared" si="1067"/>
        <v>1</v>
      </c>
      <c r="X2207">
        <f t="shared" si="1068"/>
        <v>2011</v>
      </c>
    </row>
    <row r="2208" spans="1:24" ht="12" customHeight="1">
      <c r="A2208" s="4">
        <v>3502</v>
      </c>
      <c r="B2208" s="4">
        <v>24960</v>
      </c>
      <c r="C2208" s="5">
        <f t="shared" si="1081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  <c r="V2208">
        <f t="shared" si="1069"/>
        <v>29</v>
      </c>
      <c r="W2208">
        <f t="shared" si="1067"/>
        <v>1</v>
      </c>
      <c r="X2208">
        <f t="shared" si="1068"/>
        <v>2011</v>
      </c>
    </row>
    <row r="2209" spans="1:24" ht="12" customHeight="1">
      <c r="A2209" s="4">
        <v>3503</v>
      </c>
      <c r="B2209" s="4">
        <v>24960</v>
      </c>
      <c r="C2209" s="5">
        <f t="shared" si="1081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  <c r="V2209">
        <f t="shared" si="1069"/>
        <v>28</v>
      </c>
      <c r="W2209">
        <f t="shared" si="1067"/>
        <v>1</v>
      </c>
      <c r="X2209">
        <f t="shared" si="1068"/>
        <v>2011</v>
      </c>
    </row>
    <row r="2210" spans="1:24" ht="12" customHeight="1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  <c r="V2210">
        <f t="shared" si="1069"/>
        <v>20</v>
      </c>
      <c r="W2210">
        <f t="shared" si="1067"/>
        <v>12</v>
      </c>
      <c r="X2210">
        <f t="shared" si="1068"/>
        <v>2011</v>
      </c>
    </row>
    <row r="2211" spans="1:24" ht="12" customHeight="1">
      <c r="A2211" s="4">
        <v>3527</v>
      </c>
      <c r="B2211" s="4">
        <v>25095</v>
      </c>
      <c r="C2211" s="5">
        <f t="shared" ref="C2211:C2212" si="1083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  <c r="V2211">
        <f t="shared" si="1069"/>
        <v>30</v>
      </c>
      <c r="W2211">
        <f t="shared" si="1067"/>
        <v>1</v>
      </c>
      <c r="X2211">
        <f t="shared" si="1068"/>
        <v>2011</v>
      </c>
    </row>
    <row r="2212" spans="1:24" ht="12" customHeight="1">
      <c r="A2212" s="4">
        <v>3528</v>
      </c>
      <c r="B2212" s="4">
        <v>25095</v>
      </c>
      <c r="C2212" s="5">
        <f t="shared" si="1083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  <c r="V2212">
        <f t="shared" si="1069"/>
        <v>25</v>
      </c>
      <c r="W2212">
        <f t="shared" si="1067"/>
        <v>1</v>
      </c>
      <c r="X2212">
        <f t="shared" si="1068"/>
        <v>2011</v>
      </c>
    </row>
    <row r="2213" spans="1:24" ht="12" customHeight="1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  <c r="V2213">
        <f t="shared" si="1069"/>
        <v>19</v>
      </c>
      <c r="W2213">
        <f t="shared" si="1067"/>
        <v>9</v>
      </c>
      <c r="X2213">
        <f t="shared" si="1068"/>
        <v>2010</v>
      </c>
    </row>
    <row r="2214" spans="1:24" ht="12" customHeight="1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  <c r="V2214">
        <f t="shared" si="1069"/>
        <v>30</v>
      </c>
      <c r="W2214">
        <f t="shared" si="1067"/>
        <v>12</v>
      </c>
      <c r="X2214">
        <f t="shared" si="1068"/>
        <v>2012</v>
      </c>
    </row>
    <row r="2215" spans="1:24" ht="12" customHeight="1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1084">C2215+2</f>
        <v>41101</v>
      </c>
      <c r="V2215">
        <f t="shared" si="1069"/>
        <v>11</v>
      </c>
      <c r="W2215">
        <f t="shared" si="1067"/>
        <v>7</v>
      </c>
      <c r="X2215">
        <f t="shared" si="1068"/>
        <v>2012</v>
      </c>
    </row>
    <row r="2216" spans="1:24" ht="12" customHeight="1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1084"/>
        <v>40657</v>
      </c>
      <c r="V2216">
        <f t="shared" si="1069"/>
        <v>24</v>
      </c>
      <c r="W2216">
        <f t="shared" si="1067"/>
        <v>4</v>
      </c>
      <c r="X2216">
        <f t="shared" si="1068"/>
        <v>2011</v>
      </c>
    </row>
    <row r="2217" spans="1:24" ht="12" customHeight="1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  <c r="V2217">
        <f t="shared" si="1069"/>
        <v>20</v>
      </c>
      <c r="W2217">
        <f t="shared" si="1067"/>
        <v>4</v>
      </c>
      <c r="X2217">
        <f t="shared" si="1068"/>
        <v>2012</v>
      </c>
    </row>
    <row r="2218" spans="1:24" ht="12" customHeight="1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  <c r="V2218">
        <f t="shared" si="1069"/>
        <v>17</v>
      </c>
      <c r="W2218">
        <f t="shared" si="1067"/>
        <v>6</v>
      </c>
      <c r="X2218">
        <f t="shared" si="1068"/>
        <v>2011</v>
      </c>
    </row>
    <row r="2219" spans="1:24" ht="12" customHeight="1">
      <c r="A2219" s="4">
        <v>3651</v>
      </c>
      <c r="B2219" s="4">
        <v>26145</v>
      </c>
      <c r="C2219" s="5">
        <f t="shared" ref="C2219:C2221" si="1085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  <c r="V2219">
        <f t="shared" si="1069"/>
        <v>8</v>
      </c>
      <c r="W2219">
        <f t="shared" si="1067"/>
        <v>7</v>
      </c>
      <c r="X2219">
        <f t="shared" si="1068"/>
        <v>2011</v>
      </c>
    </row>
    <row r="2220" spans="1:24" ht="12" customHeight="1">
      <c r="A2220" s="4">
        <v>3652</v>
      </c>
      <c r="B2220" s="4">
        <v>26145</v>
      </c>
      <c r="C2220" s="5">
        <f t="shared" si="1085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  <c r="V2220">
        <f t="shared" si="1069"/>
        <v>4</v>
      </c>
      <c r="W2220">
        <f t="shared" si="1067"/>
        <v>7</v>
      </c>
      <c r="X2220">
        <f t="shared" si="1068"/>
        <v>2011</v>
      </c>
    </row>
    <row r="2221" spans="1:24" ht="12" customHeight="1">
      <c r="A2221" s="4">
        <v>3653</v>
      </c>
      <c r="B2221" s="4">
        <v>26145</v>
      </c>
      <c r="C2221" s="5">
        <f t="shared" si="1085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1086">C2221+2</f>
        <v>40730</v>
      </c>
      <c r="V2221">
        <f t="shared" si="1069"/>
        <v>6</v>
      </c>
      <c r="W2221">
        <f t="shared" si="1067"/>
        <v>7</v>
      </c>
      <c r="X2221">
        <f t="shared" si="1068"/>
        <v>2011</v>
      </c>
    </row>
    <row r="2222" spans="1:24" ht="12" customHeight="1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1086"/>
        <v>40026</v>
      </c>
      <c r="V2222">
        <f t="shared" si="1069"/>
        <v>1</v>
      </c>
      <c r="W2222">
        <f t="shared" si="1067"/>
        <v>8</v>
      </c>
      <c r="X2222">
        <f t="shared" si="1068"/>
        <v>2009</v>
      </c>
    </row>
    <row r="2223" spans="1:24" ht="12" customHeight="1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  <c r="V2223">
        <f t="shared" si="1069"/>
        <v>15</v>
      </c>
      <c r="W2223">
        <f t="shared" si="1067"/>
        <v>4</v>
      </c>
      <c r="X2223">
        <f t="shared" si="1068"/>
        <v>2011</v>
      </c>
    </row>
    <row r="2224" spans="1:24" ht="12" customHeight="1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  <c r="V2224">
        <f t="shared" si="1069"/>
        <v>22</v>
      </c>
      <c r="W2224">
        <f t="shared" si="1067"/>
        <v>3</v>
      </c>
      <c r="X2224">
        <f t="shared" si="1068"/>
        <v>2012</v>
      </c>
    </row>
    <row r="2225" spans="1:24" ht="12" customHeight="1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1087">C2225+1</f>
        <v>41263</v>
      </c>
      <c r="V2225">
        <f t="shared" si="1069"/>
        <v>20</v>
      </c>
      <c r="W2225">
        <f t="shared" si="1067"/>
        <v>12</v>
      </c>
      <c r="X2225">
        <f t="shared" si="1068"/>
        <v>2012</v>
      </c>
    </row>
    <row r="2226" spans="1:24" ht="12" customHeight="1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1087"/>
        <v>39888</v>
      </c>
      <c r="V2226">
        <f t="shared" si="1069"/>
        <v>16</v>
      </c>
      <c r="W2226">
        <f t="shared" si="1067"/>
        <v>3</v>
      </c>
      <c r="X2226">
        <f t="shared" si="1068"/>
        <v>2009</v>
      </c>
    </row>
    <row r="2227" spans="1:24" ht="12" customHeight="1">
      <c r="A2227" s="4">
        <v>3794</v>
      </c>
      <c r="B2227" s="4">
        <v>27047</v>
      </c>
      <c r="C2227" s="5">
        <f t="shared" ref="C2227:C2228" si="1088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1087"/>
        <v>40505</v>
      </c>
      <c r="V2227">
        <f t="shared" si="1069"/>
        <v>23</v>
      </c>
      <c r="W2227">
        <f t="shared" si="1067"/>
        <v>11</v>
      </c>
      <c r="X2227">
        <f t="shared" si="1068"/>
        <v>2010</v>
      </c>
    </row>
    <row r="2228" spans="1:24" ht="12" customHeight="1">
      <c r="A2228" s="4">
        <v>3795</v>
      </c>
      <c r="B2228" s="4">
        <v>27047</v>
      </c>
      <c r="C2228" s="5">
        <f t="shared" si="1088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1087"/>
        <v>40505</v>
      </c>
      <c r="V2228">
        <f t="shared" si="1069"/>
        <v>23</v>
      </c>
      <c r="W2228">
        <f t="shared" si="1067"/>
        <v>11</v>
      </c>
      <c r="X2228">
        <f t="shared" si="1068"/>
        <v>2010</v>
      </c>
    </row>
    <row r="2229" spans="1:24" ht="12" customHeight="1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  <c r="V2229">
        <f t="shared" si="1069"/>
        <v>17</v>
      </c>
      <c r="W2229">
        <f t="shared" si="1067"/>
        <v>3</v>
      </c>
      <c r="X2229">
        <f t="shared" si="1068"/>
        <v>2010</v>
      </c>
    </row>
    <row r="2230" spans="1:24" ht="12" customHeight="1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  <c r="V2230">
        <f t="shared" si="1069"/>
        <v>3</v>
      </c>
      <c r="W2230">
        <f t="shared" si="1067"/>
        <v>3</v>
      </c>
      <c r="X2230">
        <f t="shared" si="1068"/>
        <v>2010</v>
      </c>
    </row>
    <row r="2231" spans="1:24" ht="12" customHeight="1">
      <c r="A2231" s="4">
        <v>3867</v>
      </c>
      <c r="B2231" s="4">
        <v>27589</v>
      </c>
      <c r="C2231" s="5">
        <f t="shared" ref="C2231:C2233" si="1089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  <c r="V2231">
        <f t="shared" si="1069"/>
        <v>17</v>
      </c>
      <c r="W2231">
        <f t="shared" si="1067"/>
        <v>9</v>
      </c>
      <c r="X2231">
        <f t="shared" si="1068"/>
        <v>2011</v>
      </c>
    </row>
    <row r="2232" spans="1:24" ht="12" customHeight="1">
      <c r="A2232" s="4">
        <v>3868</v>
      </c>
      <c r="B2232" s="4">
        <v>27589</v>
      </c>
      <c r="C2232" s="5">
        <f t="shared" si="1089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1090">C2232+1</f>
        <v>40802</v>
      </c>
      <c r="V2232">
        <f t="shared" si="1069"/>
        <v>16</v>
      </c>
      <c r="W2232">
        <f t="shared" si="1067"/>
        <v>9</v>
      </c>
      <c r="X2232">
        <f t="shared" si="1068"/>
        <v>2011</v>
      </c>
    </row>
    <row r="2233" spans="1:24" ht="12" customHeight="1">
      <c r="A2233" s="4">
        <v>3869</v>
      </c>
      <c r="B2233" s="4">
        <v>27589</v>
      </c>
      <c r="C2233" s="5">
        <f t="shared" si="1089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1090"/>
        <v>40802</v>
      </c>
      <c r="V2233">
        <f t="shared" si="1069"/>
        <v>16</v>
      </c>
      <c r="W2233">
        <f t="shared" si="1067"/>
        <v>9</v>
      </c>
      <c r="X2233">
        <f t="shared" si="1068"/>
        <v>2011</v>
      </c>
    </row>
    <row r="2234" spans="1:24" ht="12" customHeight="1">
      <c r="A2234" s="4">
        <v>3875</v>
      </c>
      <c r="B2234" s="4">
        <v>27681</v>
      </c>
      <c r="C2234" s="5">
        <f t="shared" ref="C2234:C2235" si="1091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1090"/>
        <v>40507</v>
      </c>
      <c r="V2234">
        <f t="shared" si="1069"/>
        <v>25</v>
      </c>
      <c r="W2234">
        <f t="shared" si="1067"/>
        <v>11</v>
      </c>
      <c r="X2234">
        <f t="shared" si="1068"/>
        <v>2010</v>
      </c>
    </row>
    <row r="2235" spans="1:24" ht="12" customHeight="1">
      <c r="A2235" s="4">
        <v>3876</v>
      </c>
      <c r="B2235" s="4">
        <v>27681</v>
      </c>
      <c r="C2235" s="5">
        <f t="shared" si="1091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1092">C2235+2</f>
        <v>40508</v>
      </c>
      <c r="V2235">
        <f t="shared" si="1069"/>
        <v>26</v>
      </c>
      <c r="W2235">
        <f t="shared" si="1067"/>
        <v>11</v>
      </c>
      <c r="X2235">
        <f t="shared" si="1068"/>
        <v>2010</v>
      </c>
    </row>
    <row r="2236" spans="1:24" ht="12" customHeight="1">
      <c r="A2236" s="4">
        <v>3933</v>
      </c>
      <c r="B2236" s="4">
        <v>28033</v>
      </c>
      <c r="C2236" s="5">
        <f t="shared" ref="C2236:C2238" si="1093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1092"/>
        <v>40437</v>
      </c>
      <c r="V2236">
        <f t="shared" si="1069"/>
        <v>16</v>
      </c>
      <c r="W2236">
        <f t="shared" si="1067"/>
        <v>9</v>
      </c>
      <c r="X2236">
        <f t="shared" si="1068"/>
        <v>2010</v>
      </c>
    </row>
    <row r="2237" spans="1:24" ht="12" customHeight="1">
      <c r="A2237" s="4">
        <v>3934</v>
      </c>
      <c r="B2237" s="4">
        <v>28033</v>
      </c>
      <c r="C2237" s="5">
        <f t="shared" si="1093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1092"/>
        <v>40437</v>
      </c>
      <c r="V2237">
        <f t="shared" si="1069"/>
        <v>16</v>
      </c>
      <c r="W2237">
        <f t="shared" si="1067"/>
        <v>9</v>
      </c>
      <c r="X2237">
        <f t="shared" si="1068"/>
        <v>2010</v>
      </c>
    </row>
    <row r="2238" spans="1:24" ht="12" customHeight="1">
      <c r="A2238" s="4">
        <v>3935</v>
      </c>
      <c r="B2238" s="4">
        <v>28033</v>
      </c>
      <c r="C2238" s="5">
        <f t="shared" si="1093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  <c r="V2238">
        <f t="shared" si="1069"/>
        <v>17</v>
      </c>
      <c r="W2238">
        <f t="shared" si="1067"/>
        <v>9</v>
      </c>
      <c r="X2238">
        <f t="shared" si="1068"/>
        <v>2010</v>
      </c>
    </row>
    <row r="2239" spans="1:24" ht="12" customHeight="1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1094">C2239+2</f>
        <v>40764</v>
      </c>
      <c r="V2239">
        <f t="shared" si="1069"/>
        <v>9</v>
      </c>
      <c r="W2239">
        <f t="shared" si="1067"/>
        <v>8</v>
      </c>
      <c r="X2239">
        <f t="shared" si="1068"/>
        <v>2011</v>
      </c>
    </row>
    <row r="2240" spans="1:24" ht="12" customHeight="1">
      <c r="A2240" s="4">
        <v>4035</v>
      </c>
      <c r="B2240" s="4">
        <v>28805</v>
      </c>
      <c r="C2240" s="5">
        <f t="shared" ref="C2240:C2242" si="1095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1094"/>
        <v>40637</v>
      </c>
      <c r="V2240">
        <f t="shared" si="1069"/>
        <v>4</v>
      </c>
      <c r="W2240">
        <f t="shared" si="1067"/>
        <v>4</v>
      </c>
      <c r="X2240">
        <f t="shared" si="1068"/>
        <v>2011</v>
      </c>
    </row>
    <row r="2241" spans="1:24" ht="12" customHeight="1">
      <c r="A2241" s="4">
        <v>4036</v>
      </c>
      <c r="B2241" s="4">
        <v>28805</v>
      </c>
      <c r="C2241" s="5">
        <f t="shared" si="1095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1094"/>
        <v>40637</v>
      </c>
      <c r="V2241">
        <f t="shared" si="1069"/>
        <v>4</v>
      </c>
      <c r="W2241">
        <f t="shared" si="1067"/>
        <v>4</v>
      </c>
      <c r="X2241">
        <f t="shared" si="1068"/>
        <v>2011</v>
      </c>
    </row>
    <row r="2242" spans="1:24" ht="12" customHeight="1">
      <c r="A2242" s="4">
        <v>4037</v>
      </c>
      <c r="B2242" s="4">
        <v>28805</v>
      </c>
      <c r="C2242" s="5">
        <f t="shared" si="1095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1094"/>
        <v>40637</v>
      </c>
      <c r="V2242">
        <f t="shared" si="1069"/>
        <v>4</v>
      </c>
      <c r="W2242">
        <f t="shared" si="1067"/>
        <v>4</v>
      </c>
      <c r="X2242">
        <f t="shared" si="1068"/>
        <v>2011</v>
      </c>
    </row>
    <row r="2243" spans="1:24" ht="12" customHeight="1">
      <c r="A2243" s="4">
        <v>4052</v>
      </c>
      <c r="B2243" s="4">
        <v>28897</v>
      </c>
      <c r="C2243" s="5">
        <f t="shared" ref="C2243:C2244" si="1096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1094"/>
        <v>40051</v>
      </c>
      <c r="V2243">
        <f t="shared" si="1069"/>
        <v>26</v>
      </c>
      <c r="W2243">
        <f t="shared" ref="W2243:W2306" si="1097">MONTH(U2243)</f>
        <v>8</v>
      </c>
      <c r="X2243">
        <f t="shared" ref="X2243:X2306" si="1098">YEAR(U2243)</f>
        <v>2009</v>
      </c>
    </row>
    <row r="2244" spans="1:24" ht="12" customHeight="1">
      <c r="A2244" s="4">
        <v>4053</v>
      </c>
      <c r="B2244" s="4">
        <v>28897</v>
      </c>
      <c r="C2244" s="5">
        <f t="shared" si="1096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1094"/>
        <v>40051</v>
      </c>
      <c r="V2244">
        <f t="shared" ref="V2244:V2307" si="1099">DAY(U2244)</f>
        <v>26</v>
      </c>
      <c r="W2244">
        <f t="shared" si="1097"/>
        <v>8</v>
      </c>
      <c r="X2244">
        <f t="shared" si="1098"/>
        <v>2009</v>
      </c>
    </row>
    <row r="2245" spans="1:24" ht="12" customHeight="1">
      <c r="A2245" s="4">
        <v>4062</v>
      </c>
      <c r="B2245" s="4">
        <v>28932</v>
      </c>
      <c r="C2245" s="5">
        <f t="shared" ref="C2245:C2246" si="1100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  <c r="V2245">
        <f t="shared" si="1099"/>
        <v>21</v>
      </c>
      <c r="W2245">
        <f t="shared" si="1097"/>
        <v>7</v>
      </c>
      <c r="X2245">
        <f t="shared" si="1098"/>
        <v>2010</v>
      </c>
    </row>
    <row r="2246" spans="1:24" ht="12" customHeight="1">
      <c r="A2246" s="4">
        <v>4063</v>
      </c>
      <c r="B2246" s="4">
        <v>28932</v>
      </c>
      <c r="C2246" s="5">
        <f t="shared" si="1100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  <c r="V2246">
        <f t="shared" si="1099"/>
        <v>28</v>
      </c>
      <c r="W2246">
        <f t="shared" si="1097"/>
        <v>7</v>
      </c>
      <c r="X2246">
        <f t="shared" si="1098"/>
        <v>2010</v>
      </c>
    </row>
    <row r="2247" spans="1:24" ht="12" customHeight="1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  <c r="V2247">
        <f t="shared" si="1099"/>
        <v>11</v>
      </c>
      <c r="W2247">
        <f t="shared" si="1097"/>
        <v>4</v>
      </c>
      <c r="X2247">
        <f t="shared" si="1098"/>
        <v>2009</v>
      </c>
    </row>
    <row r="2248" spans="1:24" ht="12" customHeight="1">
      <c r="A2248" s="4">
        <v>4145</v>
      </c>
      <c r="B2248" s="4">
        <v>29410</v>
      </c>
      <c r="C2248" s="5">
        <f t="shared" ref="C2248:C2249" si="1101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  <c r="V2248">
        <f t="shared" si="1099"/>
        <v>17</v>
      </c>
      <c r="W2248">
        <f t="shared" si="1097"/>
        <v>9</v>
      </c>
      <c r="X2248">
        <f t="shared" si="1098"/>
        <v>2009</v>
      </c>
    </row>
    <row r="2249" spans="1:24" ht="12" customHeight="1">
      <c r="A2249" s="4">
        <v>4146</v>
      </c>
      <c r="B2249" s="4">
        <v>29410</v>
      </c>
      <c r="C2249" s="5">
        <f t="shared" si="1101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  <c r="V2249">
        <f t="shared" si="1099"/>
        <v>19</v>
      </c>
      <c r="W2249">
        <f t="shared" si="1097"/>
        <v>9</v>
      </c>
      <c r="X2249">
        <f t="shared" si="1098"/>
        <v>2009</v>
      </c>
    </row>
    <row r="2250" spans="1:24" ht="12" customHeight="1">
      <c r="A2250" s="4">
        <v>4147</v>
      </c>
      <c r="B2250" s="4">
        <v>29411</v>
      </c>
      <c r="C2250" s="5">
        <f t="shared" ref="C2250:C2253" si="1102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1103">C2250+1</f>
        <v>41006</v>
      </c>
      <c r="V2250">
        <f t="shared" si="1099"/>
        <v>7</v>
      </c>
      <c r="W2250">
        <f t="shared" si="1097"/>
        <v>4</v>
      </c>
      <c r="X2250">
        <f t="shared" si="1098"/>
        <v>2012</v>
      </c>
    </row>
    <row r="2251" spans="1:24" ht="12" customHeight="1">
      <c r="A2251" s="4">
        <v>4148</v>
      </c>
      <c r="B2251" s="4">
        <v>29411</v>
      </c>
      <c r="C2251" s="5">
        <f t="shared" si="1102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1103"/>
        <v>41006</v>
      </c>
      <c r="V2251">
        <f t="shared" si="1099"/>
        <v>7</v>
      </c>
      <c r="W2251">
        <f t="shared" si="1097"/>
        <v>4</v>
      </c>
      <c r="X2251">
        <f t="shared" si="1098"/>
        <v>2012</v>
      </c>
    </row>
    <row r="2252" spans="1:24" ht="12" customHeight="1">
      <c r="A2252" s="4">
        <v>4149</v>
      </c>
      <c r="B2252" s="4">
        <v>29411</v>
      </c>
      <c r="C2252" s="5">
        <f t="shared" si="1102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1104">C2252+0</f>
        <v>41005</v>
      </c>
      <c r="V2252">
        <f t="shared" si="1099"/>
        <v>6</v>
      </c>
      <c r="W2252">
        <f t="shared" si="1097"/>
        <v>4</v>
      </c>
      <c r="X2252">
        <f t="shared" si="1098"/>
        <v>2012</v>
      </c>
    </row>
    <row r="2253" spans="1:24" ht="12" customHeight="1">
      <c r="A2253" s="4">
        <v>4150</v>
      </c>
      <c r="B2253" s="4">
        <v>29411</v>
      </c>
      <c r="C2253" s="5">
        <f t="shared" si="1102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1104"/>
        <v>41005</v>
      </c>
      <c r="V2253">
        <f t="shared" si="1099"/>
        <v>6</v>
      </c>
      <c r="W2253">
        <f t="shared" si="1097"/>
        <v>4</v>
      </c>
      <c r="X2253">
        <f t="shared" si="1098"/>
        <v>2012</v>
      </c>
    </row>
    <row r="2254" spans="1:24" ht="12" customHeight="1">
      <c r="A2254" s="4">
        <v>4154</v>
      </c>
      <c r="B2254" s="4">
        <v>29475</v>
      </c>
      <c r="C2254" s="5">
        <f t="shared" ref="C2254:C2255" si="1105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  <c r="V2254">
        <f t="shared" si="1099"/>
        <v>24</v>
      </c>
      <c r="W2254">
        <f t="shared" si="1097"/>
        <v>2</v>
      </c>
      <c r="X2254">
        <f t="shared" si="1098"/>
        <v>2010</v>
      </c>
    </row>
    <row r="2255" spans="1:24" ht="12" customHeight="1">
      <c r="A2255" s="4">
        <v>4155</v>
      </c>
      <c r="B2255" s="4">
        <v>29475</v>
      </c>
      <c r="C2255" s="5">
        <f t="shared" si="1105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  <c r="V2255">
        <f t="shared" si="1099"/>
        <v>25</v>
      </c>
      <c r="W2255">
        <f t="shared" si="1097"/>
        <v>2</v>
      </c>
      <c r="X2255">
        <f t="shared" si="1098"/>
        <v>2010</v>
      </c>
    </row>
    <row r="2256" spans="1:24" ht="12" customHeight="1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  <c r="V2256">
        <f t="shared" si="1099"/>
        <v>28</v>
      </c>
      <c r="W2256">
        <f t="shared" si="1097"/>
        <v>9</v>
      </c>
      <c r="X2256">
        <f t="shared" si="1098"/>
        <v>2012</v>
      </c>
    </row>
    <row r="2257" spans="1:24" ht="12" customHeight="1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1106">C2257+1</f>
        <v>40260</v>
      </c>
      <c r="V2257">
        <f t="shared" si="1099"/>
        <v>23</v>
      </c>
      <c r="W2257">
        <f t="shared" si="1097"/>
        <v>3</v>
      </c>
      <c r="X2257">
        <f t="shared" si="1098"/>
        <v>2010</v>
      </c>
    </row>
    <row r="2258" spans="1:24" ht="12" customHeight="1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1106"/>
        <v>40472</v>
      </c>
      <c r="V2258">
        <f t="shared" si="1099"/>
        <v>21</v>
      </c>
      <c r="W2258">
        <f t="shared" si="1097"/>
        <v>10</v>
      </c>
      <c r="X2258">
        <f t="shared" si="1098"/>
        <v>2010</v>
      </c>
    </row>
    <row r="2259" spans="1:24" ht="12" customHeight="1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1106"/>
        <v>40259</v>
      </c>
      <c r="V2259">
        <f t="shared" si="1099"/>
        <v>22</v>
      </c>
      <c r="W2259">
        <f t="shared" si="1097"/>
        <v>3</v>
      </c>
      <c r="X2259">
        <f t="shared" si="1098"/>
        <v>2010</v>
      </c>
    </row>
    <row r="2260" spans="1:24" ht="12" customHeight="1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  <c r="V2260">
        <f t="shared" si="1099"/>
        <v>12</v>
      </c>
      <c r="W2260">
        <f t="shared" si="1097"/>
        <v>7</v>
      </c>
      <c r="X2260">
        <f t="shared" si="1098"/>
        <v>2012</v>
      </c>
    </row>
    <row r="2261" spans="1:24" ht="12" customHeight="1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1107">C2261+1</f>
        <v>40643</v>
      </c>
      <c r="V2261">
        <f t="shared" si="1099"/>
        <v>10</v>
      </c>
      <c r="W2261">
        <f t="shared" si="1097"/>
        <v>4</v>
      </c>
      <c r="X2261">
        <f t="shared" si="1098"/>
        <v>2011</v>
      </c>
    </row>
    <row r="2262" spans="1:24" ht="12" customHeight="1">
      <c r="A2262" s="4">
        <v>4357</v>
      </c>
      <c r="B2262" s="4">
        <v>31046</v>
      </c>
      <c r="C2262" s="5">
        <f t="shared" ref="C2262:C2263" si="1108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1107"/>
        <v>40582</v>
      </c>
      <c r="V2262">
        <f t="shared" si="1099"/>
        <v>8</v>
      </c>
      <c r="W2262">
        <f t="shared" si="1097"/>
        <v>2</v>
      </c>
      <c r="X2262">
        <f t="shared" si="1098"/>
        <v>2011</v>
      </c>
    </row>
    <row r="2263" spans="1:24" ht="12" customHeight="1">
      <c r="A2263" s="4">
        <v>4358</v>
      </c>
      <c r="B2263" s="4">
        <v>31046</v>
      </c>
      <c r="C2263" s="5">
        <f t="shared" si="1108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  <c r="V2263">
        <f t="shared" si="1099"/>
        <v>10</v>
      </c>
      <c r="W2263">
        <f t="shared" si="1097"/>
        <v>2</v>
      </c>
      <c r="X2263">
        <f t="shared" si="1098"/>
        <v>2011</v>
      </c>
    </row>
    <row r="2264" spans="1:24" ht="12" customHeight="1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  <c r="V2264">
        <f t="shared" si="1099"/>
        <v>20</v>
      </c>
      <c r="W2264">
        <f t="shared" si="1097"/>
        <v>10</v>
      </c>
      <c r="X2264">
        <f t="shared" si="1098"/>
        <v>2010</v>
      </c>
    </row>
    <row r="2265" spans="1:24" ht="12" customHeight="1">
      <c r="A2265" s="4">
        <v>4415</v>
      </c>
      <c r="B2265" s="4">
        <v>31495</v>
      </c>
      <c r="C2265" s="5">
        <f t="shared" ref="C2265:C2266" si="1109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  <c r="V2265">
        <f t="shared" si="1099"/>
        <v>8</v>
      </c>
      <c r="W2265">
        <f t="shared" si="1097"/>
        <v>8</v>
      </c>
      <c r="X2265">
        <f t="shared" si="1098"/>
        <v>2010</v>
      </c>
    </row>
    <row r="2266" spans="1:24" ht="12" customHeight="1">
      <c r="A2266" s="4">
        <v>4416</v>
      </c>
      <c r="B2266" s="4">
        <v>31495</v>
      </c>
      <c r="C2266" s="5">
        <f t="shared" si="1109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  <c r="V2266">
        <f t="shared" si="1099"/>
        <v>11</v>
      </c>
      <c r="W2266">
        <f t="shared" si="1097"/>
        <v>8</v>
      </c>
      <c r="X2266">
        <f t="shared" si="1098"/>
        <v>2010</v>
      </c>
    </row>
    <row r="2267" spans="1:24" ht="12" customHeight="1">
      <c r="A2267" s="4">
        <v>4420</v>
      </c>
      <c r="B2267" s="4">
        <v>31523</v>
      </c>
      <c r="C2267" s="5">
        <f t="shared" ref="C2267:C2268" si="1110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  <c r="V2267">
        <f t="shared" si="1099"/>
        <v>10</v>
      </c>
      <c r="W2267">
        <f t="shared" si="1097"/>
        <v>3</v>
      </c>
      <c r="X2267">
        <f t="shared" si="1098"/>
        <v>2012</v>
      </c>
    </row>
    <row r="2268" spans="1:24" ht="12" customHeight="1">
      <c r="A2268" s="4">
        <v>4421</v>
      </c>
      <c r="B2268" s="4">
        <v>31523</v>
      </c>
      <c r="C2268" s="5">
        <f t="shared" si="1110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  <c r="V2268">
        <f t="shared" si="1099"/>
        <v>13</v>
      </c>
      <c r="W2268">
        <f t="shared" si="1097"/>
        <v>3</v>
      </c>
      <c r="X2268">
        <f t="shared" si="1098"/>
        <v>2012</v>
      </c>
    </row>
    <row r="2269" spans="1:24" ht="12" customHeight="1">
      <c r="A2269" s="4">
        <v>4423</v>
      </c>
      <c r="B2269" s="4">
        <v>31552</v>
      </c>
      <c r="C2269" s="5">
        <f t="shared" ref="C2269:C2270" si="1111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  <c r="V2269">
        <f t="shared" si="1099"/>
        <v>14</v>
      </c>
      <c r="W2269">
        <f t="shared" si="1097"/>
        <v>11</v>
      </c>
      <c r="X2269">
        <f t="shared" si="1098"/>
        <v>2012</v>
      </c>
    </row>
    <row r="2270" spans="1:24" ht="12" customHeight="1">
      <c r="A2270" s="4">
        <v>4424</v>
      </c>
      <c r="B2270" s="4">
        <v>31552</v>
      </c>
      <c r="C2270" s="5">
        <f t="shared" si="1111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  <c r="V2270">
        <f t="shared" si="1099"/>
        <v>12</v>
      </c>
      <c r="W2270">
        <f t="shared" si="1097"/>
        <v>11</v>
      </c>
      <c r="X2270">
        <f t="shared" si="1098"/>
        <v>2012</v>
      </c>
    </row>
    <row r="2271" spans="1:24" ht="12" customHeight="1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  <c r="V2271">
        <f t="shared" si="1099"/>
        <v>29</v>
      </c>
      <c r="W2271">
        <f t="shared" si="1097"/>
        <v>6</v>
      </c>
      <c r="X2271">
        <f t="shared" si="1098"/>
        <v>2009</v>
      </c>
    </row>
    <row r="2272" spans="1:24" ht="12" customHeight="1">
      <c r="A2272" s="4">
        <v>4501</v>
      </c>
      <c r="B2272" s="4">
        <v>32037</v>
      </c>
      <c r="C2272" s="5">
        <f t="shared" ref="C2272:C2273" si="1112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  <c r="V2272">
        <f t="shared" si="1099"/>
        <v>23</v>
      </c>
      <c r="W2272">
        <f t="shared" si="1097"/>
        <v>2</v>
      </c>
      <c r="X2272">
        <f t="shared" si="1098"/>
        <v>2009</v>
      </c>
    </row>
    <row r="2273" spans="1:24" ht="12" customHeight="1">
      <c r="A2273" s="4">
        <v>4502</v>
      </c>
      <c r="B2273" s="4">
        <v>32037</v>
      </c>
      <c r="C2273" s="5">
        <f t="shared" si="1112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  <c r="V2273">
        <f t="shared" si="1099"/>
        <v>20</v>
      </c>
      <c r="W2273">
        <f t="shared" si="1097"/>
        <v>2</v>
      </c>
      <c r="X2273">
        <f t="shared" si="1098"/>
        <v>2009</v>
      </c>
    </row>
    <row r="2274" spans="1:24" ht="12" customHeight="1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113">C2274+2</f>
        <v>40541</v>
      </c>
      <c r="V2274">
        <f t="shared" si="1099"/>
        <v>29</v>
      </c>
      <c r="W2274">
        <f t="shared" si="1097"/>
        <v>12</v>
      </c>
      <c r="X2274">
        <f t="shared" si="1098"/>
        <v>2010</v>
      </c>
    </row>
    <row r="2275" spans="1:24" ht="12" customHeight="1">
      <c r="A2275" s="4">
        <v>4516</v>
      </c>
      <c r="B2275" s="4">
        <v>32135</v>
      </c>
      <c r="C2275" s="5">
        <f t="shared" ref="C2275:C2276" si="1114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113"/>
        <v>40509</v>
      </c>
      <c r="V2275">
        <f t="shared" si="1099"/>
        <v>27</v>
      </c>
      <c r="W2275">
        <f t="shared" si="1097"/>
        <v>11</v>
      </c>
      <c r="X2275">
        <f t="shared" si="1098"/>
        <v>2010</v>
      </c>
    </row>
    <row r="2276" spans="1:24" ht="12" customHeight="1">
      <c r="A2276" s="4">
        <v>4517</v>
      </c>
      <c r="B2276" s="4">
        <v>32135</v>
      </c>
      <c r="C2276" s="5">
        <f t="shared" si="1114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113"/>
        <v>40509</v>
      </c>
      <c r="V2276">
        <f t="shared" si="1099"/>
        <v>27</v>
      </c>
      <c r="W2276">
        <f t="shared" si="1097"/>
        <v>11</v>
      </c>
      <c r="X2276">
        <f t="shared" si="1098"/>
        <v>2010</v>
      </c>
    </row>
    <row r="2277" spans="1:24" ht="12" customHeight="1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  <c r="V2277">
        <f t="shared" si="1099"/>
        <v>28</v>
      </c>
      <c r="W2277">
        <f t="shared" si="1097"/>
        <v>11</v>
      </c>
      <c r="X2277">
        <f t="shared" si="1098"/>
        <v>2009</v>
      </c>
    </row>
    <row r="2278" spans="1:24" ht="12" customHeight="1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115">C2278+1</f>
        <v>41141</v>
      </c>
      <c r="V2278">
        <f t="shared" si="1099"/>
        <v>20</v>
      </c>
      <c r="W2278">
        <f t="shared" si="1097"/>
        <v>8</v>
      </c>
      <c r="X2278">
        <f t="shared" si="1098"/>
        <v>2012</v>
      </c>
    </row>
    <row r="2279" spans="1:24" ht="12" customHeight="1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115"/>
        <v>39897</v>
      </c>
      <c r="V2279">
        <f t="shared" si="1099"/>
        <v>25</v>
      </c>
      <c r="W2279">
        <f t="shared" si="1097"/>
        <v>3</v>
      </c>
      <c r="X2279">
        <f t="shared" si="1098"/>
        <v>2009</v>
      </c>
    </row>
    <row r="2280" spans="1:24" ht="12" customHeight="1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  <c r="V2280">
        <f t="shared" si="1099"/>
        <v>31</v>
      </c>
      <c r="W2280">
        <f t="shared" si="1097"/>
        <v>3</v>
      </c>
      <c r="X2280">
        <f t="shared" si="1098"/>
        <v>2012</v>
      </c>
    </row>
    <row r="2281" spans="1:24" ht="12" customHeight="1">
      <c r="A2281" s="4">
        <v>4603</v>
      </c>
      <c r="B2281" s="4">
        <v>32803</v>
      </c>
      <c r="C2281" s="5">
        <f t="shared" ref="C2281:C2282" si="1116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  <c r="V2281">
        <f t="shared" si="1099"/>
        <v>17</v>
      </c>
      <c r="W2281">
        <f t="shared" si="1097"/>
        <v>12</v>
      </c>
      <c r="X2281">
        <f t="shared" si="1098"/>
        <v>2011</v>
      </c>
    </row>
    <row r="2282" spans="1:24" ht="12" customHeight="1">
      <c r="A2282" s="4">
        <v>4604</v>
      </c>
      <c r="B2282" s="4">
        <v>32803</v>
      </c>
      <c r="C2282" s="5">
        <f t="shared" si="1116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  <c r="V2282">
        <f t="shared" si="1099"/>
        <v>18</v>
      </c>
      <c r="W2282">
        <f t="shared" si="1097"/>
        <v>12</v>
      </c>
      <c r="X2282">
        <f t="shared" si="1098"/>
        <v>2011</v>
      </c>
    </row>
    <row r="2283" spans="1:24" ht="12" customHeight="1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117">C2283+1</f>
        <v>40418</v>
      </c>
      <c r="V2283">
        <f t="shared" si="1099"/>
        <v>28</v>
      </c>
      <c r="W2283">
        <f t="shared" si="1097"/>
        <v>8</v>
      </c>
      <c r="X2283">
        <f t="shared" si="1098"/>
        <v>2010</v>
      </c>
    </row>
    <row r="2284" spans="1:24" ht="12" customHeight="1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117"/>
        <v>40888</v>
      </c>
      <c r="V2284">
        <f t="shared" si="1099"/>
        <v>11</v>
      </c>
      <c r="W2284">
        <f t="shared" si="1097"/>
        <v>12</v>
      </c>
      <c r="X2284">
        <f t="shared" si="1098"/>
        <v>2011</v>
      </c>
    </row>
    <row r="2285" spans="1:24" ht="12" customHeight="1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  <c r="V2285">
        <f t="shared" si="1099"/>
        <v>21</v>
      </c>
      <c r="W2285">
        <f t="shared" si="1097"/>
        <v>10</v>
      </c>
      <c r="X2285">
        <f t="shared" si="1098"/>
        <v>2012</v>
      </c>
    </row>
    <row r="2286" spans="1:24" ht="12" customHeight="1">
      <c r="A2286" s="4">
        <v>4793</v>
      </c>
      <c r="B2286" s="4">
        <v>34082</v>
      </c>
      <c r="C2286" s="5">
        <f t="shared" ref="C2286:C2288" si="1118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119">C2286+1</f>
        <v>40845</v>
      </c>
      <c r="V2286">
        <f t="shared" si="1099"/>
        <v>29</v>
      </c>
      <c r="W2286">
        <f t="shared" si="1097"/>
        <v>10</v>
      </c>
      <c r="X2286">
        <f t="shared" si="1098"/>
        <v>2011</v>
      </c>
    </row>
    <row r="2287" spans="1:24" ht="12" customHeight="1">
      <c r="A2287" s="4">
        <v>4794</v>
      </c>
      <c r="B2287" s="4">
        <v>34082</v>
      </c>
      <c r="C2287" s="5">
        <f t="shared" si="1118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119"/>
        <v>40845</v>
      </c>
      <c r="V2287">
        <f t="shared" si="1099"/>
        <v>29</v>
      </c>
      <c r="W2287">
        <f t="shared" si="1097"/>
        <v>10</v>
      </c>
      <c r="X2287">
        <f t="shared" si="1098"/>
        <v>2011</v>
      </c>
    </row>
    <row r="2288" spans="1:24" ht="12" customHeight="1">
      <c r="A2288" s="4">
        <v>4795</v>
      </c>
      <c r="B2288" s="4">
        <v>34082</v>
      </c>
      <c r="C2288" s="5">
        <f t="shared" si="1118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  <c r="V2288">
        <f t="shared" si="1099"/>
        <v>30</v>
      </c>
      <c r="W2288">
        <f t="shared" si="1097"/>
        <v>10</v>
      </c>
      <c r="X2288">
        <f t="shared" si="1098"/>
        <v>2011</v>
      </c>
    </row>
    <row r="2289" spans="1:24" ht="12" customHeight="1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  <c r="V2289">
        <f t="shared" si="1099"/>
        <v>16</v>
      </c>
      <c r="W2289">
        <f t="shared" si="1097"/>
        <v>2</v>
      </c>
      <c r="X2289">
        <f t="shared" si="1098"/>
        <v>2012</v>
      </c>
    </row>
    <row r="2290" spans="1:24" ht="12" customHeight="1">
      <c r="A2290" s="4">
        <v>4817</v>
      </c>
      <c r="B2290" s="4">
        <v>34244</v>
      </c>
      <c r="C2290" s="5">
        <f t="shared" ref="C2290:C2291" si="1120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  <c r="V2290">
        <f t="shared" si="1099"/>
        <v>8</v>
      </c>
      <c r="W2290">
        <f t="shared" si="1097"/>
        <v>10</v>
      </c>
      <c r="X2290">
        <f t="shared" si="1098"/>
        <v>2010</v>
      </c>
    </row>
    <row r="2291" spans="1:24" ht="12" customHeight="1">
      <c r="A2291" s="4">
        <v>4818</v>
      </c>
      <c r="B2291" s="4">
        <v>34244</v>
      </c>
      <c r="C2291" s="5">
        <f t="shared" si="1120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  <c r="V2291">
        <f t="shared" si="1099"/>
        <v>1</v>
      </c>
      <c r="W2291">
        <f t="shared" si="1097"/>
        <v>10</v>
      </c>
      <c r="X2291">
        <f t="shared" si="1098"/>
        <v>2010</v>
      </c>
    </row>
    <row r="2292" spans="1:24" ht="12" customHeight="1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  <c r="V2292">
        <f t="shared" si="1099"/>
        <v>18</v>
      </c>
      <c r="W2292">
        <f t="shared" si="1097"/>
        <v>11</v>
      </c>
      <c r="X2292">
        <f t="shared" si="1098"/>
        <v>2010</v>
      </c>
    </row>
    <row r="2293" spans="1:24" ht="12" customHeight="1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  <c r="V2293">
        <f t="shared" si="1099"/>
        <v>11</v>
      </c>
      <c r="W2293">
        <f t="shared" si="1097"/>
        <v>11</v>
      </c>
      <c r="X2293">
        <f t="shared" si="1098"/>
        <v>2009</v>
      </c>
    </row>
    <row r="2294" spans="1:24" ht="12" customHeight="1">
      <c r="A2294" s="4">
        <v>4907</v>
      </c>
      <c r="B2294" s="4">
        <v>34918</v>
      </c>
      <c r="C2294" s="5">
        <f t="shared" ref="C2294:C2295" si="1121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  <c r="V2294">
        <f t="shared" si="1099"/>
        <v>24</v>
      </c>
      <c r="W2294">
        <f t="shared" si="1097"/>
        <v>10</v>
      </c>
      <c r="X2294">
        <f t="shared" si="1098"/>
        <v>2009</v>
      </c>
    </row>
    <row r="2295" spans="1:24" ht="12" customHeight="1">
      <c r="A2295" s="4">
        <v>4908</v>
      </c>
      <c r="B2295" s="4">
        <v>34918</v>
      </c>
      <c r="C2295" s="5">
        <f t="shared" si="1121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122">C2295+2</f>
        <v>40111</v>
      </c>
      <c r="V2295">
        <f t="shared" si="1099"/>
        <v>25</v>
      </c>
      <c r="W2295">
        <f t="shared" si="1097"/>
        <v>10</v>
      </c>
      <c r="X2295">
        <f t="shared" si="1098"/>
        <v>2009</v>
      </c>
    </row>
    <row r="2296" spans="1:24" ht="12" customHeight="1">
      <c r="A2296" s="4">
        <v>4931</v>
      </c>
      <c r="B2296" s="4">
        <v>35079</v>
      </c>
      <c r="C2296" s="5">
        <f t="shared" ref="C2296:C2297" si="1123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122"/>
        <v>40406</v>
      </c>
      <c r="V2296">
        <f t="shared" si="1099"/>
        <v>16</v>
      </c>
      <c r="W2296">
        <f t="shared" si="1097"/>
        <v>8</v>
      </c>
      <c r="X2296">
        <f t="shared" si="1098"/>
        <v>2010</v>
      </c>
    </row>
    <row r="2297" spans="1:24" ht="12" customHeight="1">
      <c r="A2297" s="4">
        <v>4932</v>
      </c>
      <c r="B2297" s="4">
        <v>35079</v>
      </c>
      <c r="C2297" s="5">
        <f t="shared" si="1123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122"/>
        <v>40406</v>
      </c>
      <c r="V2297">
        <f t="shared" si="1099"/>
        <v>16</v>
      </c>
      <c r="W2297">
        <f t="shared" si="1097"/>
        <v>8</v>
      </c>
      <c r="X2297">
        <f t="shared" si="1098"/>
        <v>2010</v>
      </c>
    </row>
    <row r="2298" spans="1:24" ht="12" customHeight="1">
      <c r="A2298" s="4">
        <v>4935</v>
      </c>
      <c r="B2298" s="4">
        <v>35110</v>
      </c>
      <c r="C2298" s="5">
        <f t="shared" ref="C2298:C2299" si="1124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  <c r="V2298">
        <f t="shared" si="1099"/>
        <v>19</v>
      </c>
      <c r="W2298">
        <f t="shared" si="1097"/>
        <v>10</v>
      </c>
      <c r="X2298">
        <f t="shared" si="1098"/>
        <v>2011</v>
      </c>
    </row>
    <row r="2299" spans="1:24" ht="12" customHeight="1">
      <c r="A2299" s="4">
        <v>4936</v>
      </c>
      <c r="B2299" s="4">
        <v>35110</v>
      </c>
      <c r="C2299" s="5">
        <f t="shared" si="1124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125">C2299+2</f>
        <v>40836</v>
      </c>
      <c r="V2299">
        <f t="shared" si="1099"/>
        <v>20</v>
      </c>
      <c r="W2299">
        <f t="shared" si="1097"/>
        <v>10</v>
      </c>
      <c r="X2299">
        <f t="shared" si="1098"/>
        <v>2011</v>
      </c>
    </row>
    <row r="2300" spans="1:24" ht="12" customHeight="1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125"/>
        <v>41178</v>
      </c>
      <c r="V2300">
        <f t="shared" si="1099"/>
        <v>26</v>
      </c>
      <c r="W2300">
        <f t="shared" si="1097"/>
        <v>9</v>
      </c>
      <c r="X2300">
        <f t="shared" si="1098"/>
        <v>2012</v>
      </c>
    </row>
    <row r="2301" spans="1:24" ht="12" customHeight="1">
      <c r="A2301" s="4">
        <v>4993</v>
      </c>
      <c r="B2301" s="4">
        <v>35555</v>
      </c>
      <c r="C2301" s="5">
        <f t="shared" ref="C2301:C2303" si="1126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  <c r="V2301">
        <f t="shared" si="1099"/>
        <v>5</v>
      </c>
      <c r="W2301">
        <f t="shared" si="1097"/>
        <v>3</v>
      </c>
      <c r="X2301">
        <f t="shared" si="1098"/>
        <v>2011</v>
      </c>
    </row>
    <row r="2302" spans="1:24" ht="12" customHeight="1">
      <c r="A2302" s="4">
        <v>4994</v>
      </c>
      <c r="B2302" s="4">
        <v>35555</v>
      </c>
      <c r="C2302" s="5">
        <f t="shared" si="1126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  <c r="V2302">
        <f t="shared" si="1099"/>
        <v>6</v>
      </c>
      <c r="W2302">
        <f t="shared" si="1097"/>
        <v>3</v>
      </c>
      <c r="X2302">
        <f t="shared" si="1098"/>
        <v>2011</v>
      </c>
    </row>
    <row r="2303" spans="1:24" ht="12" customHeight="1">
      <c r="A2303" s="4">
        <v>4995</v>
      </c>
      <c r="B2303" s="4">
        <v>35555</v>
      </c>
      <c r="C2303" s="5">
        <f t="shared" si="1126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  <c r="V2303">
        <f t="shared" si="1099"/>
        <v>4</v>
      </c>
      <c r="W2303">
        <f t="shared" si="1097"/>
        <v>3</v>
      </c>
      <c r="X2303">
        <f t="shared" si="1098"/>
        <v>2011</v>
      </c>
    </row>
    <row r="2304" spans="1:24" ht="12" customHeight="1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  <c r="V2304">
        <f t="shared" si="1099"/>
        <v>28</v>
      </c>
      <c r="W2304">
        <f t="shared" si="1097"/>
        <v>5</v>
      </c>
      <c r="X2304">
        <f t="shared" si="1098"/>
        <v>2010</v>
      </c>
    </row>
    <row r="2305" spans="1:24" ht="12" customHeight="1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  <c r="V2305">
        <f t="shared" si="1099"/>
        <v>15</v>
      </c>
      <c r="W2305">
        <f t="shared" si="1097"/>
        <v>8</v>
      </c>
      <c r="X2305">
        <f t="shared" si="1098"/>
        <v>2010</v>
      </c>
    </row>
    <row r="2306" spans="1:24" ht="12" customHeight="1">
      <c r="A2306" s="4">
        <v>5112</v>
      </c>
      <c r="B2306" s="4">
        <v>36448</v>
      </c>
      <c r="C2306" s="5">
        <f t="shared" ref="C2306:C2307" si="1127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  <c r="V2306">
        <f t="shared" si="1099"/>
        <v>10</v>
      </c>
      <c r="W2306">
        <f t="shared" si="1097"/>
        <v>9</v>
      </c>
      <c r="X2306">
        <f t="shared" si="1098"/>
        <v>2010</v>
      </c>
    </row>
    <row r="2307" spans="1:24" ht="12" customHeight="1">
      <c r="A2307" s="4">
        <v>5113</v>
      </c>
      <c r="B2307" s="4">
        <v>36448</v>
      </c>
      <c r="C2307" s="5">
        <f t="shared" si="1127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128">C2307+1</f>
        <v>40432</v>
      </c>
      <c r="V2307">
        <f t="shared" si="1099"/>
        <v>11</v>
      </c>
      <c r="W2307">
        <f t="shared" ref="W2307:W2370" si="1129">MONTH(U2307)</f>
        <v>9</v>
      </c>
      <c r="X2307">
        <f t="shared" ref="X2307:X2370" si="1130">YEAR(U2307)</f>
        <v>2010</v>
      </c>
    </row>
    <row r="2308" spans="1:24" ht="12" customHeight="1">
      <c r="A2308" s="4">
        <v>5117</v>
      </c>
      <c r="B2308" s="4">
        <v>36452</v>
      </c>
      <c r="C2308" s="5">
        <f t="shared" ref="C2308:C2309" si="113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128"/>
        <v>39909</v>
      </c>
      <c r="V2308">
        <f t="shared" ref="V2308:V2371" si="1132">DAY(U2308)</f>
        <v>6</v>
      </c>
      <c r="W2308">
        <f t="shared" si="1129"/>
        <v>4</v>
      </c>
      <c r="X2308">
        <f t="shared" si="1130"/>
        <v>2009</v>
      </c>
    </row>
    <row r="2309" spans="1:24" ht="12" customHeight="1">
      <c r="A2309" s="4">
        <v>5118</v>
      </c>
      <c r="B2309" s="4">
        <v>36452</v>
      </c>
      <c r="C2309" s="5">
        <f t="shared" si="113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  <c r="V2309">
        <f t="shared" si="1132"/>
        <v>7</v>
      </c>
      <c r="W2309">
        <f t="shared" si="1129"/>
        <v>4</v>
      </c>
      <c r="X2309">
        <f t="shared" si="1130"/>
        <v>2009</v>
      </c>
    </row>
    <row r="2310" spans="1:24" ht="12" customHeight="1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  <c r="V2310">
        <f t="shared" si="1132"/>
        <v>29</v>
      </c>
      <c r="W2310">
        <f t="shared" si="1129"/>
        <v>1</v>
      </c>
      <c r="X2310">
        <f t="shared" si="1130"/>
        <v>2012</v>
      </c>
    </row>
    <row r="2311" spans="1:24" ht="12" customHeight="1">
      <c r="A2311" s="4">
        <v>5136</v>
      </c>
      <c r="B2311" s="4">
        <v>36643</v>
      </c>
      <c r="C2311" s="5">
        <f t="shared" ref="C2311:C2312" si="1133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  <c r="V2311">
        <f t="shared" si="1132"/>
        <v>25</v>
      </c>
      <c r="W2311">
        <f t="shared" si="1129"/>
        <v>2</v>
      </c>
      <c r="X2311">
        <f t="shared" si="1130"/>
        <v>2009</v>
      </c>
    </row>
    <row r="2312" spans="1:24" ht="12" customHeight="1">
      <c r="A2312" s="4">
        <v>5137</v>
      </c>
      <c r="B2312" s="4">
        <v>36643</v>
      </c>
      <c r="C2312" s="5">
        <f t="shared" si="1133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  <c r="V2312">
        <f t="shared" si="1132"/>
        <v>24</v>
      </c>
      <c r="W2312">
        <f t="shared" si="1129"/>
        <v>2</v>
      </c>
      <c r="X2312">
        <f t="shared" si="1130"/>
        <v>2009</v>
      </c>
    </row>
    <row r="2313" spans="1:24" ht="12" customHeight="1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134">C2313+3</f>
        <v>40788</v>
      </c>
      <c r="V2313">
        <f t="shared" si="1132"/>
        <v>2</v>
      </c>
      <c r="W2313">
        <f t="shared" si="1129"/>
        <v>9</v>
      </c>
      <c r="X2313">
        <f t="shared" si="1130"/>
        <v>2011</v>
      </c>
    </row>
    <row r="2314" spans="1:24" ht="12" customHeight="1">
      <c r="A2314" s="4">
        <v>5163</v>
      </c>
      <c r="B2314" s="4">
        <v>36741</v>
      </c>
      <c r="C2314" s="5">
        <f t="shared" ref="C2314:C2315" si="1135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134"/>
        <v>40534</v>
      </c>
      <c r="V2314">
        <f t="shared" si="1132"/>
        <v>22</v>
      </c>
      <c r="W2314">
        <f t="shared" si="1129"/>
        <v>12</v>
      </c>
      <c r="X2314">
        <f t="shared" si="1130"/>
        <v>2010</v>
      </c>
    </row>
    <row r="2315" spans="1:24" ht="12" customHeight="1">
      <c r="A2315" s="4">
        <v>5164</v>
      </c>
      <c r="B2315" s="4">
        <v>36741</v>
      </c>
      <c r="C2315" s="5">
        <f t="shared" si="1135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136">C2315+2</f>
        <v>40533</v>
      </c>
      <c r="V2315">
        <f t="shared" si="1132"/>
        <v>21</v>
      </c>
      <c r="W2315">
        <f t="shared" si="1129"/>
        <v>12</v>
      </c>
      <c r="X2315">
        <f t="shared" si="1130"/>
        <v>2010</v>
      </c>
    </row>
    <row r="2316" spans="1:24" ht="12" customHeight="1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136"/>
        <v>40263</v>
      </c>
      <c r="V2316">
        <f t="shared" si="1132"/>
        <v>26</v>
      </c>
      <c r="W2316">
        <f t="shared" si="1129"/>
        <v>3</v>
      </c>
      <c r="X2316">
        <f t="shared" si="1130"/>
        <v>2010</v>
      </c>
    </row>
    <row r="2317" spans="1:24" ht="12" customHeight="1">
      <c r="A2317" s="4">
        <v>5194</v>
      </c>
      <c r="B2317" s="4">
        <v>36929</v>
      </c>
      <c r="C2317" s="5">
        <f t="shared" ref="C2317:C2318" si="1137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  <c r="V2317">
        <f t="shared" si="1132"/>
        <v>25</v>
      </c>
      <c r="W2317">
        <f t="shared" si="1129"/>
        <v>5</v>
      </c>
      <c r="X2317">
        <f t="shared" si="1130"/>
        <v>2012</v>
      </c>
    </row>
    <row r="2318" spans="1:24" ht="12" customHeight="1">
      <c r="A2318" s="4">
        <v>5195</v>
      </c>
      <c r="B2318" s="4">
        <v>36929</v>
      </c>
      <c r="C2318" s="5">
        <f t="shared" si="1137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  <c r="V2318">
        <f t="shared" si="1132"/>
        <v>29</v>
      </c>
      <c r="W2318">
        <f t="shared" si="1129"/>
        <v>5</v>
      </c>
      <c r="X2318">
        <f t="shared" si="1130"/>
        <v>2012</v>
      </c>
    </row>
    <row r="2319" spans="1:24" ht="12" customHeight="1">
      <c r="A2319" s="4">
        <v>5209</v>
      </c>
      <c r="B2319" s="4">
        <v>36999</v>
      </c>
      <c r="C2319" s="5">
        <f t="shared" ref="C2319:C2320" si="1138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139">C2319+1</f>
        <v>40160</v>
      </c>
      <c r="V2319">
        <f t="shared" si="1132"/>
        <v>13</v>
      </c>
      <c r="W2319">
        <f t="shared" si="1129"/>
        <v>12</v>
      </c>
      <c r="X2319">
        <f t="shared" si="1130"/>
        <v>2009</v>
      </c>
    </row>
    <row r="2320" spans="1:24" ht="12" customHeight="1">
      <c r="A2320" s="4">
        <v>5210</v>
      </c>
      <c r="B2320" s="4">
        <v>36999</v>
      </c>
      <c r="C2320" s="5">
        <f t="shared" si="1138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139"/>
        <v>40160</v>
      </c>
      <c r="V2320">
        <f t="shared" si="1132"/>
        <v>13</v>
      </c>
      <c r="W2320">
        <f t="shared" si="1129"/>
        <v>12</v>
      </c>
      <c r="X2320">
        <f t="shared" si="1130"/>
        <v>2009</v>
      </c>
    </row>
    <row r="2321" spans="1:24" ht="12" customHeight="1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139"/>
        <v>40513</v>
      </c>
      <c r="V2321">
        <f t="shared" si="1132"/>
        <v>1</v>
      </c>
      <c r="W2321">
        <f t="shared" si="1129"/>
        <v>12</v>
      </c>
      <c r="X2321">
        <f t="shared" si="1130"/>
        <v>2010</v>
      </c>
    </row>
    <row r="2322" spans="1:24" ht="12" customHeight="1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139"/>
        <v>40668</v>
      </c>
      <c r="V2322">
        <f t="shared" si="1132"/>
        <v>5</v>
      </c>
      <c r="W2322">
        <f t="shared" si="1129"/>
        <v>5</v>
      </c>
      <c r="X2322">
        <f t="shared" si="1130"/>
        <v>2011</v>
      </c>
    </row>
    <row r="2323" spans="1:24" ht="12" customHeight="1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  <c r="V2323">
        <f t="shared" si="1132"/>
        <v>17</v>
      </c>
      <c r="W2323">
        <f t="shared" si="1129"/>
        <v>2</v>
      </c>
      <c r="X2323">
        <f t="shared" si="1130"/>
        <v>2010</v>
      </c>
    </row>
    <row r="2324" spans="1:24" ht="12" customHeight="1">
      <c r="A2324" s="4">
        <v>5319</v>
      </c>
      <c r="B2324" s="4">
        <v>37828</v>
      </c>
      <c r="C2324" s="5">
        <f t="shared" ref="C2324:C2325" si="1140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  <c r="V2324">
        <f t="shared" si="1132"/>
        <v>25</v>
      </c>
      <c r="W2324">
        <f t="shared" si="1129"/>
        <v>4</v>
      </c>
      <c r="X2324">
        <f t="shared" si="1130"/>
        <v>2011</v>
      </c>
    </row>
    <row r="2325" spans="1:24" ht="12" customHeight="1">
      <c r="A2325" s="4">
        <v>5320</v>
      </c>
      <c r="B2325" s="4">
        <v>37828</v>
      </c>
      <c r="C2325" s="5">
        <f t="shared" si="1140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141">C2325+2</f>
        <v>40655</v>
      </c>
      <c r="V2325">
        <f t="shared" si="1132"/>
        <v>22</v>
      </c>
      <c r="W2325">
        <f t="shared" si="1129"/>
        <v>4</v>
      </c>
      <c r="X2325">
        <f t="shared" si="1130"/>
        <v>2011</v>
      </c>
    </row>
    <row r="2326" spans="1:24" ht="12" customHeight="1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141"/>
        <v>40375</v>
      </c>
      <c r="V2326">
        <f t="shared" si="1132"/>
        <v>16</v>
      </c>
      <c r="W2326">
        <f t="shared" si="1129"/>
        <v>7</v>
      </c>
      <c r="X2326">
        <f t="shared" si="1130"/>
        <v>2010</v>
      </c>
    </row>
    <row r="2327" spans="1:24" ht="12" customHeight="1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  <c r="V2327">
        <f t="shared" si="1132"/>
        <v>15</v>
      </c>
      <c r="W2327">
        <f t="shared" si="1129"/>
        <v>2</v>
      </c>
      <c r="X2327">
        <f t="shared" si="1130"/>
        <v>2012</v>
      </c>
    </row>
    <row r="2328" spans="1:24" ht="12" customHeight="1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  <c r="V2328">
        <f t="shared" si="1132"/>
        <v>15</v>
      </c>
      <c r="W2328">
        <f t="shared" si="1129"/>
        <v>9</v>
      </c>
      <c r="X2328">
        <f t="shared" si="1130"/>
        <v>2009</v>
      </c>
    </row>
    <row r="2329" spans="1:24" ht="12" customHeight="1">
      <c r="A2329" s="4">
        <v>5364</v>
      </c>
      <c r="B2329" s="4">
        <v>38145</v>
      </c>
      <c r="C2329" s="5">
        <f t="shared" ref="C2329:C2330" si="1142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  <c r="V2329">
        <f t="shared" si="1132"/>
        <v>14</v>
      </c>
      <c r="W2329">
        <f t="shared" si="1129"/>
        <v>9</v>
      </c>
      <c r="X2329">
        <f t="shared" si="1130"/>
        <v>2009</v>
      </c>
    </row>
    <row r="2330" spans="1:24" ht="12" customHeight="1">
      <c r="A2330" s="4">
        <v>5365</v>
      </c>
      <c r="B2330" s="4">
        <v>38145</v>
      </c>
      <c r="C2330" s="5">
        <f t="shared" si="1142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143">C2330+1</f>
        <v>40069</v>
      </c>
      <c r="V2330">
        <f t="shared" si="1132"/>
        <v>13</v>
      </c>
      <c r="W2330">
        <f t="shared" si="1129"/>
        <v>9</v>
      </c>
      <c r="X2330">
        <f t="shared" si="1130"/>
        <v>2009</v>
      </c>
    </row>
    <row r="2331" spans="1:24" ht="12" customHeight="1">
      <c r="A2331" s="4">
        <v>5405</v>
      </c>
      <c r="B2331" s="4">
        <v>38437</v>
      </c>
      <c r="C2331" s="5">
        <f t="shared" ref="C2331:C2332" si="1144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143"/>
        <v>41038</v>
      </c>
      <c r="V2331">
        <f t="shared" si="1132"/>
        <v>9</v>
      </c>
      <c r="W2331">
        <f t="shared" si="1129"/>
        <v>5</v>
      </c>
      <c r="X2331">
        <f t="shared" si="1130"/>
        <v>2012</v>
      </c>
    </row>
    <row r="2332" spans="1:24" ht="12" customHeight="1">
      <c r="A2332" s="4">
        <v>5406</v>
      </c>
      <c r="B2332" s="4">
        <v>38437</v>
      </c>
      <c r="C2332" s="5">
        <f t="shared" si="1144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143"/>
        <v>41038</v>
      </c>
      <c r="V2332">
        <f t="shared" si="1132"/>
        <v>9</v>
      </c>
      <c r="W2332">
        <f t="shared" si="1129"/>
        <v>5</v>
      </c>
      <c r="X2332">
        <f t="shared" si="1130"/>
        <v>2012</v>
      </c>
    </row>
    <row r="2333" spans="1:24" ht="12" customHeight="1">
      <c r="A2333" s="4">
        <v>5416</v>
      </c>
      <c r="B2333" s="4">
        <v>38503</v>
      </c>
      <c r="C2333" s="5">
        <f t="shared" ref="C2333:C2335" si="1145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146">C2333+0</f>
        <v>39938</v>
      </c>
      <c r="V2333">
        <f t="shared" si="1132"/>
        <v>5</v>
      </c>
      <c r="W2333">
        <f t="shared" si="1129"/>
        <v>5</v>
      </c>
      <c r="X2333">
        <f t="shared" si="1130"/>
        <v>2009</v>
      </c>
    </row>
    <row r="2334" spans="1:24" ht="12" customHeight="1">
      <c r="A2334" s="4">
        <v>5417</v>
      </c>
      <c r="B2334" s="4">
        <v>38503</v>
      </c>
      <c r="C2334" s="5">
        <f t="shared" si="1145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146"/>
        <v>39938</v>
      </c>
      <c r="V2334">
        <f t="shared" si="1132"/>
        <v>5</v>
      </c>
      <c r="W2334">
        <f t="shared" si="1129"/>
        <v>5</v>
      </c>
      <c r="X2334">
        <f t="shared" si="1130"/>
        <v>2009</v>
      </c>
    </row>
    <row r="2335" spans="1:24" ht="12" customHeight="1">
      <c r="A2335" s="4">
        <v>5418</v>
      </c>
      <c r="B2335" s="4">
        <v>38503</v>
      </c>
      <c r="C2335" s="5">
        <f t="shared" si="1145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  <c r="V2335">
        <f t="shared" si="1132"/>
        <v>9</v>
      </c>
      <c r="W2335">
        <f t="shared" si="1129"/>
        <v>5</v>
      </c>
      <c r="X2335">
        <f t="shared" si="1130"/>
        <v>2009</v>
      </c>
    </row>
    <row r="2336" spans="1:24" ht="12" customHeight="1">
      <c r="A2336" s="4">
        <v>5422</v>
      </c>
      <c r="B2336" s="4">
        <v>38530</v>
      </c>
      <c r="C2336" s="5">
        <f t="shared" ref="C2336:C2337" si="1147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148">C2336+0</f>
        <v>40650</v>
      </c>
      <c r="V2336">
        <f t="shared" si="1132"/>
        <v>17</v>
      </c>
      <c r="W2336">
        <f t="shared" si="1129"/>
        <v>4</v>
      </c>
      <c r="X2336">
        <f t="shared" si="1130"/>
        <v>2011</v>
      </c>
    </row>
    <row r="2337" spans="1:24" ht="12" customHeight="1">
      <c r="A2337" s="4">
        <v>5423</v>
      </c>
      <c r="B2337" s="4">
        <v>38530</v>
      </c>
      <c r="C2337" s="5">
        <f t="shared" si="1147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148"/>
        <v>40650</v>
      </c>
      <c r="V2337">
        <f t="shared" si="1132"/>
        <v>17</v>
      </c>
      <c r="W2337">
        <f t="shared" si="1129"/>
        <v>4</v>
      </c>
      <c r="X2337">
        <f t="shared" si="1130"/>
        <v>2011</v>
      </c>
    </row>
    <row r="2338" spans="1:24" ht="12" customHeight="1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  <c r="V2338">
        <f t="shared" si="1132"/>
        <v>23</v>
      </c>
      <c r="W2338">
        <f t="shared" si="1129"/>
        <v>5</v>
      </c>
      <c r="X2338">
        <f t="shared" si="1130"/>
        <v>2009</v>
      </c>
    </row>
    <row r="2339" spans="1:24" ht="12" customHeight="1">
      <c r="A2339" s="4">
        <v>5531</v>
      </c>
      <c r="B2339" s="4">
        <v>39172</v>
      </c>
      <c r="C2339" s="5">
        <f t="shared" ref="C2339:C2340" si="1149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150">C2339+7</f>
        <v>40361</v>
      </c>
      <c r="V2339">
        <f t="shared" si="1132"/>
        <v>2</v>
      </c>
      <c r="W2339">
        <f t="shared" si="1129"/>
        <v>7</v>
      </c>
      <c r="X2339">
        <f t="shared" si="1130"/>
        <v>2010</v>
      </c>
    </row>
    <row r="2340" spans="1:24" ht="12" customHeight="1">
      <c r="A2340" s="4">
        <v>5532</v>
      </c>
      <c r="B2340" s="4">
        <v>39172</v>
      </c>
      <c r="C2340" s="5">
        <f t="shared" si="1149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150"/>
        <v>40361</v>
      </c>
      <c r="V2340">
        <f t="shared" si="1132"/>
        <v>2</v>
      </c>
      <c r="W2340">
        <f t="shared" si="1129"/>
        <v>7</v>
      </c>
      <c r="X2340">
        <f t="shared" si="1130"/>
        <v>2010</v>
      </c>
    </row>
    <row r="2341" spans="1:24" ht="12" customHeight="1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150"/>
        <v>41215</v>
      </c>
      <c r="V2341">
        <f t="shared" si="1132"/>
        <v>2</v>
      </c>
      <c r="W2341">
        <f t="shared" si="1129"/>
        <v>11</v>
      </c>
      <c r="X2341">
        <f t="shared" si="1130"/>
        <v>2012</v>
      </c>
    </row>
    <row r="2342" spans="1:24" ht="12" customHeight="1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  <c r="V2342">
        <f t="shared" si="1132"/>
        <v>18</v>
      </c>
      <c r="W2342">
        <f t="shared" si="1129"/>
        <v>7</v>
      </c>
      <c r="X2342">
        <f t="shared" si="1130"/>
        <v>2010</v>
      </c>
    </row>
    <row r="2343" spans="1:24" ht="12" customHeight="1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  <c r="V2343">
        <f t="shared" si="1132"/>
        <v>17</v>
      </c>
      <c r="W2343">
        <f t="shared" si="1129"/>
        <v>5</v>
      </c>
      <c r="X2343">
        <f t="shared" si="1130"/>
        <v>2012</v>
      </c>
    </row>
    <row r="2344" spans="1:24" ht="12" customHeight="1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  <c r="V2344">
        <f t="shared" si="1132"/>
        <v>17</v>
      </c>
      <c r="W2344">
        <f t="shared" si="1129"/>
        <v>6</v>
      </c>
      <c r="X2344">
        <f t="shared" si="1130"/>
        <v>2009</v>
      </c>
    </row>
    <row r="2345" spans="1:24" ht="12" customHeight="1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  <c r="V2345">
        <f t="shared" si="1132"/>
        <v>9</v>
      </c>
      <c r="W2345">
        <f t="shared" si="1129"/>
        <v>9</v>
      </c>
      <c r="X2345">
        <f t="shared" si="1130"/>
        <v>2012</v>
      </c>
    </row>
    <row r="2346" spans="1:24" ht="12" customHeight="1">
      <c r="A2346" s="4">
        <v>5609</v>
      </c>
      <c r="B2346" s="4">
        <v>39749</v>
      </c>
      <c r="C2346" s="5">
        <f t="shared" ref="C2346:C2348" si="1151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152">C2346+2</f>
        <v>40358</v>
      </c>
      <c r="V2346">
        <f t="shared" si="1132"/>
        <v>29</v>
      </c>
      <c r="W2346">
        <f t="shared" si="1129"/>
        <v>6</v>
      </c>
      <c r="X2346">
        <f t="shared" si="1130"/>
        <v>2010</v>
      </c>
    </row>
    <row r="2347" spans="1:24" ht="12" customHeight="1">
      <c r="A2347" s="4">
        <v>5610</v>
      </c>
      <c r="B2347" s="4">
        <v>39749</v>
      </c>
      <c r="C2347" s="5">
        <f t="shared" si="1151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152"/>
        <v>40358</v>
      </c>
      <c r="V2347">
        <f t="shared" si="1132"/>
        <v>29</v>
      </c>
      <c r="W2347">
        <f t="shared" si="1129"/>
        <v>6</v>
      </c>
      <c r="X2347">
        <f t="shared" si="1130"/>
        <v>2010</v>
      </c>
    </row>
    <row r="2348" spans="1:24" ht="12" customHeight="1">
      <c r="A2348" s="4">
        <v>5611</v>
      </c>
      <c r="B2348" s="4">
        <v>39749</v>
      </c>
      <c r="C2348" s="5">
        <f t="shared" si="1151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152"/>
        <v>40358</v>
      </c>
      <c r="V2348">
        <f t="shared" si="1132"/>
        <v>29</v>
      </c>
      <c r="W2348">
        <f t="shared" si="1129"/>
        <v>6</v>
      </c>
      <c r="X2348">
        <f t="shared" si="1130"/>
        <v>2010</v>
      </c>
    </row>
    <row r="2349" spans="1:24" ht="12" customHeight="1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  <c r="V2349">
        <f t="shared" si="1132"/>
        <v>13</v>
      </c>
      <c r="W2349">
        <f t="shared" si="1129"/>
        <v>4</v>
      </c>
      <c r="X2349">
        <f t="shared" si="1130"/>
        <v>2009</v>
      </c>
    </row>
    <row r="2350" spans="1:24" ht="12" customHeight="1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153">C2350+2</f>
        <v>40600</v>
      </c>
      <c r="V2350">
        <f t="shared" si="1132"/>
        <v>26</v>
      </c>
      <c r="W2350">
        <f t="shared" si="1129"/>
        <v>2</v>
      </c>
      <c r="X2350">
        <f t="shared" si="1130"/>
        <v>2011</v>
      </c>
    </row>
    <row r="2351" spans="1:24" ht="12" customHeight="1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153"/>
        <v>40594</v>
      </c>
      <c r="V2351">
        <f t="shared" si="1132"/>
        <v>20</v>
      </c>
      <c r="W2351">
        <f t="shared" si="1129"/>
        <v>2</v>
      </c>
      <c r="X2351">
        <f t="shared" si="1130"/>
        <v>2011</v>
      </c>
    </row>
    <row r="2352" spans="1:24" ht="12" customHeight="1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  <c r="V2352">
        <f t="shared" si="1132"/>
        <v>18</v>
      </c>
      <c r="W2352">
        <f t="shared" si="1129"/>
        <v>8</v>
      </c>
      <c r="X2352">
        <f t="shared" si="1130"/>
        <v>2009</v>
      </c>
    </row>
    <row r="2353" spans="1:24" ht="12" customHeight="1">
      <c r="A2353" s="4">
        <v>5796</v>
      </c>
      <c r="B2353" s="4">
        <v>41120</v>
      </c>
      <c r="C2353" s="5">
        <f t="shared" ref="C2353:C2354" si="1154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155">C2353+2</f>
        <v>41099</v>
      </c>
      <c r="V2353">
        <f t="shared" si="1132"/>
        <v>9</v>
      </c>
      <c r="W2353">
        <f t="shared" si="1129"/>
        <v>7</v>
      </c>
      <c r="X2353">
        <f t="shared" si="1130"/>
        <v>2012</v>
      </c>
    </row>
    <row r="2354" spans="1:24" ht="12" customHeight="1">
      <c r="A2354" s="4">
        <v>5797</v>
      </c>
      <c r="B2354" s="4">
        <v>41120</v>
      </c>
      <c r="C2354" s="5">
        <f t="shared" si="1154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155"/>
        <v>41099</v>
      </c>
      <c r="V2354">
        <f t="shared" si="1132"/>
        <v>9</v>
      </c>
      <c r="W2354">
        <f t="shared" si="1129"/>
        <v>7</v>
      </c>
      <c r="X2354">
        <f t="shared" si="1130"/>
        <v>2012</v>
      </c>
    </row>
    <row r="2355" spans="1:24" ht="12" customHeight="1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155"/>
        <v>40232</v>
      </c>
      <c r="V2355">
        <f t="shared" si="1132"/>
        <v>23</v>
      </c>
      <c r="W2355">
        <f t="shared" si="1129"/>
        <v>2</v>
      </c>
      <c r="X2355">
        <f t="shared" si="1130"/>
        <v>2010</v>
      </c>
    </row>
    <row r="2356" spans="1:24" ht="12" customHeight="1">
      <c r="A2356" s="4">
        <v>5809</v>
      </c>
      <c r="B2356" s="4">
        <v>41187</v>
      </c>
      <c r="C2356" s="5">
        <f t="shared" ref="C2356:C2357" si="1156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  <c r="V2356">
        <f t="shared" si="1132"/>
        <v>30</v>
      </c>
      <c r="W2356">
        <f t="shared" si="1129"/>
        <v>9</v>
      </c>
      <c r="X2356">
        <f t="shared" si="1130"/>
        <v>2010</v>
      </c>
    </row>
    <row r="2357" spans="1:24" ht="12" customHeight="1">
      <c r="A2357" s="4">
        <v>5810</v>
      </c>
      <c r="B2357" s="4">
        <v>41187</v>
      </c>
      <c r="C2357" s="5">
        <f t="shared" si="1156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  <c r="V2357">
        <f t="shared" si="1132"/>
        <v>4</v>
      </c>
      <c r="W2357">
        <f t="shared" si="1129"/>
        <v>10</v>
      </c>
      <c r="X2357">
        <f t="shared" si="1130"/>
        <v>2010</v>
      </c>
    </row>
    <row r="2358" spans="1:24" ht="12" customHeight="1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  <c r="V2358">
        <f t="shared" si="1132"/>
        <v>13</v>
      </c>
      <c r="W2358">
        <f t="shared" si="1129"/>
        <v>9</v>
      </c>
      <c r="X2358">
        <f t="shared" si="1130"/>
        <v>2009</v>
      </c>
    </row>
    <row r="2359" spans="1:24" ht="12" customHeight="1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  <c r="V2359">
        <f t="shared" si="1132"/>
        <v>6</v>
      </c>
      <c r="W2359">
        <f t="shared" si="1129"/>
        <v>7</v>
      </c>
      <c r="X2359">
        <f t="shared" si="1130"/>
        <v>2009</v>
      </c>
    </row>
    <row r="2360" spans="1:24" ht="12" customHeight="1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  <c r="V2360">
        <f t="shared" si="1132"/>
        <v>1</v>
      </c>
      <c r="W2360">
        <f t="shared" si="1129"/>
        <v>2</v>
      </c>
      <c r="X2360">
        <f t="shared" si="1130"/>
        <v>2012</v>
      </c>
    </row>
    <row r="2361" spans="1:24" ht="12" customHeight="1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  <c r="V2361">
        <f t="shared" si="1132"/>
        <v>18</v>
      </c>
      <c r="W2361">
        <f t="shared" si="1129"/>
        <v>10</v>
      </c>
      <c r="X2361">
        <f t="shared" si="1130"/>
        <v>2011</v>
      </c>
    </row>
    <row r="2362" spans="1:24" ht="12" customHeight="1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  <c r="V2362">
        <f t="shared" si="1132"/>
        <v>2</v>
      </c>
      <c r="W2362">
        <f t="shared" si="1129"/>
        <v>2</v>
      </c>
      <c r="X2362">
        <f t="shared" si="1130"/>
        <v>2012</v>
      </c>
    </row>
    <row r="2363" spans="1:24" ht="12" customHeight="1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157">C2363+1</f>
        <v>39855</v>
      </c>
      <c r="V2363">
        <f t="shared" si="1132"/>
        <v>11</v>
      </c>
      <c r="W2363">
        <f t="shared" si="1129"/>
        <v>2</v>
      </c>
      <c r="X2363">
        <f t="shared" si="1130"/>
        <v>2009</v>
      </c>
    </row>
    <row r="2364" spans="1:24" ht="12" customHeight="1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157"/>
        <v>40686</v>
      </c>
      <c r="V2364">
        <f t="shared" si="1132"/>
        <v>23</v>
      </c>
      <c r="W2364">
        <f t="shared" si="1129"/>
        <v>5</v>
      </c>
      <c r="X2364">
        <f t="shared" si="1130"/>
        <v>2011</v>
      </c>
    </row>
    <row r="2365" spans="1:24" ht="12" customHeight="1">
      <c r="A2365" s="4">
        <v>5925</v>
      </c>
      <c r="B2365" s="4">
        <v>42022</v>
      </c>
      <c r="C2365" s="5">
        <f t="shared" ref="C2365:C2366" si="1158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157"/>
        <v>40081</v>
      </c>
      <c r="V2365">
        <f t="shared" si="1132"/>
        <v>25</v>
      </c>
      <c r="W2365">
        <f t="shared" si="1129"/>
        <v>9</v>
      </c>
      <c r="X2365">
        <f t="shared" si="1130"/>
        <v>2009</v>
      </c>
    </row>
    <row r="2366" spans="1:24" ht="12" customHeight="1">
      <c r="A2366" s="4">
        <v>5926</v>
      </c>
      <c r="B2366" s="4">
        <v>42022</v>
      </c>
      <c r="C2366" s="5">
        <f t="shared" si="1158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157"/>
        <v>40081</v>
      </c>
      <c r="V2366">
        <f t="shared" si="1132"/>
        <v>25</v>
      </c>
      <c r="W2366">
        <f t="shared" si="1129"/>
        <v>9</v>
      </c>
      <c r="X2366">
        <f t="shared" si="1130"/>
        <v>2009</v>
      </c>
    </row>
    <row r="2367" spans="1:24" ht="12" customHeight="1">
      <c r="A2367" s="4">
        <v>5928</v>
      </c>
      <c r="B2367" s="4">
        <v>42081</v>
      </c>
      <c r="C2367" s="5">
        <f t="shared" ref="C2367:C2369" si="1159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  <c r="V2367">
        <f t="shared" si="1132"/>
        <v>15</v>
      </c>
      <c r="W2367">
        <f t="shared" si="1129"/>
        <v>1</v>
      </c>
      <c r="X2367">
        <f t="shared" si="1130"/>
        <v>2011</v>
      </c>
    </row>
    <row r="2368" spans="1:24" ht="12" customHeight="1">
      <c r="A2368" s="4">
        <v>5929</v>
      </c>
      <c r="B2368" s="4">
        <v>42081</v>
      </c>
      <c r="C2368" s="5">
        <f t="shared" si="1159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  <c r="V2368">
        <f t="shared" si="1132"/>
        <v>12</v>
      </c>
      <c r="W2368">
        <f t="shared" si="1129"/>
        <v>1</v>
      </c>
      <c r="X2368">
        <f t="shared" si="1130"/>
        <v>2011</v>
      </c>
    </row>
    <row r="2369" spans="1:24" ht="12" customHeight="1">
      <c r="A2369" s="4">
        <v>5930</v>
      </c>
      <c r="B2369" s="4">
        <v>42081</v>
      </c>
      <c r="C2369" s="5">
        <f t="shared" si="1159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  <c r="V2369">
        <f t="shared" si="1132"/>
        <v>15</v>
      </c>
      <c r="W2369">
        <f t="shared" si="1129"/>
        <v>1</v>
      </c>
      <c r="X2369">
        <f t="shared" si="1130"/>
        <v>2011</v>
      </c>
    </row>
    <row r="2370" spans="1:24" ht="12" customHeight="1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160">C2370+1</f>
        <v>40382</v>
      </c>
      <c r="V2370">
        <f t="shared" si="1132"/>
        <v>23</v>
      </c>
      <c r="W2370">
        <f t="shared" si="1129"/>
        <v>7</v>
      </c>
      <c r="X2370">
        <f t="shared" si="1130"/>
        <v>2010</v>
      </c>
    </row>
    <row r="2371" spans="1:24" ht="12" customHeight="1">
      <c r="A2371" s="4">
        <v>5954</v>
      </c>
      <c r="B2371" s="4">
        <v>42246</v>
      </c>
      <c r="C2371" s="5">
        <f t="shared" ref="C2371:C2372" si="1161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160"/>
        <v>41026</v>
      </c>
      <c r="V2371">
        <f t="shared" si="1132"/>
        <v>27</v>
      </c>
      <c r="W2371">
        <f t="shared" ref="W2371:W2434" si="1162">MONTH(U2371)</f>
        <v>4</v>
      </c>
      <c r="X2371">
        <f t="shared" ref="X2371:X2434" si="1163">YEAR(U2371)</f>
        <v>2012</v>
      </c>
    </row>
    <row r="2372" spans="1:24" ht="12" customHeight="1">
      <c r="A2372" s="4">
        <v>5955</v>
      </c>
      <c r="B2372" s="4">
        <v>42246</v>
      </c>
      <c r="C2372" s="5">
        <f t="shared" si="1161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  <c r="V2372">
        <f t="shared" ref="V2372:V2435" si="1164">DAY(U2372)</f>
        <v>28</v>
      </c>
      <c r="W2372">
        <f t="shared" si="1162"/>
        <v>4</v>
      </c>
      <c r="X2372">
        <f t="shared" si="1163"/>
        <v>2012</v>
      </c>
    </row>
    <row r="2373" spans="1:24" ht="12" customHeight="1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  <c r="V2373">
        <f t="shared" si="1164"/>
        <v>22</v>
      </c>
      <c r="W2373">
        <f t="shared" si="1162"/>
        <v>12</v>
      </c>
      <c r="X2373">
        <f t="shared" si="1163"/>
        <v>2010</v>
      </c>
    </row>
    <row r="2374" spans="1:24" ht="12" customHeight="1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  <c r="V2374">
        <f t="shared" si="1164"/>
        <v>5</v>
      </c>
      <c r="W2374">
        <f t="shared" si="1162"/>
        <v>10</v>
      </c>
      <c r="X2374">
        <f t="shared" si="1163"/>
        <v>2011</v>
      </c>
    </row>
    <row r="2375" spans="1:24" ht="12" customHeight="1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  <c r="V2375">
        <f t="shared" si="1164"/>
        <v>23</v>
      </c>
      <c r="W2375">
        <f t="shared" si="1162"/>
        <v>2</v>
      </c>
      <c r="X2375">
        <f t="shared" si="1163"/>
        <v>2010</v>
      </c>
    </row>
    <row r="2376" spans="1:24" ht="12" customHeight="1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165">C2376+2</f>
        <v>41190</v>
      </c>
      <c r="V2376">
        <f t="shared" si="1164"/>
        <v>8</v>
      </c>
      <c r="W2376">
        <f t="shared" si="1162"/>
        <v>10</v>
      </c>
      <c r="X2376">
        <f t="shared" si="1163"/>
        <v>2012</v>
      </c>
    </row>
    <row r="2377" spans="1:24" ht="12" customHeight="1">
      <c r="A2377" s="4">
        <v>6106</v>
      </c>
      <c r="B2377" s="4">
        <v>43269</v>
      </c>
      <c r="C2377" s="5">
        <f t="shared" ref="C2377:C2378" si="1166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165"/>
        <v>39915</v>
      </c>
      <c r="V2377">
        <f t="shared" si="1164"/>
        <v>12</v>
      </c>
      <c r="W2377">
        <f t="shared" si="1162"/>
        <v>4</v>
      </c>
      <c r="X2377">
        <f t="shared" si="1163"/>
        <v>2009</v>
      </c>
    </row>
    <row r="2378" spans="1:24" ht="12" customHeight="1">
      <c r="A2378" s="4">
        <v>6107</v>
      </c>
      <c r="B2378" s="4">
        <v>43269</v>
      </c>
      <c r="C2378" s="5">
        <f t="shared" si="1166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165"/>
        <v>39915</v>
      </c>
      <c r="V2378">
        <f t="shared" si="1164"/>
        <v>12</v>
      </c>
      <c r="W2378">
        <f t="shared" si="1162"/>
        <v>4</v>
      </c>
      <c r="X2378">
        <f t="shared" si="1163"/>
        <v>2009</v>
      </c>
    </row>
    <row r="2379" spans="1:24" ht="12" customHeight="1">
      <c r="A2379" s="4">
        <v>6126</v>
      </c>
      <c r="B2379" s="4">
        <v>43367</v>
      </c>
      <c r="C2379" s="5">
        <f t="shared" ref="C2379:C2381" si="1167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  <c r="V2379">
        <f t="shared" si="1164"/>
        <v>12</v>
      </c>
      <c r="W2379">
        <f t="shared" si="1162"/>
        <v>3</v>
      </c>
      <c r="X2379">
        <f t="shared" si="1163"/>
        <v>2010</v>
      </c>
    </row>
    <row r="2380" spans="1:24" ht="12" customHeight="1">
      <c r="A2380" s="4">
        <v>6127</v>
      </c>
      <c r="B2380" s="4">
        <v>43367</v>
      </c>
      <c r="C2380" s="5">
        <f t="shared" si="1167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  <c r="V2380">
        <f t="shared" si="1164"/>
        <v>10</v>
      </c>
      <c r="W2380">
        <f t="shared" si="1162"/>
        <v>3</v>
      </c>
      <c r="X2380">
        <f t="shared" si="1163"/>
        <v>2010</v>
      </c>
    </row>
    <row r="2381" spans="1:24" ht="12" customHeight="1">
      <c r="A2381" s="4">
        <v>6128</v>
      </c>
      <c r="B2381" s="4">
        <v>43367</v>
      </c>
      <c r="C2381" s="5">
        <f t="shared" si="1167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  <c r="V2381">
        <f t="shared" si="1164"/>
        <v>9</v>
      </c>
      <c r="W2381">
        <f t="shared" si="1162"/>
        <v>3</v>
      </c>
      <c r="X2381">
        <f t="shared" si="1163"/>
        <v>2010</v>
      </c>
    </row>
    <row r="2382" spans="1:24" ht="12" customHeight="1">
      <c r="A2382" s="4">
        <v>6132</v>
      </c>
      <c r="B2382" s="4">
        <v>43399</v>
      </c>
      <c r="C2382" s="5">
        <f t="shared" ref="C2382:C2384" si="1168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  <c r="V2382">
        <f t="shared" si="1164"/>
        <v>31</v>
      </c>
      <c r="W2382">
        <f t="shared" si="1162"/>
        <v>7</v>
      </c>
      <c r="X2382">
        <f t="shared" si="1163"/>
        <v>2009</v>
      </c>
    </row>
    <row r="2383" spans="1:24" ht="12" customHeight="1">
      <c r="A2383" s="4">
        <v>6133</v>
      </c>
      <c r="B2383" s="4">
        <v>43399</v>
      </c>
      <c r="C2383" s="5">
        <f t="shared" si="1168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169">C2383+2</f>
        <v>40026</v>
      </c>
      <c r="V2383">
        <f t="shared" si="1164"/>
        <v>1</v>
      </c>
      <c r="W2383">
        <f t="shared" si="1162"/>
        <v>8</v>
      </c>
      <c r="X2383">
        <f t="shared" si="1163"/>
        <v>2009</v>
      </c>
    </row>
    <row r="2384" spans="1:24" ht="12" customHeight="1">
      <c r="A2384" s="4">
        <v>6134</v>
      </c>
      <c r="B2384" s="4">
        <v>43399</v>
      </c>
      <c r="C2384" s="5">
        <f t="shared" si="1168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169"/>
        <v>40026</v>
      </c>
      <c r="V2384">
        <f t="shared" si="1164"/>
        <v>1</v>
      </c>
      <c r="W2384">
        <f t="shared" si="1162"/>
        <v>8</v>
      </c>
      <c r="X2384">
        <f t="shared" si="1163"/>
        <v>2009</v>
      </c>
    </row>
    <row r="2385" spans="1:24" ht="12" customHeight="1">
      <c r="A2385" s="4">
        <v>6189</v>
      </c>
      <c r="B2385" s="4">
        <v>43875</v>
      </c>
      <c r="C2385" s="5">
        <f t="shared" ref="C2385:C2389" si="1170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  <c r="V2385">
        <f t="shared" si="1164"/>
        <v>10</v>
      </c>
      <c r="W2385">
        <f t="shared" si="1162"/>
        <v>12</v>
      </c>
      <c r="X2385">
        <f t="shared" si="1163"/>
        <v>2011</v>
      </c>
    </row>
    <row r="2386" spans="1:24" ht="12" customHeight="1">
      <c r="A2386" s="4">
        <v>6190</v>
      </c>
      <c r="B2386" s="4">
        <v>43875</v>
      </c>
      <c r="C2386" s="5">
        <f t="shared" si="1170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171">C2386+2</f>
        <v>40886</v>
      </c>
      <c r="V2386">
        <f t="shared" si="1164"/>
        <v>9</v>
      </c>
      <c r="W2386">
        <f t="shared" si="1162"/>
        <v>12</v>
      </c>
      <c r="X2386">
        <f t="shared" si="1163"/>
        <v>2011</v>
      </c>
    </row>
    <row r="2387" spans="1:24" ht="12" customHeight="1">
      <c r="A2387" s="4">
        <v>6191</v>
      </c>
      <c r="B2387" s="4">
        <v>43875</v>
      </c>
      <c r="C2387" s="5">
        <f t="shared" si="1170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171"/>
        <v>40886</v>
      </c>
      <c r="V2387">
        <f t="shared" si="1164"/>
        <v>9</v>
      </c>
      <c r="W2387">
        <f t="shared" si="1162"/>
        <v>12</v>
      </c>
      <c r="X2387">
        <f t="shared" si="1163"/>
        <v>2011</v>
      </c>
    </row>
    <row r="2388" spans="1:24" ht="12" customHeight="1">
      <c r="A2388" s="4">
        <v>6192</v>
      </c>
      <c r="B2388" s="4">
        <v>43875</v>
      </c>
      <c r="C2388" s="5">
        <f t="shared" si="1170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  <c r="V2388">
        <f t="shared" si="1164"/>
        <v>8</v>
      </c>
      <c r="W2388">
        <f t="shared" si="1162"/>
        <v>12</v>
      </c>
      <c r="X2388">
        <f t="shared" si="1163"/>
        <v>2011</v>
      </c>
    </row>
    <row r="2389" spans="1:24" ht="12" customHeight="1">
      <c r="A2389" s="4">
        <v>6193</v>
      </c>
      <c r="B2389" s="4">
        <v>43875</v>
      </c>
      <c r="C2389" s="5">
        <f t="shared" si="1170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  <c r="V2389">
        <f t="shared" si="1164"/>
        <v>9</v>
      </c>
      <c r="W2389">
        <f t="shared" si="1162"/>
        <v>12</v>
      </c>
      <c r="X2389">
        <f t="shared" si="1163"/>
        <v>2011</v>
      </c>
    </row>
    <row r="2390" spans="1:24" ht="12" customHeight="1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  <c r="V2390">
        <f t="shared" si="1164"/>
        <v>23</v>
      </c>
      <c r="W2390">
        <f t="shared" si="1162"/>
        <v>1</v>
      </c>
      <c r="X2390">
        <f t="shared" si="1163"/>
        <v>2009</v>
      </c>
    </row>
    <row r="2391" spans="1:24" ht="12" customHeight="1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  <c r="V2391">
        <f t="shared" si="1164"/>
        <v>14</v>
      </c>
      <c r="W2391">
        <f t="shared" si="1162"/>
        <v>5</v>
      </c>
      <c r="X2391">
        <f t="shared" si="1163"/>
        <v>2010</v>
      </c>
    </row>
    <row r="2392" spans="1:24" ht="12" customHeight="1">
      <c r="A2392" s="4">
        <v>6268</v>
      </c>
      <c r="B2392" s="4">
        <v>44386</v>
      </c>
      <c r="C2392" s="5">
        <f t="shared" ref="C2392:C2393" si="1172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173">C2392+2</f>
        <v>41010</v>
      </c>
      <c r="V2392">
        <f t="shared" si="1164"/>
        <v>11</v>
      </c>
      <c r="W2392">
        <f t="shared" si="1162"/>
        <v>4</v>
      </c>
      <c r="X2392">
        <f t="shared" si="1163"/>
        <v>2012</v>
      </c>
    </row>
    <row r="2393" spans="1:24" ht="12" customHeight="1">
      <c r="A2393" s="4">
        <v>6269</v>
      </c>
      <c r="B2393" s="4">
        <v>44386</v>
      </c>
      <c r="C2393" s="5">
        <f t="shared" si="1172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173"/>
        <v>41010</v>
      </c>
      <c r="V2393">
        <f t="shared" si="1164"/>
        <v>11</v>
      </c>
      <c r="W2393">
        <f t="shared" si="1162"/>
        <v>4</v>
      </c>
      <c r="X2393">
        <f t="shared" si="1163"/>
        <v>2012</v>
      </c>
    </row>
    <row r="2394" spans="1:24" ht="12" customHeight="1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173"/>
        <v>40517</v>
      </c>
      <c r="V2394">
        <f t="shared" si="1164"/>
        <v>5</v>
      </c>
      <c r="W2394">
        <f t="shared" si="1162"/>
        <v>12</v>
      </c>
      <c r="X2394">
        <f t="shared" si="1163"/>
        <v>2010</v>
      </c>
    </row>
    <row r="2395" spans="1:24" ht="12" customHeight="1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173"/>
        <v>40617</v>
      </c>
      <c r="V2395">
        <f t="shared" si="1164"/>
        <v>15</v>
      </c>
      <c r="W2395">
        <f t="shared" si="1162"/>
        <v>3</v>
      </c>
      <c r="X2395">
        <f t="shared" si="1163"/>
        <v>2011</v>
      </c>
    </row>
    <row r="2396" spans="1:24" ht="12" customHeight="1">
      <c r="A2396" s="4">
        <v>6307</v>
      </c>
      <c r="B2396" s="4">
        <v>44614</v>
      </c>
      <c r="C2396" s="5">
        <f t="shared" ref="C2396:C2397" si="1174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  <c r="V2396">
        <f t="shared" si="1164"/>
        <v>18</v>
      </c>
      <c r="W2396">
        <f t="shared" si="1162"/>
        <v>6</v>
      </c>
      <c r="X2396">
        <f t="shared" si="1163"/>
        <v>2010</v>
      </c>
    </row>
    <row r="2397" spans="1:24" ht="12" customHeight="1">
      <c r="A2397" s="4">
        <v>6308</v>
      </c>
      <c r="B2397" s="4">
        <v>44614</v>
      </c>
      <c r="C2397" s="5">
        <f t="shared" si="1174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  <c r="V2397">
        <f t="shared" si="1164"/>
        <v>23</v>
      </c>
      <c r="W2397">
        <f t="shared" si="1162"/>
        <v>6</v>
      </c>
      <c r="X2397">
        <f t="shared" si="1163"/>
        <v>2010</v>
      </c>
    </row>
    <row r="2398" spans="1:24" ht="12" customHeight="1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  <c r="V2398">
        <f t="shared" si="1164"/>
        <v>10</v>
      </c>
      <c r="W2398">
        <f t="shared" si="1162"/>
        <v>5</v>
      </c>
      <c r="X2398">
        <f t="shared" si="1163"/>
        <v>2010</v>
      </c>
    </row>
    <row r="2399" spans="1:24" ht="12" customHeight="1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  <c r="V2399">
        <f t="shared" si="1164"/>
        <v>24</v>
      </c>
      <c r="W2399">
        <f t="shared" si="1162"/>
        <v>6</v>
      </c>
      <c r="X2399">
        <f t="shared" si="1163"/>
        <v>2010</v>
      </c>
    </row>
    <row r="2400" spans="1:24" ht="12" customHeight="1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  <c r="V2400">
        <f t="shared" si="1164"/>
        <v>10</v>
      </c>
      <c r="W2400">
        <f t="shared" si="1162"/>
        <v>2</v>
      </c>
      <c r="X2400">
        <f t="shared" si="1163"/>
        <v>2010</v>
      </c>
    </row>
    <row r="2401" spans="1:24" ht="12" customHeight="1">
      <c r="A2401" s="4">
        <v>6340</v>
      </c>
      <c r="B2401" s="4">
        <v>44960</v>
      </c>
      <c r="C2401" s="5">
        <f t="shared" ref="C2401:C2403" si="1175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  <c r="V2401">
        <f t="shared" si="1164"/>
        <v>5</v>
      </c>
      <c r="W2401">
        <f t="shared" si="1162"/>
        <v>5</v>
      </c>
      <c r="X2401">
        <f t="shared" si="1163"/>
        <v>2011</v>
      </c>
    </row>
    <row r="2402" spans="1:24" ht="12" customHeight="1">
      <c r="A2402" s="4">
        <v>6341</v>
      </c>
      <c r="B2402" s="4">
        <v>44960</v>
      </c>
      <c r="C2402" s="5">
        <f t="shared" si="1175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  <c r="V2402">
        <f t="shared" si="1164"/>
        <v>3</v>
      </c>
      <c r="W2402">
        <f t="shared" si="1162"/>
        <v>5</v>
      </c>
      <c r="X2402">
        <f t="shared" si="1163"/>
        <v>2011</v>
      </c>
    </row>
    <row r="2403" spans="1:24" ht="12" customHeight="1">
      <c r="A2403" s="4">
        <v>6342</v>
      </c>
      <c r="B2403" s="4">
        <v>44960</v>
      </c>
      <c r="C2403" s="5">
        <f t="shared" si="1175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  <c r="V2403">
        <f t="shared" si="1164"/>
        <v>7</v>
      </c>
      <c r="W2403">
        <f t="shared" si="1162"/>
        <v>5</v>
      </c>
      <c r="X2403">
        <f t="shared" si="1163"/>
        <v>2011</v>
      </c>
    </row>
    <row r="2404" spans="1:24" ht="12" customHeight="1">
      <c r="A2404" s="4">
        <v>6346</v>
      </c>
      <c r="B2404" s="4">
        <v>44992</v>
      </c>
      <c r="C2404" s="5">
        <f t="shared" ref="C2404:C2405" si="1176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177">C2404+2</f>
        <v>41269</v>
      </c>
      <c r="V2404">
        <f t="shared" si="1164"/>
        <v>26</v>
      </c>
      <c r="W2404">
        <f t="shared" si="1162"/>
        <v>12</v>
      </c>
      <c r="X2404">
        <f t="shared" si="1163"/>
        <v>2012</v>
      </c>
    </row>
    <row r="2405" spans="1:24" ht="12" customHeight="1">
      <c r="A2405" s="4">
        <v>6347</v>
      </c>
      <c r="B2405" s="4">
        <v>44992</v>
      </c>
      <c r="C2405" s="5">
        <f t="shared" si="1176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177"/>
        <v>41269</v>
      </c>
      <c r="V2405">
        <f t="shared" si="1164"/>
        <v>26</v>
      </c>
      <c r="W2405">
        <f t="shared" si="1162"/>
        <v>12</v>
      </c>
      <c r="X2405">
        <f t="shared" si="1163"/>
        <v>2012</v>
      </c>
    </row>
    <row r="2406" spans="1:24" ht="12" customHeight="1">
      <c r="A2406" s="4">
        <v>6359</v>
      </c>
      <c r="B2406" s="4">
        <v>45125</v>
      </c>
      <c r="C2406" s="5">
        <f t="shared" ref="C2406:C2407" si="1178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179">C2406+1</f>
        <v>41058</v>
      </c>
      <c r="V2406">
        <f t="shared" si="1164"/>
        <v>29</v>
      </c>
      <c r="W2406">
        <f t="shared" si="1162"/>
        <v>5</v>
      </c>
      <c r="X2406">
        <f t="shared" si="1163"/>
        <v>2012</v>
      </c>
    </row>
    <row r="2407" spans="1:24" ht="12" customHeight="1">
      <c r="A2407" s="4">
        <v>6360</v>
      </c>
      <c r="B2407" s="4">
        <v>45125</v>
      </c>
      <c r="C2407" s="5">
        <f t="shared" si="1178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179"/>
        <v>41058</v>
      </c>
      <c r="V2407">
        <f t="shared" si="1164"/>
        <v>29</v>
      </c>
      <c r="W2407">
        <f t="shared" si="1162"/>
        <v>5</v>
      </c>
      <c r="X2407">
        <f t="shared" si="1163"/>
        <v>2012</v>
      </c>
    </row>
    <row r="2408" spans="1:24" ht="12" customHeight="1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  <c r="V2408">
        <f t="shared" si="1164"/>
        <v>19</v>
      </c>
      <c r="W2408">
        <f t="shared" si="1162"/>
        <v>11</v>
      </c>
      <c r="X2408">
        <f t="shared" si="1163"/>
        <v>2010</v>
      </c>
    </row>
    <row r="2409" spans="1:24" ht="12" customHeight="1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  <c r="V2409">
        <f t="shared" si="1164"/>
        <v>12</v>
      </c>
      <c r="W2409">
        <f t="shared" si="1162"/>
        <v>2</v>
      </c>
      <c r="X2409">
        <f t="shared" si="1163"/>
        <v>2009</v>
      </c>
    </row>
    <row r="2410" spans="1:24" ht="12" customHeight="1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  <c r="V2410">
        <f t="shared" si="1164"/>
        <v>13</v>
      </c>
      <c r="W2410">
        <f t="shared" si="1162"/>
        <v>11</v>
      </c>
      <c r="X2410">
        <f t="shared" si="1163"/>
        <v>2012</v>
      </c>
    </row>
    <row r="2411" spans="1:24" ht="12" customHeight="1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180">C2411+2</f>
        <v>40155</v>
      </c>
      <c r="V2411">
        <f t="shared" si="1164"/>
        <v>8</v>
      </c>
      <c r="W2411">
        <f t="shared" si="1162"/>
        <v>12</v>
      </c>
      <c r="X2411">
        <f t="shared" si="1163"/>
        <v>2009</v>
      </c>
    </row>
    <row r="2412" spans="1:24" ht="12" customHeight="1">
      <c r="A2412" s="4">
        <v>6461</v>
      </c>
      <c r="B2412" s="4">
        <v>45991</v>
      </c>
      <c r="C2412" s="5">
        <f t="shared" ref="C2412:C2413" si="1181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180"/>
        <v>40590</v>
      </c>
      <c r="V2412">
        <f t="shared" si="1164"/>
        <v>16</v>
      </c>
      <c r="W2412">
        <f t="shared" si="1162"/>
        <v>2</v>
      </c>
      <c r="X2412">
        <f t="shared" si="1163"/>
        <v>2011</v>
      </c>
    </row>
    <row r="2413" spans="1:24" ht="12" customHeight="1">
      <c r="A2413" s="4">
        <v>6462</v>
      </c>
      <c r="B2413" s="4">
        <v>45991</v>
      </c>
      <c r="C2413" s="5">
        <f t="shared" si="1181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  <c r="V2413">
        <f t="shared" si="1164"/>
        <v>18</v>
      </c>
      <c r="W2413">
        <f t="shared" si="1162"/>
        <v>2</v>
      </c>
      <c r="X2413">
        <f t="shared" si="1163"/>
        <v>2011</v>
      </c>
    </row>
    <row r="2414" spans="1:24" ht="12" customHeight="1">
      <c r="A2414" s="4">
        <v>6502</v>
      </c>
      <c r="B2414" s="4">
        <v>46307</v>
      </c>
      <c r="C2414" s="5">
        <f t="shared" ref="C2414:C2415" si="1182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  <c r="V2414">
        <f t="shared" si="1164"/>
        <v>6</v>
      </c>
      <c r="W2414">
        <f t="shared" si="1162"/>
        <v>2</v>
      </c>
      <c r="X2414">
        <f t="shared" si="1163"/>
        <v>2011</v>
      </c>
    </row>
    <row r="2415" spans="1:24" ht="12" customHeight="1">
      <c r="A2415" s="4">
        <v>6503</v>
      </c>
      <c r="B2415" s="4">
        <v>46307</v>
      </c>
      <c r="C2415" s="5">
        <f t="shared" si="1182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  <c r="V2415">
        <f t="shared" si="1164"/>
        <v>9</v>
      </c>
      <c r="W2415">
        <f t="shared" si="1162"/>
        <v>2</v>
      </c>
      <c r="X2415">
        <f t="shared" si="1163"/>
        <v>2011</v>
      </c>
    </row>
    <row r="2416" spans="1:24" ht="12" customHeight="1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183">C2416+1</f>
        <v>40270</v>
      </c>
      <c r="V2416">
        <f t="shared" si="1164"/>
        <v>2</v>
      </c>
      <c r="W2416">
        <f t="shared" si="1162"/>
        <v>4</v>
      </c>
      <c r="X2416">
        <f t="shared" si="1163"/>
        <v>2010</v>
      </c>
    </row>
    <row r="2417" spans="1:24" ht="12" customHeight="1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183"/>
        <v>40961</v>
      </c>
      <c r="V2417">
        <f t="shared" si="1164"/>
        <v>22</v>
      </c>
      <c r="W2417">
        <f t="shared" si="1162"/>
        <v>2</v>
      </c>
      <c r="X2417">
        <f t="shared" si="1163"/>
        <v>2012</v>
      </c>
    </row>
    <row r="2418" spans="1:24" ht="12" customHeight="1">
      <c r="A2418" s="4">
        <v>6538</v>
      </c>
      <c r="B2418" s="4">
        <v>46528</v>
      </c>
      <c r="C2418" s="5">
        <f t="shared" ref="C2418:C2419" si="1184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  <c r="V2418">
        <f t="shared" si="1164"/>
        <v>8</v>
      </c>
      <c r="W2418">
        <f t="shared" si="1162"/>
        <v>12</v>
      </c>
      <c r="X2418">
        <f t="shared" si="1163"/>
        <v>2009</v>
      </c>
    </row>
    <row r="2419" spans="1:24" ht="12" customHeight="1">
      <c r="A2419" s="4">
        <v>6539</v>
      </c>
      <c r="B2419" s="4">
        <v>46528</v>
      </c>
      <c r="C2419" s="5">
        <f t="shared" si="1184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  <c r="V2419">
        <f t="shared" si="1164"/>
        <v>9</v>
      </c>
      <c r="W2419">
        <f t="shared" si="1162"/>
        <v>12</v>
      </c>
      <c r="X2419">
        <f t="shared" si="1163"/>
        <v>2009</v>
      </c>
    </row>
    <row r="2420" spans="1:24" ht="12" customHeight="1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  <c r="V2420">
        <f t="shared" si="1164"/>
        <v>1</v>
      </c>
      <c r="W2420">
        <f t="shared" si="1162"/>
        <v>7</v>
      </c>
      <c r="X2420">
        <f t="shared" si="1163"/>
        <v>2012</v>
      </c>
    </row>
    <row r="2421" spans="1:24" ht="12" customHeight="1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  <c r="V2421">
        <f t="shared" si="1164"/>
        <v>22</v>
      </c>
      <c r="W2421">
        <f t="shared" si="1162"/>
        <v>5</v>
      </c>
      <c r="X2421">
        <f t="shared" si="1163"/>
        <v>2009</v>
      </c>
    </row>
    <row r="2422" spans="1:24" ht="12" customHeight="1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  <c r="V2422">
        <f t="shared" si="1164"/>
        <v>6</v>
      </c>
      <c r="W2422">
        <f t="shared" si="1162"/>
        <v>3</v>
      </c>
      <c r="X2422">
        <f t="shared" si="1163"/>
        <v>2010</v>
      </c>
    </row>
    <row r="2423" spans="1:24" ht="12" customHeight="1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185">C2423+2</f>
        <v>39984</v>
      </c>
      <c r="V2423">
        <f t="shared" si="1164"/>
        <v>20</v>
      </c>
      <c r="W2423">
        <f t="shared" si="1162"/>
        <v>6</v>
      </c>
      <c r="X2423">
        <f t="shared" si="1163"/>
        <v>2009</v>
      </c>
    </row>
    <row r="2424" spans="1:24" ht="12" customHeight="1">
      <c r="A2424" s="4">
        <v>6599</v>
      </c>
      <c r="B2424" s="4">
        <v>46977</v>
      </c>
      <c r="C2424" s="5">
        <f t="shared" ref="C2424:C2425" si="1186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185"/>
        <v>41038</v>
      </c>
      <c r="V2424">
        <f t="shared" si="1164"/>
        <v>9</v>
      </c>
      <c r="W2424">
        <f t="shared" si="1162"/>
        <v>5</v>
      </c>
      <c r="X2424">
        <f t="shared" si="1163"/>
        <v>2012</v>
      </c>
    </row>
    <row r="2425" spans="1:24" ht="12" customHeight="1">
      <c r="A2425" s="4">
        <v>6600</v>
      </c>
      <c r="B2425" s="4">
        <v>46977</v>
      </c>
      <c r="C2425" s="5">
        <f t="shared" si="1186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185"/>
        <v>41038</v>
      </c>
      <c r="V2425">
        <f t="shared" si="1164"/>
        <v>9</v>
      </c>
      <c r="W2425">
        <f t="shared" si="1162"/>
        <v>5</v>
      </c>
      <c r="X2425">
        <f t="shared" si="1163"/>
        <v>2012</v>
      </c>
    </row>
    <row r="2426" spans="1:24" ht="12" customHeight="1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185"/>
        <v>41002</v>
      </c>
      <c r="V2426">
        <f t="shared" si="1164"/>
        <v>3</v>
      </c>
      <c r="W2426">
        <f t="shared" si="1162"/>
        <v>4</v>
      </c>
      <c r="X2426">
        <f t="shared" si="1163"/>
        <v>2012</v>
      </c>
    </row>
    <row r="2427" spans="1:24" ht="12" customHeight="1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  <c r="V2427">
        <f t="shared" si="1164"/>
        <v>22</v>
      </c>
      <c r="W2427">
        <f t="shared" si="1162"/>
        <v>7</v>
      </c>
      <c r="X2427">
        <f t="shared" si="1163"/>
        <v>2011</v>
      </c>
    </row>
    <row r="2428" spans="1:24" ht="12" customHeight="1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  <c r="V2428">
        <f t="shared" si="1164"/>
        <v>11</v>
      </c>
      <c r="W2428">
        <f t="shared" si="1162"/>
        <v>3</v>
      </c>
      <c r="X2428">
        <f t="shared" si="1163"/>
        <v>2011</v>
      </c>
    </row>
    <row r="2429" spans="1:24" ht="12" customHeight="1">
      <c r="A2429" s="4">
        <v>6742</v>
      </c>
      <c r="B2429" s="4">
        <v>48003</v>
      </c>
      <c r="C2429" s="5">
        <f t="shared" ref="C2429:C2430" si="1187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188">C2429+2</f>
        <v>40936</v>
      </c>
      <c r="V2429">
        <f t="shared" si="1164"/>
        <v>28</v>
      </c>
      <c r="W2429">
        <f t="shared" si="1162"/>
        <v>1</v>
      </c>
      <c r="X2429">
        <f t="shared" si="1163"/>
        <v>2012</v>
      </c>
    </row>
    <row r="2430" spans="1:24" ht="12" customHeight="1">
      <c r="A2430" s="4">
        <v>6743</v>
      </c>
      <c r="B2430" s="4">
        <v>48003</v>
      </c>
      <c r="C2430" s="5">
        <f t="shared" si="1187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188"/>
        <v>40936</v>
      </c>
      <c r="V2430">
        <f t="shared" si="1164"/>
        <v>28</v>
      </c>
      <c r="W2430">
        <f t="shared" si="1162"/>
        <v>1</v>
      </c>
      <c r="X2430">
        <f t="shared" si="1163"/>
        <v>2012</v>
      </c>
    </row>
    <row r="2431" spans="1:24" ht="12" customHeight="1">
      <c r="A2431" s="4">
        <v>6766</v>
      </c>
      <c r="B2431" s="4">
        <v>48195</v>
      </c>
      <c r="C2431" s="5">
        <f t="shared" ref="C2431:C2433" si="1189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  <c r="V2431">
        <f t="shared" si="1164"/>
        <v>28</v>
      </c>
      <c r="W2431">
        <f t="shared" si="1162"/>
        <v>11</v>
      </c>
      <c r="X2431">
        <f t="shared" si="1163"/>
        <v>2010</v>
      </c>
    </row>
    <row r="2432" spans="1:24" ht="12" customHeight="1">
      <c r="A2432" s="4">
        <v>6767</v>
      </c>
      <c r="B2432" s="4">
        <v>48195</v>
      </c>
      <c r="C2432" s="5">
        <f t="shared" si="1189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  <c r="V2432">
        <f t="shared" si="1164"/>
        <v>27</v>
      </c>
      <c r="W2432">
        <f t="shared" si="1162"/>
        <v>11</v>
      </c>
      <c r="X2432">
        <f t="shared" si="1163"/>
        <v>2010</v>
      </c>
    </row>
    <row r="2433" spans="1:24" ht="12" customHeight="1">
      <c r="A2433" s="4">
        <v>6768</v>
      </c>
      <c r="B2433" s="4">
        <v>48195</v>
      </c>
      <c r="C2433" s="5">
        <f t="shared" si="1189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  <c r="V2433">
        <f t="shared" si="1164"/>
        <v>28</v>
      </c>
      <c r="W2433">
        <f t="shared" si="1162"/>
        <v>11</v>
      </c>
      <c r="X2433">
        <f t="shared" si="1163"/>
        <v>2010</v>
      </c>
    </row>
    <row r="2434" spans="1:24" ht="12" customHeight="1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  <c r="V2434">
        <f t="shared" si="1164"/>
        <v>28</v>
      </c>
      <c r="W2434">
        <f t="shared" si="1162"/>
        <v>3</v>
      </c>
      <c r="X2434">
        <f t="shared" si="1163"/>
        <v>2009</v>
      </c>
    </row>
    <row r="2435" spans="1:24" ht="12" customHeight="1">
      <c r="A2435" s="4">
        <v>6826</v>
      </c>
      <c r="B2435" s="4">
        <v>48615</v>
      </c>
      <c r="C2435" s="5">
        <f t="shared" ref="C2435:C2436" si="1190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  <c r="V2435">
        <f t="shared" si="1164"/>
        <v>7</v>
      </c>
      <c r="W2435">
        <f t="shared" ref="W2435:W2498" si="1191">MONTH(U2435)</f>
        <v>12</v>
      </c>
      <c r="X2435">
        <f t="shared" ref="X2435:X2498" si="1192">YEAR(U2435)</f>
        <v>2012</v>
      </c>
    </row>
    <row r="2436" spans="1:24" ht="12" customHeight="1">
      <c r="A2436" s="4">
        <v>6827</v>
      </c>
      <c r="B2436" s="4">
        <v>48615</v>
      </c>
      <c r="C2436" s="5">
        <f t="shared" si="1190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  <c r="V2436">
        <f t="shared" ref="V2436:V2499" si="1193">DAY(U2436)</f>
        <v>8</v>
      </c>
      <c r="W2436">
        <f t="shared" si="1191"/>
        <v>12</v>
      </c>
      <c r="X2436">
        <f t="shared" si="1192"/>
        <v>2012</v>
      </c>
    </row>
    <row r="2437" spans="1:24" ht="12" customHeight="1">
      <c r="A2437" s="4">
        <v>6831</v>
      </c>
      <c r="B2437" s="4">
        <v>48642</v>
      </c>
      <c r="C2437" s="5">
        <f t="shared" ref="C2437:C2438" si="1194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  <c r="V2437">
        <f t="shared" si="1193"/>
        <v>3</v>
      </c>
      <c r="W2437">
        <f t="shared" si="1191"/>
        <v>2</v>
      </c>
      <c r="X2437">
        <f t="shared" si="1192"/>
        <v>2010</v>
      </c>
    </row>
    <row r="2438" spans="1:24" ht="12" customHeight="1">
      <c r="A2438" s="4">
        <v>6832</v>
      </c>
      <c r="B2438" s="4">
        <v>48642</v>
      </c>
      <c r="C2438" s="5">
        <f t="shared" si="1194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195">C2438+1</f>
        <v>40211</v>
      </c>
      <c r="V2438">
        <f t="shared" si="1193"/>
        <v>2</v>
      </c>
      <c r="W2438">
        <f t="shared" si="1191"/>
        <v>2</v>
      </c>
      <c r="X2438">
        <f t="shared" si="1192"/>
        <v>2010</v>
      </c>
    </row>
    <row r="2439" spans="1:24" ht="12" customHeight="1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195"/>
        <v>40143</v>
      </c>
      <c r="V2439">
        <f t="shared" si="1193"/>
        <v>26</v>
      </c>
      <c r="W2439">
        <f t="shared" si="1191"/>
        <v>11</v>
      </c>
      <c r="X2439">
        <f t="shared" si="1192"/>
        <v>2009</v>
      </c>
    </row>
    <row r="2440" spans="1:24" ht="12" customHeight="1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196">C2440+2</f>
        <v>41157</v>
      </c>
      <c r="V2440">
        <f t="shared" si="1193"/>
        <v>5</v>
      </c>
      <c r="W2440">
        <f t="shared" si="1191"/>
        <v>9</v>
      </c>
      <c r="X2440">
        <f t="shared" si="1192"/>
        <v>2012</v>
      </c>
    </row>
    <row r="2441" spans="1:24" ht="12" customHeight="1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196"/>
        <v>39903</v>
      </c>
      <c r="V2441">
        <f t="shared" si="1193"/>
        <v>31</v>
      </c>
      <c r="W2441">
        <f t="shared" si="1191"/>
        <v>3</v>
      </c>
      <c r="X2441">
        <f t="shared" si="1192"/>
        <v>2009</v>
      </c>
    </row>
    <row r="2442" spans="1:24" ht="12" customHeight="1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  <c r="V2442">
        <f t="shared" si="1193"/>
        <v>19</v>
      </c>
      <c r="W2442">
        <f t="shared" si="1191"/>
        <v>3</v>
      </c>
      <c r="X2442">
        <f t="shared" si="1192"/>
        <v>2009</v>
      </c>
    </row>
    <row r="2443" spans="1:24" ht="12" customHeight="1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  <c r="V2443">
        <f t="shared" si="1193"/>
        <v>21</v>
      </c>
      <c r="W2443">
        <f t="shared" si="1191"/>
        <v>3</v>
      </c>
      <c r="X2443">
        <f t="shared" si="1192"/>
        <v>2010</v>
      </c>
    </row>
    <row r="2444" spans="1:24" ht="12" customHeight="1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  <c r="V2444">
        <f t="shared" si="1193"/>
        <v>5</v>
      </c>
      <c r="W2444">
        <f t="shared" si="1191"/>
        <v>1</v>
      </c>
      <c r="X2444">
        <f t="shared" si="1192"/>
        <v>2009</v>
      </c>
    </row>
    <row r="2445" spans="1:24" ht="12" customHeight="1">
      <c r="A2445" s="4">
        <v>6985</v>
      </c>
      <c r="B2445" s="4">
        <v>49924</v>
      </c>
      <c r="C2445" s="5">
        <f t="shared" ref="C2445:C2446" si="1197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198">C2445+2</f>
        <v>40690</v>
      </c>
      <c r="V2445">
        <f t="shared" si="1193"/>
        <v>27</v>
      </c>
      <c r="W2445">
        <f t="shared" si="1191"/>
        <v>5</v>
      </c>
      <c r="X2445">
        <f t="shared" si="1192"/>
        <v>2011</v>
      </c>
    </row>
    <row r="2446" spans="1:24" ht="12" customHeight="1">
      <c r="A2446" s="4">
        <v>6986</v>
      </c>
      <c r="B2446" s="4">
        <v>49924</v>
      </c>
      <c r="C2446" s="5">
        <f t="shared" si="1197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198"/>
        <v>40690</v>
      </c>
      <c r="V2446">
        <f t="shared" si="1193"/>
        <v>27</v>
      </c>
      <c r="W2446">
        <f t="shared" si="1191"/>
        <v>5</v>
      </c>
      <c r="X2446">
        <f t="shared" si="1192"/>
        <v>2011</v>
      </c>
    </row>
    <row r="2447" spans="1:24" ht="12" customHeight="1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198"/>
        <v>40685</v>
      </c>
      <c r="V2447">
        <f t="shared" si="1193"/>
        <v>22</v>
      </c>
      <c r="W2447">
        <f t="shared" si="1191"/>
        <v>5</v>
      </c>
      <c r="X2447">
        <f t="shared" si="1192"/>
        <v>2011</v>
      </c>
    </row>
    <row r="2448" spans="1:24" ht="12" customHeight="1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198"/>
        <v>40795</v>
      </c>
      <c r="V2448">
        <f t="shared" si="1193"/>
        <v>9</v>
      </c>
      <c r="W2448">
        <f t="shared" si="1191"/>
        <v>9</v>
      </c>
      <c r="X2448">
        <f t="shared" si="1192"/>
        <v>2011</v>
      </c>
    </row>
    <row r="2449" spans="1:24" ht="12" customHeight="1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  <c r="V2449">
        <f t="shared" si="1193"/>
        <v>26</v>
      </c>
      <c r="W2449">
        <f t="shared" si="1191"/>
        <v>7</v>
      </c>
      <c r="X2449">
        <f t="shared" si="1192"/>
        <v>2009</v>
      </c>
    </row>
    <row r="2450" spans="1:24" ht="12" customHeight="1">
      <c r="A2450" s="4">
        <v>7131</v>
      </c>
      <c r="B2450" s="4">
        <v>50854</v>
      </c>
      <c r="C2450" s="5">
        <f t="shared" ref="C2450:C2452" si="1199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  <c r="V2450">
        <f t="shared" si="1193"/>
        <v>17</v>
      </c>
      <c r="W2450">
        <f t="shared" si="1191"/>
        <v>12</v>
      </c>
      <c r="X2450">
        <f t="shared" si="1192"/>
        <v>2011</v>
      </c>
    </row>
    <row r="2451" spans="1:24" ht="12" customHeight="1">
      <c r="A2451" s="4">
        <v>7132</v>
      </c>
      <c r="B2451" s="4">
        <v>50854</v>
      </c>
      <c r="C2451" s="5">
        <f t="shared" si="1199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  <c r="V2451">
        <f t="shared" si="1193"/>
        <v>19</v>
      </c>
      <c r="W2451">
        <f t="shared" si="1191"/>
        <v>12</v>
      </c>
      <c r="X2451">
        <f t="shared" si="1192"/>
        <v>2011</v>
      </c>
    </row>
    <row r="2452" spans="1:24" ht="12" customHeight="1">
      <c r="A2452" s="4">
        <v>7133</v>
      </c>
      <c r="B2452" s="4">
        <v>50854</v>
      </c>
      <c r="C2452" s="5">
        <f t="shared" si="1199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  <c r="V2452">
        <f t="shared" si="1193"/>
        <v>17</v>
      </c>
      <c r="W2452">
        <f t="shared" si="1191"/>
        <v>12</v>
      </c>
      <c r="X2452">
        <f t="shared" si="1192"/>
        <v>2011</v>
      </c>
    </row>
    <row r="2453" spans="1:24" ht="12" customHeight="1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  <c r="V2453">
        <f t="shared" si="1193"/>
        <v>10</v>
      </c>
      <c r="W2453">
        <f t="shared" si="1191"/>
        <v>11</v>
      </c>
      <c r="X2453">
        <f t="shared" si="1192"/>
        <v>2012</v>
      </c>
    </row>
    <row r="2454" spans="1:24" ht="12" customHeight="1">
      <c r="A2454" s="4">
        <v>7204</v>
      </c>
      <c r="B2454" s="4">
        <v>51395</v>
      </c>
      <c r="C2454" s="5">
        <f t="shared" ref="C2454:C2455" si="1200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  <c r="V2454">
        <f t="shared" si="1193"/>
        <v>14</v>
      </c>
      <c r="W2454">
        <f t="shared" si="1191"/>
        <v>6</v>
      </c>
      <c r="X2454">
        <f t="shared" si="1192"/>
        <v>2010</v>
      </c>
    </row>
    <row r="2455" spans="1:24" ht="12" customHeight="1">
      <c r="A2455" s="4">
        <v>7205</v>
      </c>
      <c r="B2455" s="4">
        <v>51395</v>
      </c>
      <c r="C2455" s="5">
        <f t="shared" si="1200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  <c r="V2455">
        <f t="shared" si="1193"/>
        <v>13</v>
      </c>
      <c r="W2455">
        <f t="shared" si="1191"/>
        <v>6</v>
      </c>
      <c r="X2455">
        <f t="shared" si="1192"/>
        <v>2010</v>
      </c>
    </row>
    <row r="2456" spans="1:24" ht="12" customHeight="1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  <c r="V2456">
        <f t="shared" si="1193"/>
        <v>13</v>
      </c>
      <c r="W2456">
        <f t="shared" si="1191"/>
        <v>3</v>
      </c>
      <c r="X2456">
        <f t="shared" si="1192"/>
        <v>2012</v>
      </c>
    </row>
    <row r="2457" spans="1:24" ht="12" customHeight="1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  <c r="V2457">
        <f t="shared" si="1193"/>
        <v>23</v>
      </c>
      <c r="W2457">
        <f t="shared" si="1191"/>
        <v>12</v>
      </c>
      <c r="X2457">
        <f t="shared" si="1192"/>
        <v>2012</v>
      </c>
    </row>
    <row r="2458" spans="1:24" ht="12" customHeight="1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201">C2458+0</f>
        <v>39871</v>
      </c>
      <c r="V2458">
        <f t="shared" si="1193"/>
        <v>27</v>
      </c>
      <c r="W2458">
        <f t="shared" si="1191"/>
        <v>2</v>
      </c>
      <c r="X2458">
        <f t="shared" si="1192"/>
        <v>2009</v>
      </c>
    </row>
    <row r="2459" spans="1:24" ht="12" customHeight="1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201"/>
        <v>40247</v>
      </c>
      <c r="V2459">
        <f t="shared" si="1193"/>
        <v>10</v>
      </c>
      <c r="W2459">
        <f t="shared" si="1191"/>
        <v>3</v>
      </c>
      <c r="X2459">
        <f t="shared" si="1192"/>
        <v>2010</v>
      </c>
    </row>
    <row r="2460" spans="1:24" ht="12" customHeight="1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201"/>
        <v>40433</v>
      </c>
      <c r="V2460">
        <f t="shared" si="1193"/>
        <v>12</v>
      </c>
      <c r="W2460">
        <f t="shared" si="1191"/>
        <v>9</v>
      </c>
      <c r="X2460">
        <f t="shared" si="1192"/>
        <v>2010</v>
      </c>
    </row>
    <row r="2461" spans="1:24" ht="12" customHeight="1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  <c r="V2461">
        <f t="shared" si="1193"/>
        <v>26</v>
      </c>
      <c r="W2461">
        <f t="shared" si="1191"/>
        <v>3</v>
      </c>
      <c r="X2461">
        <f t="shared" si="1192"/>
        <v>2010</v>
      </c>
    </row>
    <row r="2462" spans="1:24" ht="12" customHeight="1">
      <c r="A2462" s="4">
        <v>7315</v>
      </c>
      <c r="B2462" s="4">
        <v>52162</v>
      </c>
      <c r="C2462" s="5">
        <f t="shared" ref="C2462:C2463" si="1202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  <c r="V2462">
        <f t="shared" si="1193"/>
        <v>1</v>
      </c>
      <c r="W2462">
        <f t="shared" si="1191"/>
        <v>11</v>
      </c>
      <c r="X2462">
        <f t="shared" si="1192"/>
        <v>2011</v>
      </c>
    </row>
    <row r="2463" spans="1:24" ht="12" customHeight="1">
      <c r="A2463" s="4">
        <v>7316</v>
      </c>
      <c r="B2463" s="4">
        <v>52162</v>
      </c>
      <c r="C2463" s="5">
        <f t="shared" si="1202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  <c r="V2463">
        <f t="shared" si="1193"/>
        <v>2</v>
      </c>
      <c r="W2463">
        <f t="shared" si="1191"/>
        <v>11</v>
      </c>
      <c r="X2463">
        <f t="shared" si="1192"/>
        <v>2011</v>
      </c>
    </row>
    <row r="2464" spans="1:24" ht="12" customHeight="1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203">C2464+2</f>
        <v>40488</v>
      </c>
      <c r="V2464">
        <f t="shared" si="1193"/>
        <v>6</v>
      </c>
      <c r="W2464">
        <f t="shared" si="1191"/>
        <v>11</v>
      </c>
      <c r="X2464">
        <f t="shared" si="1192"/>
        <v>2010</v>
      </c>
    </row>
    <row r="2465" spans="1:24" ht="12" customHeight="1">
      <c r="A2465" s="4">
        <v>7354</v>
      </c>
      <c r="B2465" s="4">
        <v>52391</v>
      </c>
      <c r="C2465" s="5">
        <f t="shared" ref="C2465:C2466" si="1204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203"/>
        <v>40161</v>
      </c>
      <c r="V2465">
        <f t="shared" si="1193"/>
        <v>14</v>
      </c>
      <c r="W2465">
        <f t="shared" si="1191"/>
        <v>12</v>
      </c>
      <c r="X2465">
        <f t="shared" si="1192"/>
        <v>2009</v>
      </c>
    </row>
    <row r="2466" spans="1:24" ht="12" customHeight="1">
      <c r="A2466" s="4">
        <v>7355</v>
      </c>
      <c r="B2466" s="4">
        <v>52391</v>
      </c>
      <c r="C2466" s="5">
        <f t="shared" si="1204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203"/>
        <v>40161</v>
      </c>
      <c r="V2466">
        <f t="shared" si="1193"/>
        <v>14</v>
      </c>
      <c r="W2466">
        <f t="shared" si="1191"/>
        <v>12</v>
      </c>
      <c r="X2466">
        <f t="shared" si="1192"/>
        <v>2009</v>
      </c>
    </row>
    <row r="2467" spans="1:24" ht="12" customHeight="1">
      <c r="A2467" s="4">
        <v>7384</v>
      </c>
      <c r="B2467" s="4">
        <v>52642</v>
      </c>
      <c r="C2467" s="5">
        <f t="shared" ref="C2467:C2469" si="1205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  <c r="V2467">
        <f t="shared" si="1193"/>
        <v>18</v>
      </c>
      <c r="W2467">
        <f t="shared" si="1191"/>
        <v>6</v>
      </c>
      <c r="X2467">
        <f t="shared" si="1192"/>
        <v>2011</v>
      </c>
    </row>
    <row r="2468" spans="1:24" ht="12" customHeight="1">
      <c r="A2468" s="4">
        <v>7385</v>
      </c>
      <c r="B2468" s="4">
        <v>52642</v>
      </c>
      <c r="C2468" s="5">
        <f t="shared" si="1205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206">C2468+7</f>
        <v>40715</v>
      </c>
      <c r="V2468">
        <f t="shared" si="1193"/>
        <v>21</v>
      </c>
      <c r="W2468">
        <f t="shared" si="1191"/>
        <v>6</v>
      </c>
      <c r="X2468">
        <f t="shared" si="1192"/>
        <v>2011</v>
      </c>
    </row>
    <row r="2469" spans="1:24" ht="12" customHeight="1">
      <c r="A2469" s="4">
        <v>7386</v>
      </c>
      <c r="B2469" s="4">
        <v>52642</v>
      </c>
      <c r="C2469" s="5">
        <f t="shared" si="1205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206"/>
        <v>40715</v>
      </c>
      <c r="V2469">
        <f t="shared" si="1193"/>
        <v>21</v>
      </c>
      <c r="W2469">
        <f t="shared" si="1191"/>
        <v>6</v>
      </c>
      <c r="X2469">
        <f t="shared" si="1192"/>
        <v>2011</v>
      </c>
    </row>
    <row r="2470" spans="1:24" ht="12" customHeight="1">
      <c r="A2470" s="4">
        <v>7387</v>
      </c>
      <c r="B2470" s="4">
        <v>52645</v>
      </c>
      <c r="C2470" s="5">
        <f t="shared" ref="C2470:C2471" si="1207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  <c r="V2470">
        <f t="shared" si="1193"/>
        <v>12</v>
      </c>
      <c r="W2470">
        <f t="shared" si="1191"/>
        <v>3</v>
      </c>
      <c r="X2470">
        <f t="shared" si="1192"/>
        <v>2012</v>
      </c>
    </row>
    <row r="2471" spans="1:24" ht="12" customHeight="1">
      <c r="A2471" s="4">
        <v>7388</v>
      </c>
      <c r="B2471" s="4">
        <v>52645</v>
      </c>
      <c r="C2471" s="5">
        <f t="shared" si="1207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  <c r="V2471">
        <f t="shared" si="1193"/>
        <v>16</v>
      </c>
      <c r="W2471">
        <f t="shared" si="1191"/>
        <v>3</v>
      </c>
      <c r="X2471">
        <f t="shared" si="1192"/>
        <v>2012</v>
      </c>
    </row>
    <row r="2472" spans="1:24" ht="12" customHeight="1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  <c r="V2472">
        <f t="shared" si="1193"/>
        <v>23</v>
      </c>
      <c r="W2472">
        <f t="shared" si="1191"/>
        <v>9</v>
      </c>
      <c r="X2472">
        <f t="shared" si="1192"/>
        <v>2011</v>
      </c>
    </row>
    <row r="2473" spans="1:24" ht="12" customHeight="1">
      <c r="A2473" s="4">
        <v>7412</v>
      </c>
      <c r="B2473" s="4">
        <v>52896</v>
      </c>
      <c r="C2473" s="5">
        <f t="shared" ref="C2473:C2474" si="1208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  <c r="V2473">
        <f t="shared" si="1193"/>
        <v>24</v>
      </c>
      <c r="W2473">
        <f t="shared" si="1191"/>
        <v>10</v>
      </c>
      <c r="X2473">
        <f t="shared" si="1192"/>
        <v>2010</v>
      </c>
    </row>
    <row r="2474" spans="1:24" ht="12" customHeight="1">
      <c r="A2474" s="4">
        <v>7413</v>
      </c>
      <c r="B2474" s="4">
        <v>52896</v>
      </c>
      <c r="C2474" s="5">
        <f t="shared" si="1208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  <c r="V2474">
        <f t="shared" si="1193"/>
        <v>23</v>
      </c>
      <c r="W2474">
        <f t="shared" si="1191"/>
        <v>10</v>
      </c>
      <c r="X2474">
        <f t="shared" si="1192"/>
        <v>2010</v>
      </c>
    </row>
    <row r="2475" spans="1:24" ht="12" customHeight="1">
      <c r="A2475" s="4">
        <v>7432</v>
      </c>
      <c r="B2475" s="4">
        <v>52999</v>
      </c>
      <c r="C2475" s="5">
        <f t="shared" ref="C2475:C2477" si="1209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210">C2475+2</f>
        <v>41026</v>
      </c>
      <c r="V2475">
        <f t="shared" si="1193"/>
        <v>27</v>
      </c>
      <c r="W2475">
        <f t="shared" si="1191"/>
        <v>4</v>
      </c>
      <c r="X2475">
        <f t="shared" si="1192"/>
        <v>2012</v>
      </c>
    </row>
    <row r="2476" spans="1:24" ht="12" customHeight="1">
      <c r="A2476" s="4">
        <v>7433</v>
      </c>
      <c r="B2476" s="4">
        <v>52999</v>
      </c>
      <c r="C2476" s="5">
        <f t="shared" si="1209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210"/>
        <v>41026</v>
      </c>
      <c r="V2476">
        <f t="shared" si="1193"/>
        <v>27</v>
      </c>
      <c r="W2476">
        <f t="shared" si="1191"/>
        <v>4</v>
      </c>
      <c r="X2476">
        <f t="shared" si="1192"/>
        <v>2012</v>
      </c>
    </row>
    <row r="2477" spans="1:24" ht="12" customHeight="1">
      <c r="A2477" s="4">
        <v>7434</v>
      </c>
      <c r="B2477" s="4">
        <v>52999</v>
      </c>
      <c r="C2477" s="5">
        <f t="shared" si="1209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  <c r="V2477">
        <f t="shared" si="1193"/>
        <v>25</v>
      </c>
      <c r="W2477">
        <f t="shared" si="1191"/>
        <v>4</v>
      </c>
      <c r="X2477">
        <f t="shared" si="1192"/>
        <v>2012</v>
      </c>
    </row>
    <row r="2478" spans="1:24" ht="12" customHeight="1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  <c r="V2478">
        <f t="shared" si="1193"/>
        <v>21</v>
      </c>
      <c r="W2478">
        <f t="shared" si="1191"/>
        <v>8</v>
      </c>
      <c r="X2478">
        <f t="shared" si="1192"/>
        <v>2009</v>
      </c>
    </row>
    <row r="2479" spans="1:24" ht="12" customHeight="1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211">C2479+2</f>
        <v>39907</v>
      </c>
      <c r="V2479">
        <f t="shared" si="1193"/>
        <v>4</v>
      </c>
      <c r="W2479">
        <f t="shared" si="1191"/>
        <v>4</v>
      </c>
      <c r="X2479">
        <f t="shared" si="1192"/>
        <v>2009</v>
      </c>
    </row>
    <row r="2480" spans="1:24" ht="12" customHeight="1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211"/>
        <v>41055</v>
      </c>
      <c r="V2480">
        <f t="shared" si="1193"/>
        <v>26</v>
      </c>
      <c r="W2480">
        <f t="shared" si="1191"/>
        <v>5</v>
      </c>
      <c r="X2480">
        <f t="shared" si="1192"/>
        <v>2012</v>
      </c>
    </row>
    <row r="2481" spans="1:24" ht="12" customHeight="1">
      <c r="A2481" s="4">
        <v>7467</v>
      </c>
      <c r="B2481" s="4">
        <v>53312</v>
      </c>
      <c r="C2481" s="5">
        <f t="shared" ref="C2481:C2482" si="1212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211"/>
        <v>40000</v>
      </c>
      <c r="V2481">
        <f t="shared" si="1193"/>
        <v>6</v>
      </c>
      <c r="W2481">
        <f t="shared" si="1191"/>
        <v>7</v>
      </c>
      <c r="X2481">
        <f t="shared" si="1192"/>
        <v>2009</v>
      </c>
    </row>
    <row r="2482" spans="1:24" ht="12" customHeight="1">
      <c r="A2482" s="4">
        <v>7468</v>
      </c>
      <c r="B2482" s="4">
        <v>53312</v>
      </c>
      <c r="C2482" s="5">
        <f t="shared" si="1212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213">C2482+1</f>
        <v>39999</v>
      </c>
      <c r="V2482">
        <f t="shared" si="1193"/>
        <v>5</v>
      </c>
      <c r="W2482">
        <f t="shared" si="1191"/>
        <v>7</v>
      </c>
      <c r="X2482">
        <f t="shared" si="1192"/>
        <v>2009</v>
      </c>
    </row>
    <row r="2483" spans="1:24" ht="12" customHeight="1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213"/>
        <v>40620</v>
      </c>
      <c r="V2483">
        <f t="shared" si="1193"/>
        <v>18</v>
      </c>
      <c r="W2483">
        <f t="shared" si="1191"/>
        <v>3</v>
      </c>
      <c r="X2483">
        <f t="shared" si="1192"/>
        <v>2011</v>
      </c>
    </row>
    <row r="2484" spans="1:24" ht="12" customHeight="1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213"/>
        <v>41077</v>
      </c>
      <c r="V2484">
        <f t="shared" si="1193"/>
        <v>17</v>
      </c>
      <c r="W2484">
        <f t="shared" si="1191"/>
        <v>6</v>
      </c>
      <c r="X2484">
        <f t="shared" si="1192"/>
        <v>2012</v>
      </c>
    </row>
    <row r="2485" spans="1:24" ht="12" customHeight="1">
      <c r="A2485" s="4">
        <v>7577</v>
      </c>
      <c r="B2485" s="4">
        <v>54183</v>
      </c>
      <c r="C2485" s="5">
        <f t="shared" ref="C2485:C2486" si="1214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  <c r="V2485">
        <f t="shared" si="1193"/>
        <v>17</v>
      </c>
      <c r="W2485">
        <f t="shared" si="1191"/>
        <v>4</v>
      </c>
      <c r="X2485">
        <f t="shared" si="1192"/>
        <v>2012</v>
      </c>
    </row>
    <row r="2486" spans="1:24" ht="12" customHeight="1">
      <c r="A2486" s="4">
        <v>7578</v>
      </c>
      <c r="B2486" s="4">
        <v>54183</v>
      </c>
      <c r="C2486" s="5">
        <f t="shared" si="1214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215">C2486+1</f>
        <v>41015</v>
      </c>
      <c r="V2486">
        <f t="shared" si="1193"/>
        <v>16</v>
      </c>
      <c r="W2486">
        <f t="shared" si="1191"/>
        <v>4</v>
      </c>
      <c r="X2486">
        <f t="shared" si="1192"/>
        <v>2012</v>
      </c>
    </row>
    <row r="2487" spans="1:24" ht="12" customHeight="1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215"/>
        <v>40627</v>
      </c>
      <c r="V2487">
        <f t="shared" si="1193"/>
        <v>25</v>
      </c>
      <c r="W2487">
        <f t="shared" si="1191"/>
        <v>3</v>
      </c>
      <c r="X2487">
        <f t="shared" si="1192"/>
        <v>2011</v>
      </c>
    </row>
    <row r="2488" spans="1:24" ht="12" customHeight="1">
      <c r="A2488" s="4">
        <v>7592</v>
      </c>
      <c r="B2488" s="4">
        <v>54339</v>
      </c>
      <c r="C2488" s="5">
        <f t="shared" ref="C2488:C2489" si="1216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  <c r="V2488">
        <f t="shared" si="1193"/>
        <v>9</v>
      </c>
      <c r="W2488">
        <f t="shared" si="1191"/>
        <v>5</v>
      </c>
      <c r="X2488">
        <f t="shared" si="1192"/>
        <v>2012</v>
      </c>
    </row>
    <row r="2489" spans="1:24" ht="12" customHeight="1">
      <c r="A2489" s="4">
        <v>7593</v>
      </c>
      <c r="B2489" s="4">
        <v>54339</v>
      </c>
      <c r="C2489" s="5">
        <f t="shared" si="1216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  <c r="V2489">
        <f t="shared" si="1193"/>
        <v>7</v>
      </c>
      <c r="W2489">
        <f t="shared" si="1191"/>
        <v>5</v>
      </c>
      <c r="X2489">
        <f t="shared" si="1192"/>
        <v>2012</v>
      </c>
    </row>
    <row r="2490" spans="1:24" ht="12" customHeight="1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217">C2490+2</f>
        <v>40883</v>
      </c>
      <c r="V2490">
        <f t="shared" si="1193"/>
        <v>6</v>
      </c>
      <c r="W2490">
        <f t="shared" si="1191"/>
        <v>12</v>
      </c>
      <c r="X2490">
        <f t="shared" si="1192"/>
        <v>2011</v>
      </c>
    </row>
    <row r="2491" spans="1:24" ht="12" customHeight="1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217"/>
        <v>40457</v>
      </c>
      <c r="V2491">
        <f t="shared" si="1193"/>
        <v>6</v>
      </c>
      <c r="W2491">
        <f t="shared" si="1191"/>
        <v>10</v>
      </c>
      <c r="X2491">
        <f t="shared" si="1192"/>
        <v>2010</v>
      </c>
    </row>
    <row r="2492" spans="1:24" ht="12" customHeight="1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  <c r="V2492">
        <f t="shared" si="1193"/>
        <v>19</v>
      </c>
      <c r="W2492">
        <f t="shared" si="1191"/>
        <v>9</v>
      </c>
      <c r="X2492">
        <f t="shared" si="1192"/>
        <v>2009</v>
      </c>
    </row>
    <row r="2493" spans="1:24" ht="12" customHeight="1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  <c r="V2493">
        <f t="shared" si="1193"/>
        <v>10</v>
      </c>
      <c r="W2493">
        <f t="shared" si="1191"/>
        <v>12</v>
      </c>
      <c r="X2493">
        <f t="shared" si="1192"/>
        <v>2009</v>
      </c>
    </row>
    <row r="2494" spans="1:24" ht="12" customHeight="1">
      <c r="A2494" s="4">
        <v>7659</v>
      </c>
      <c r="B2494" s="4">
        <v>54914</v>
      </c>
      <c r="C2494" s="5">
        <f t="shared" ref="C2494:C2495" si="1218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  <c r="V2494">
        <f t="shared" si="1193"/>
        <v>29</v>
      </c>
      <c r="W2494">
        <f t="shared" si="1191"/>
        <v>8</v>
      </c>
      <c r="X2494">
        <f t="shared" si="1192"/>
        <v>2011</v>
      </c>
    </row>
    <row r="2495" spans="1:24" ht="12" customHeight="1">
      <c r="A2495" s="4">
        <v>7660</v>
      </c>
      <c r="B2495" s="4">
        <v>54914</v>
      </c>
      <c r="C2495" s="5">
        <f t="shared" si="1218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  <c r="V2495">
        <f t="shared" si="1193"/>
        <v>30</v>
      </c>
      <c r="W2495">
        <f t="shared" si="1191"/>
        <v>8</v>
      </c>
      <c r="X2495">
        <f t="shared" si="1192"/>
        <v>2011</v>
      </c>
    </row>
    <row r="2496" spans="1:24" ht="12" customHeight="1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  <c r="V2496">
        <f t="shared" si="1193"/>
        <v>20</v>
      </c>
      <c r="W2496">
        <f t="shared" si="1191"/>
        <v>3</v>
      </c>
      <c r="X2496">
        <f t="shared" si="1192"/>
        <v>2012</v>
      </c>
    </row>
    <row r="2497" spans="1:24" ht="12" customHeight="1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219">C2497+1</f>
        <v>40201</v>
      </c>
      <c r="V2497">
        <f t="shared" si="1193"/>
        <v>23</v>
      </c>
      <c r="W2497">
        <f t="shared" si="1191"/>
        <v>1</v>
      </c>
      <c r="X2497">
        <f t="shared" si="1192"/>
        <v>2010</v>
      </c>
    </row>
    <row r="2498" spans="1:24" ht="12" customHeight="1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219"/>
        <v>41205</v>
      </c>
      <c r="V2498">
        <f t="shared" si="1193"/>
        <v>23</v>
      </c>
      <c r="W2498">
        <f t="shared" si="1191"/>
        <v>10</v>
      </c>
      <c r="X2498">
        <f t="shared" si="1192"/>
        <v>2012</v>
      </c>
    </row>
    <row r="2499" spans="1:24" ht="12" customHeight="1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219"/>
        <v>39895</v>
      </c>
      <c r="V2499">
        <f t="shared" si="1193"/>
        <v>23</v>
      </c>
      <c r="W2499">
        <f t="shared" ref="W2499:W2562" si="1220">MONTH(U2499)</f>
        <v>3</v>
      </c>
      <c r="X2499">
        <f t="shared" ref="X2499:X2562" si="1221">YEAR(U2499)</f>
        <v>2009</v>
      </c>
    </row>
    <row r="2500" spans="1:24" ht="12" customHeight="1">
      <c r="A2500" s="4">
        <v>7810</v>
      </c>
      <c r="B2500" s="4">
        <v>55874</v>
      </c>
      <c r="C2500" s="5">
        <f t="shared" ref="C2500:C2501" si="1222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219"/>
        <v>39861</v>
      </c>
      <c r="V2500">
        <f t="shared" ref="V2500:V2563" si="1223">DAY(U2500)</f>
        <v>17</v>
      </c>
      <c r="W2500">
        <f t="shared" si="1220"/>
        <v>2</v>
      </c>
      <c r="X2500">
        <f t="shared" si="1221"/>
        <v>2009</v>
      </c>
    </row>
    <row r="2501" spans="1:24" ht="12" customHeight="1">
      <c r="A2501" s="4">
        <v>7811</v>
      </c>
      <c r="B2501" s="4">
        <v>55874</v>
      </c>
      <c r="C2501" s="5">
        <f t="shared" si="1222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224">C2501+2</f>
        <v>39862</v>
      </c>
      <c r="V2501">
        <f t="shared" si="1223"/>
        <v>18</v>
      </c>
      <c r="W2501">
        <f t="shared" si="1220"/>
        <v>2</v>
      </c>
      <c r="X2501">
        <f t="shared" si="1221"/>
        <v>2009</v>
      </c>
    </row>
    <row r="2502" spans="1:24" ht="12" customHeight="1">
      <c r="A2502" s="4">
        <v>7831</v>
      </c>
      <c r="B2502" s="4">
        <v>56002</v>
      </c>
      <c r="C2502" s="5">
        <f t="shared" ref="C2502:C2505" si="122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224"/>
        <v>40000</v>
      </c>
      <c r="V2502">
        <f t="shared" si="1223"/>
        <v>6</v>
      </c>
      <c r="W2502">
        <f t="shared" si="1220"/>
        <v>7</v>
      </c>
      <c r="X2502">
        <f t="shared" si="1221"/>
        <v>2009</v>
      </c>
    </row>
    <row r="2503" spans="1:24" ht="12" customHeight="1">
      <c r="A2503" s="4">
        <v>7832</v>
      </c>
      <c r="B2503" s="4">
        <v>56002</v>
      </c>
      <c r="C2503" s="5">
        <f t="shared" si="122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  <c r="V2503">
        <f t="shared" si="1223"/>
        <v>8</v>
      </c>
      <c r="W2503">
        <f t="shared" si="1220"/>
        <v>7</v>
      </c>
      <c r="X2503">
        <f t="shared" si="1221"/>
        <v>2009</v>
      </c>
    </row>
    <row r="2504" spans="1:24" ht="12" customHeight="1">
      <c r="A2504" s="4">
        <v>7833</v>
      </c>
      <c r="B2504" s="4">
        <v>56002</v>
      </c>
      <c r="C2504" s="5">
        <f t="shared" si="122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  <c r="V2504">
        <f t="shared" si="1223"/>
        <v>11</v>
      </c>
      <c r="W2504">
        <f t="shared" si="1220"/>
        <v>7</v>
      </c>
      <c r="X2504">
        <f t="shared" si="1221"/>
        <v>2009</v>
      </c>
    </row>
    <row r="2505" spans="1:24" ht="12" customHeight="1">
      <c r="A2505" s="4">
        <v>7834</v>
      </c>
      <c r="B2505" s="4">
        <v>56002</v>
      </c>
      <c r="C2505" s="5">
        <f t="shared" si="122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  <c r="V2505">
        <f t="shared" si="1223"/>
        <v>6</v>
      </c>
      <c r="W2505">
        <f t="shared" si="1220"/>
        <v>7</v>
      </c>
      <c r="X2505">
        <f t="shared" si="1221"/>
        <v>2009</v>
      </c>
    </row>
    <row r="2506" spans="1:24" ht="12" customHeight="1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  <c r="V2506">
        <f t="shared" si="1223"/>
        <v>30</v>
      </c>
      <c r="W2506">
        <f t="shared" si="1220"/>
        <v>11</v>
      </c>
      <c r="X2506">
        <f t="shared" si="1221"/>
        <v>2011</v>
      </c>
    </row>
    <row r="2507" spans="1:24" ht="12" customHeight="1">
      <c r="A2507" s="4">
        <v>7936</v>
      </c>
      <c r="B2507" s="4">
        <v>56710</v>
      </c>
      <c r="C2507" s="5">
        <f t="shared" ref="C2507:C2510" si="122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227">C2507+1</f>
        <v>40310</v>
      </c>
      <c r="V2507">
        <f t="shared" si="1223"/>
        <v>12</v>
      </c>
      <c r="W2507">
        <f t="shared" si="1220"/>
        <v>5</v>
      </c>
      <c r="X2507">
        <f t="shared" si="1221"/>
        <v>2010</v>
      </c>
    </row>
    <row r="2508" spans="1:24" ht="12" customHeight="1">
      <c r="A2508" s="4">
        <v>7937</v>
      </c>
      <c r="B2508" s="4">
        <v>56710</v>
      </c>
      <c r="C2508" s="5">
        <f t="shared" si="122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227"/>
        <v>40310</v>
      </c>
      <c r="V2508">
        <f t="shared" si="1223"/>
        <v>12</v>
      </c>
      <c r="W2508">
        <f t="shared" si="1220"/>
        <v>5</v>
      </c>
      <c r="X2508">
        <f t="shared" si="1221"/>
        <v>2010</v>
      </c>
    </row>
    <row r="2509" spans="1:24" ht="12" customHeight="1">
      <c r="A2509" s="4">
        <v>7938</v>
      </c>
      <c r="B2509" s="4">
        <v>56710</v>
      </c>
      <c r="C2509" s="5">
        <f t="shared" si="122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228">C2509+2</f>
        <v>40311</v>
      </c>
      <c r="V2509">
        <f t="shared" si="1223"/>
        <v>13</v>
      </c>
      <c r="W2509">
        <f t="shared" si="1220"/>
        <v>5</v>
      </c>
      <c r="X2509">
        <f t="shared" si="1221"/>
        <v>2010</v>
      </c>
    </row>
    <row r="2510" spans="1:24" ht="12" customHeight="1">
      <c r="A2510" s="4">
        <v>7939</v>
      </c>
      <c r="B2510" s="4">
        <v>56710</v>
      </c>
      <c r="C2510" s="5">
        <f t="shared" si="122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228"/>
        <v>40311</v>
      </c>
      <c r="V2510">
        <f t="shared" si="1223"/>
        <v>13</v>
      </c>
      <c r="W2510">
        <f t="shared" si="1220"/>
        <v>5</v>
      </c>
      <c r="X2510">
        <f t="shared" si="1221"/>
        <v>2010</v>
      </c>
    </row>
    <row r="2511" spans="1:24" ht="12" customHeight="1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229">C2511+1</f>
        <v>40300</v>
      </c>
      <c r="V2511">
        <f t="shared" si="1223"/>
        <v>2</v>
      </c>
      <c r="W2511">
        <f t="shared" si="1220"/>
        <v>5</v>
      </c>
      <c r="X2511">
        <f t="shared" si="1221"/>
        <v>2010</v>
      </c>
    </row>
    <row r="2512" spans="1:24" ht="12" customHeight="1">
      <c r="A2512" s="4">
        <v>8011</v>
      </c>
      <c r="B2512" s="4">
        <v>57253</v>
      </c>
      <c r="C2512" s="5">
        <f t="shared" ref="C2512:C2516" si="123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229"/>
        <v>39819</v>
      </c>
      <c r="V2512">
        <f t="shared" si="1223"/>
        <v>6</v>
      </c>
      <c r="W2512">
        <f t="shared" si="1220"/>
        <v>1</v>
      </c>
      <c r="X2512">
        <f t="shared" si="1221"/>
        <v>2009</v>
      </c>
    </row>
    <row r="2513" spans="1:24" ht="12" customHeight="1">
      <c r="A2513" s="4">
        <v>8012</v>
      </c>
      <c r="B2513" s="4">
        <v>57253</v>
      </c>
      <c r="C2513" s="5">
        <f t="shared" si="123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  <c r="V2513">
        <f t="shared" si="1223"/>
        <v>7</v>
      </c>
      <c r="W2513">
        <f t="shared" si="1220"/>
        <v>1</v>
      </c>
      <c r="X2513">
        <f t="shared" si="1221"/>
        <v>2009</v>
      </c>
    </row>
    <row r="2514" spans="1:24" ht="12" customHeight="1">
      <c r="A2514" s="4">
        <v>8013</v>
      </c>
      <c r="B2514" s="4">
        <v>57253</v>
      </c>
      <c r="C2514" s="5">
        <f t="shared" si="123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  <c r="V2514">
        <f t="shared" si="1223"/>
        <v>5</v>
      </c>
      <c r="W2514">
        <f t="shared" si="1220"/>
        <v>1</v>
      </c>
      <c r="X2514">
        <f t="shared" si="1221"/>
        <v>2009</v>
      </c>
    </row>
    <row r="2515" spans="1:24" ht="12" customHeight="1">
      <c r="A2515" s="4">
        <v>8014</v>
      </c>
      <c r="B2515" s="4">
        <v>57253</v>
      </c>
      <c r="C2515" s="5">
        <f t="shared" si="123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  <c r="V2515">
        <f t="shared" si="1223"/>
        <v>6</v>
      </c>
      <c r="W2515">
        <f t="shared" si="1220"/>
        <v>1</v>
      </c>
      <c r="X2515">
        <f t="shared" si="1221"/>
        <v>2009</v>
      </c>
    </row>
    <row r="2516" spans="1:24" ht="12" customHeight="1">
      <c r="A2516" s="4">
        <v>8015</v>
      </c>
      <c r="B2516" s="4">
        <v>57253</v>
      </c>
      <c r="C2516" s="5">
        <f t="shared" si="123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  <c r="V2516">
        <f t="shared" si="1223"/>
        <v>5</v>
      </c>
      <c r="W2516">
        <f t="shared" si="1220"/>
        <v>1</v>
      </c>
      <c r="X2516">
        <f t="shared" si="1221"/>
        <v>2009</v>
      </c>
    </row>
    <row r="2517" spans="1:24" ht="12" customHeight="1">
      <c r="A2517" s="4">
        <v>8034</v>
      </c>
      <c r="B2517" s="4">
        <v>57382</v>
      </c>
      <c r="C2517" s="5">
        <f t="shared" ref="C2517:C2518" si="123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232">C2517+2</f>
        <v>39897</v>
      </c>
      <c r="V2517">
        <f t="shared" si="1223"/>
        <v>25</v>
      </c>
      <c r="W2517">
        <f t="shared" si="1220"/>
        <v>3</v>
      </c>
      <c r="X2517">
        <f t="shared" si="1221"/>
        <v>2009</v>
      </c>
    </row>
    <row r="2518" spans="1:24" ht="12" customHeight="1">
      <c r="A2518" s="4">
        <v>8035</v>
      </c>
      <c r="B2518" s="4">
        <v>57382</v>
      </c>
      <c r="C2518" s="5">
        <f t="shared" si="123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232"/>
        <v>39897</v>
      </c>
      <c r="V2518">
        <f t="shared" si="1223"/>
        <v>25</v>
      </c>
      <c r="W2518">
        <f t="shared" si="1220"/>
        <v>3</v>
      </c>
      <c r="X2518">
        <f t="shared" si="1221"/>
        <v>2009</v>
      </c>
    </row>
    <row r="2519" spans="1:24" ht="12" customHeight="1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233">C2519+1</f>
        <v>39897</v>
      </c>
      <c r="V2519">
        <f t="shared" si="1223"/>
        <v>25</v>
      </c>
      <c r="W2519">
        <f t="shared" si="1220"/>
        <v>3</v>
      </c>
      <c r="X2519">
        <f t="shared" si="1221"/>
        <v>2009</v>
      </c>
    </row>
    <row r="2520" spans="1:24" ht="12" customHeight="1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233"/>
        <v>40182</v>
      </c>
      <c r="V2520">
        <f t="shared" si="1223"/>
        <v>4</v>
      </c>
      <c r="W2520">
        <f t="shared" si="1220"/>
        <v>1</v>
      </c>
      <c r="X2520">
        <f t="shared" si="1221"/>
        <v>2010</v>
      </c>
    </row>
    <row r="2521" spans="1:24" ht="12" customHeight="1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  <c r="V2521">
        <f t="shared" si="1223"/>
        <v>28</v>
      </c>
      <c r="W2521">
        <f t="shared" si="1220"/>
        <v>7</v>
      </c>
      <c r="X2521">
        <f t="shared" si="1221"/>
        <v>2009</v>
      </c>
    </row>
    <row r="2522" spans="1:24" ht="12" customHeight="1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  <c r="V2522">
        <f t="shared" si="1223"/>
        <v>4</v>
      </c>
      <c r="W2522">
        <f t="shared" si="1220"/>
        <v>1</v>
      </c>
      <c r="X2522">
        <f t="shared" si="1221"/>
        <v>2011</v>
      </c>
    </row>
    <row r="2523" spans="1:24" ht="12" customHeight="1">
      <c r="A2523" s="4">
        <v>8129</v>
      </c>
      <c r="B2523" s="4">
        <v>58113</v>
      </c>
      <c r="C2523" s="5">
        <f t="shared" ref="C2523:C2524" si="123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235">C2523+2</f>
        <v>40942</v>
      </c>
      <c r="V2523">
        <f t="shared" si="1223"/>
        <v>3</v>
      </c>
      <c r="W2523">
        <f t="shared" si="1220"/>
        <v>2</v>
      </c>
      <c r="X2523">
        <f t="shared" si="1221"/>
        <v>2012</v>
      </c>
    </row>
    <row r="2524" spans="1:24" ht="12" customHeight="1">
      <c r="A2524" s="4">
        <v>8130</v>
      </c>
      <c r="B2524" s="4">
        <v>58113</v>
      </c>
      <c r="C2524" s="5">
        <f t="shared" si="123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235"/>
        <v>40942</v>
      </c>
      <c r="V2524">
        <f t="shared" si="1223"/>
        <v>3</v>
      </c>
      <c r="W2524">
        <f t="shared" si="1220"/>
        <v>2</v>
      </c>
      <c r="X2524">
        <f t="shared" si="1221"/>
        <v>2012</v>
      </c>
    </row>
    <row r="2525" spans="1:24" ht="12" customHeight="1">
      <c r="A2525" s="4">
        <v>8186</v>
      </c>
      <c r="B2525" s="4">
        <v>58528</v>
      </c>
      <c r="C2525" s="5">
        <f t="shared" ref="C2525:C2526" si="123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237">C2525+1</f>
        <v>40479</v>
      </c>
      <c r="V2525">
        <f t="shared" si="1223"/>
        <v>28</v>
      </c>
      <c r="W2525">
        <f t="shared" si="1220"/>
        <v>10</v>
      </c>
      <c r="X2525">
        <f t="shared" si="1221"/>
        <v>2010</v>
      </c>
    </row>
    <row r="2526" spans="1:24" ht="12" customHeight="1">
      <c r="A2526" s="4">
        <v>8187</v>
      </c>
      <c r="B2526" s="4">
        <v>58528</v>
      </c>
      <c r="C2526" s="5">
        <f t="shared" si="123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237"/>
        <v>40479</v>
      </c>
      <c r="V2526">
        <f t="shared" si="1223"/>
        <v>28</v>
      </c>
      <c r="W2526">
        <f t="shared" si="1220"/>
        <v>10</v>
      </c>
      <c r="X2526">
        <f t="shared" si="1221"/>
        <v>2010</v>
      </c>
    </row>
    <row r="2527" spans="1:24" ht="12" customHeight="1">
      <c r="A2527" s="4">
        <v>8193</v>
      </c>
      <c r="B2527" s="4">
        <v>58598</v>
      </c>
      <c r="C2527" s="5">
        <f t="shared" ref="C2527:C2528" si="123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237"/>
        <v>40778</v>
      </c>
      <c r="V2527">
        <f t="shared" si="1223"/>
        <v>23</v>
      </c>
      <c r="W2527">
        <f t="shared" si="1220"/>
        <v>8</v>
      </c>
      <c r="X2527">
        <f t="shared" si="1221"/>
        <v>2011</v>
      </c>
    </row>
    <row r="2528" spans="1:24" ht="12" customHeight="1">
      <c r="A2528" s="4">
        <v>8194</v>
      </c>
      <c r="B2528" s="4">
        <v>58598</v>
      </c>
      <c r="C2528" s="5">
        <f t="shared" si="123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237"/>
        <v>40778</v>
      </c>
      <c r="V2528">
        <f t="shared" si="1223"/>
        <v>23</v>
      </c>
      <c r="W2528">
        <f t="shared" si="1220"/>
        <v>8</v>
      </c>
      <c r="X2528">
        <f t="shared" si="1221"/>
        <v>2011</v>
      </c>
    </row>
    <row r="2529" spans="1:24" ht="12" customHeight="1">
      <c r="A2529" s="4">
        <v>8231</v>
      </c>
      <c r="B2529" s="4">
        <v>58851</v>
      </c>
      <c r="C2529" s="5">
        <f t="shared" ref="C2529:C2530" si="123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  <c r="V2529">
        <f t="shared" si="1223"/>
        <v>11</v>
      </c>
      <c r="W2529">
        <f t="shared" si="1220"/>
        <v>6</v>
      </c>
      <c r="X2529">
        <f t="shared" si="1221"/>
        <v>2010</v>
      </c>
    </row>
    <row r="2530" spans="1:24" ht="12" customHeight="1">
      <c r="A2530" s="4">
        <v>8232</v>
      </c>
      <c r="B2530" s="4">
        <v>58851</v>
      </c>
      <c r="C2530" s="5">
        <f t="shared" si="123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  <c r="V2530">
        <f t="shared" si="1223"/>
        <v>14</v>
      </c>
      <c r="W2530">
        <f t="shared" si="1220"/>
        <v>6</v>
      </c>
      <c r="X2530">
        <f t="shared" si="1221"/>
        <v>2010</v>
      </c>
    </row>
    <row r="2531" spans="1:24" ht="12" customHeight="1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240">C2531+1</f>
        <v>41043</v>
      </c>
      <c r="V2531">
        <f t="shared" si="1223"/>
        <v>14</v>
      </c>
      <c r="W2531">
        <f t="shared" si="1220"/>
        <v>5</v>
      </c>
      <c r="X2531">
        <f t="shared" si="1221"/>
        <v>2012</v>
      </c>
    </row>
    <row r="2532" spans="1:24" ht="12" customHeight="1">
      <c r="A2532" s="4">
        <v>8252</v>
      </c>
      <c r="B2532" s="4">
        <v>59015</v>
      </c>
      <c r="C2532" s="5">
        <f t="shared" ref="C2532:C2534" si="124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240"/>
        <v>41056</v>
      </c>
      <c r="V2532">
        <f t="shared" si="1223"/>
        <v>27</v>
      </c>
      <c r="W2532">
        <f t="shared" si="1220"/>
        <v>5</v>
      </c>
      <c r="X2532">
        <f t="shared" si="1221"/>
        <v>2012</v>
      </c>
    </row>
    <row r="2533" spans="1:24" ht="12" customHeight="1">
      <c r="A2533" s="4">
        <v>8253</v>
      </c>
      <c r="B2533" s="4">
        <v>59015</v>
      </c>
      <c r="C2533" s="5">
        <f t="shared" si="124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240"/>
        <v>41056</v>
      </c>
      <c r="V2533">
        <f t="shared" si="1223"/>
        <v>27</v>
      </c>
      <c r="W2533">
        <f t="shared" si="1220"/>
        <v>5</v>
      </c>
      <c r="X2533">
        <f t="shared" si="1221"/>
        <v>2012</v>
      </c>
    </row>
    <row r="2534" spans="1:24" ht="12" customHeight="1">
      <c r="A2534" s="4">
        <v>8254</v>
      </c>
      <c r="B2534" s="4">
        <v>59015</v>
      </c>
      <c r="C2534" s="5">
        <f t="shared" si="124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  <c r="V2534">
        <f t="shared" si="1223"/>
        <v>28</v>
      </c>
      <c r="W2534">
        <f t="shared" si="1220"/>
        <v>5</v>
      </c>
      <c r="X2534">
        <f t="shared" si="1221"/>
        <v>2012</v>
      </c>
    </row>
    <row r="2535" spans="1:24" ht="12" customHeight="1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  <c r="V2535">
        <f t="shared" si="1223"/>
        <v>29</v>
      </c>
      <c r="W2535">
        <f t="shared" si="1220"/>
        <v>2</v>
      </c>
      <c r="X2535">
        <f t="shared" si="1221"/>
        <v>2012</v>
      </c>
    </row>
    <row r="2536" spans="1:24" ht="12" customHeight="1">
      <c r="A2536" s="4">
        <v>8269</v>
      </c>
      <c r="B2536" s="4">
        <v>59108</v>
      </c>
      <c r="C2536" s="5">
        <f t="shared" ref="C2536:C2537" si="124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  <c r="V2536">
        <f t="shared" si="1223"/>
        <v>12</v>
      </c>
      <c r="W2536">
        <f t="shared" si="1220"/>
        <v>10</v>
      </c>
      <c r="X2536">
        <f t="shared" si="1221"/>
        <v>2011</v>
      </c>
    </row>
    <row r="2537" spans="1:24" ht="12" customHeight="1">
      <c r="A2537" s="4">
        <v>8270</v>
      </c>
      <c r="B2537" s="4">
        <v>59108</v>
      </c>
      <c r="C2537" s="5">
        <f t="shared" si="124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  <c r="V2537">
        <f t="shared" si="1223"/>
        <v>16</v>
      </c>
      <c r="W2537">
        <f t="shared" si="1220"/>
        <v>10</v>
      </c>
      <c r="X2537">
        <f t="shared" si="1221"/>
        <v>2011</v>
      </c>
    </row>
    <row r="2538" spans="1:24" ht="12" customHeight="1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  <c r="V2538">
        <f t="shared" si="1223"/>
        <v>11</v>
      </c>
      <c r="W2538">
        <f t="shared" si="1220"/>
        <v>4</v>
      </c>
      <c r="X2538">
        <f t="shared" si="1221"/>
        <v>2012</v>
      </c>
    </row>
    <row r="2539" spans="1:24" ht="12" customHeight="1">
      <c r="A2539" s="4">
        <v>8354</v>
      </c>
      <c r="B2539" s="4">
        <v>59685</v>
      </c>
      <c r="C2539" s="5">
        <f t="shared" ref="C2539:C2540" si="124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  <c r="V2539">
        <f t="shared" si="1223"/>
        <v>12</v>
      </c>
      <c r="W2539">
        <f t="shared" si="1220"/>
        <v>12</v>
      </c>
      <c r="X2539">
        <f t="shared" si="1221"/>
        <v>2012</v>
      </c>
    </row>
    <row r="2540" spans="1:24" ht="12" customHeight="1">
      <c r="A2540" s="4">
        <v>8355</v>
      </c>
      <c r="B2540" s="4">
        <v>59685</v>
      </c>
      <c r="C2540" s="5">
        <f t="shared" si="124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  <c r="V2540">
        <f t="shared" si="1223"/>
        <v>11</v>
      </c>
      <c r="W2540">
        <f t="shared" si="1220"/>
        <v>12</v>
      </c>
      <c r="X2540">
        <f t="shared" si="1221"/>
        <v>2012</v>
      </c>
    </row>
    <row r="2541" spans="1:24" ht="12" customHeight="1">
      <c r="A2541" s="4">
        <v>8377</v>
      </c>
      <c r="B2541" s="4">
        <v>59845</v>
      </c>
      <c r="C2541" s="5">
        <f t="shared" ref="C2541:C2542" si="124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  <c r="V2541">
        <f t="shared" si="1223"/>
        <v>26</v>
      </c>
      <c r="W2541">
        <f t="shared" si="1220"/>
        <v>12</v>
      </c>
      <c r="X2541">
        <f t="shared" si="1221"/>
        <v>2009</v>
      </c>
    </row>
    <row r="2542" spans="1:24" ht="12" customHeight="1">
      <c r="A2542" s="4">
        <v>8378</v>
      </c>
      <c r="B2542" s="4">
        <v>59845</v>
      </c>
      <c r="C2542" s="5">
        <f t="shared" si="124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  <c r="V2542">
        <f t="shared" si="1223"/>
        <v>27</v>
      </c>
      <c r="W2542">
        <f t="shared" si="1220"/>
        <v>12</v>
      </c>
      <c r="X2542">
        <f t="shared" si="1221"/>
        <v>2009</v>
      </c>
    </row>
    <row r="2543" spans="1:24" ht="12" customHeight="1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  <c r="V2543">
        <f t="shared" si="1223"/>
        <v>2</v>
      </c>
      <c r="W2543">
        <f t="shared" si="1220"/>
        <v>5</v>
      </c>
      <c r="X2543">
        <f t="shared" si="1221"/>
        <v>2012</v>
      </c>
    </row>
    <row r="2544" spans="1:24" ht="12" customHeight="1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  <c r="V2544">
        <f t="shared" si="1223"/>
        <v>15</v>
      </c>
      <c r="W2544">
        <f t="shared" si="1220"/>
        <v>7</v>
      </c>
      <c r="X2544">
        <f t="shared" si="1221"/>
        <v>2011</v>
      </c>
    </row>
    <row r="2545" spans="1:24" ht="12" customHeight="1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  <c r="V2545">
        <f t="shared" si="1223"/>
        <v>13</v>
      </c>
      <c r="W2545">
        <f t="shared" si="1220"/>
        <v>2</v>
      </c>
      <c r="X2545">
        <f t="shared" si="1221"/>
        <v>2009</v>
      </c>
    </row>
    <row r="2546" spans="1:24" ht="12" customHeight="1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  <c r="V2546">
        <f t="shared" si="1223"/>
        <v>29</v>
      </c>
      <c r="W2546">
        <f t="shared" si="1220"/>
        <v>12</v>
      </c>
      <c r="X2546">
        <f t="shared" si="1221"/>
        <v>2012</v>
      </c>
    </row>
    <row r="2547" spans="1:24" ht="12" customHeight="1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245">C2547+1</f>
        <v>40775</v>
      </c>
      <c r="V2547">
        <f t="shared" si="1223"/>
        <v>20</v>
      </c>
      <c r="W2547">
        <f t="shared" si="1220"/>
        <v>8</v>
      </c>
      <c r="X2547">
        <f t="shared" si="1221"/>
        <v>2011</v>
      </c>
    </row>
    <row r="2548" spans="1:24" ht="12" customHeight="1">
      <c r="A2548" s="4">
        <v>297</v>
      </c>
      <c r="B2548" s="4">
        <v>2053</v>
      </c>
      <c r="C2548" s="5">
        <f t="shared" ref="C2548:C2549" si="124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245"/>
        <v>40581</v>
      </c>
      <c r="V2548">
        <f t="shared" si="1223"/>
        <v>7</v>
      </c>
      <c r="W2548">
        <f t="shared" si="1220"/>
        <v>2</v>
      </c>
      <c r="X2548">
        <f t="shared" si="1221"/>
        <v>2011</v>
      </c>
    </row>
    <row r="2549" spans="1:24" ht="12" customHeight="1">
      <c r="A2549" s="4">
        <v>298</v>
      </c>
      <c r="B2549" s="4">
        <v>2053</v>
      </c>
      <c r="C2549" s="5">
        <f t="shared" si="124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  <c r="V2549">
        <f t="shared" si="1223"/>
        <v>8</v>
      </c>
      <c r="W2549">
        <f t="shared" si="1220"/>
        <v>2</v>
      </c>
      <c r="X2549">
        <f t="shared" si="1221"/>
        <v>2011</v>
      </c>
    </row>
    <row r="2550" spans="1:24" ht="12" customHeight="1">
      <c r="A2550" s="4">
        <v>307</v>
      </c>
      <c r="B2550" s="4">
        <v>2146</v>
      </c>
      <c r="C2550" s="5">
        <f t="shared" ref="C2550:C2551" si="124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  <c r="V2550">
        <f t="shared" si="1223"/>
        <v>14</v>
      </c>
      <c r="W2550">
        <f t="shared" si="1220"/>
        <v>9</v>
      </c>
      <c r="X2550">
        <f t="shared" si="1221"/>
        <v>2012</v>
      </c>
    </row>
    <row r="2551" spans="1:24" ht="12" customHeight="1">
      <c r="A2551" s="4">
        <v>308</v>
      </c>
      <c r="B2551" s="4">
        <v>2146</v>
      </c>
      <c r="C2551" s="5">
        <f t="shared" si="124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248">C2551+2</f>
        <v>41167</v>
      </c>
      <c r="V2551">
        <f t="shared" si="1223"/>
        <v>15</v>
      </c>
      <c r="W2551">
        <f t="shared" si="1220"/>
        <v>9</v>
      </c>
      <c r="X2551">
        <f t="shared" si="1221"/>
        <v>2012</v>
      </c>
    </row>
    <row r="2552" spans="1:24" ht="12" customHeight="1">
      <c r="A2552" s="4">
        <v>396</v>
      </c>
      <c r="B2552" s="4">
        <v>2752</v>
      </c>
      <c r="C2552" s="5">
        <f t="shared" ref="C2552:C2555" si="124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248"/>
        <v>40502</v>
      </c>
      <c r="V2552">
        <f t="shared" si="1223"/>
        <v>20</v>
      </c>
      <c r="W2552">
        <f t="shared" si="1220"/>
        <v>11</v>
      </c>
      <c r="X2552">
        <f t="shared" si="1221"/>
        <v>2010</v>
      </c>
    </row>
    <row r="2553" spans="1:24" ht="12" customHeight="1">
      <c r="A2553" s="4">
        <v>397</v>
      </c>
      <c r="B2553" s="4">
        <v>2752</v>
      </c>
      <c r="C2553" s="5">
        <f t="shared" si="124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248"/>
        <v>40502</v>
      </c>
      <c r="V2553">
        <f t="shared" si="1223"/>
        <v>20</v>
      </c>
      <c r="W2553">
        <f t="shared" si="1220"/>
        <v>11</v>
      </c>
      <c r="X2553">
        <f t="shared" si="1221"/>
        <v>2010</v>
      </c>
    </row>
    <row r="2554" spans="1:24" ht="12" customHeight="1">
      <c r="A2554" s="4">
        <v>398</v>
      </c>
      <c r="B2554" s="4">
        <v>2752</v>
      </c>
      <c r="C2554" s="5">
        <f t="shared" si="124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  <c r="V2554">
        <f t="shared" si="1223"/>
        <v>18</v>
      </c>
      <c r="W2554">
        <f t="shared" si="1220"/>
        <v>11</v>
      </c>
      <c r="X2554">
        <f t="shared" si="1221"/>
        <v>2010</v>
      </c>
    </row>
    <row r="2555" spans="1:24" ht="12" customHeight="1">
      <c r="A2555" s="4">
        <v>399</v>
      </c>
      <c r="B2555" s="4">
        <v>2752</v>
      </c>
      <c r="C2555" s="5">
        <f t="shared" si="124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  <c r="V2555">
        <f t="shared" si="1223"/>
        <v>20</v>
      </c>
      <c r="W2555">
        <f t="shared" si="1220"/>
        <v>11</v>
      </c>
      <c r="X2555">
        <f t="shared" si="1221"/>
        <v>2010</v>
      </c>
    </row>
    <row r="2556" spans="1:24" ht="12" customHeight="1">
      <c r="A2556" s="4">
        <v>760</v>
      </c>
      <c r="B2556" s="4">
        <v>5445</v>
      </c>
      <c r="C2556" s="5">
        <f t="shared" ref="C2556:C2557" si="125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  <c r="V2556">
        <f t="shared" si="1223"/>
        <v>30</v>
      </c>
      <c r="W2556">
        <f t="shared" si="1220"/>
        <v>7</v>
      </c>
      <c r="X2556">
        <f t="shared" si="1221"/>
        <v>2010</v>
      </c>
    </row>
    <row r="2557" spans="1:24" ht="12" customHeight="1">
      <c r="A2557" s="4">
        <v>761</v>
      </c>
      <c r="B2557" s="4">
        <v>5445</v>
      </c>
      <c r="C2557" s="5">
        <f t="shared" si="125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  <c r="V2557">
        <f t="shared" si="1223"/>
        <v>1</v>
      </c>
      <c r="W2557">
        <f t="shared" si="1220"/>
        <v>8</v>
      </c>
      <c r="X2557">
        <f t="shared" si="1221"/>
        <v>2010</v>
      </c>
    </row>
    <row r="2558" spans="1:24" ht="12" customHeight="1">
      <c r="A2558" s="4">
        <v>797</v>
      </c>
      <c r="B2558" s="4">
        <v>5699</v>
      </c>
      <c r="C2558" s="5">
        <f t="shared" ref="C2558:C2559" si="125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252">C2558+5</f>
        <v>41124</v>
      </c>
      <c r="V2558">
        <f t="shared" si="1223"/>
        <v>3</v>
      </c>
      <c r="W2558">
        <f t="shared" si="1220"/>
        <v>8</v>
      </c>
      <c r="X2558">
        <f t="shared" si="1221"/>
        <v>2012</v>
      </c>
    </row>
    <row r="2559" spans="1:24" ht="12" customHeight="1">
      <c r="A2559" s="4">
        <v>798</v>
      </c>
      <c r="B2559" s="4">
        <v>5699</v>
      </c>
      <c r="C2559" s="5">
        <f t="shared" si="125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252"/>
        <v>41124</v>
      </c>
      <c r="V2559">
        <f t="shared" si="1223"/>
        <v>3</v>
      </c>
      <c r="W2559">
        <f t="shared" si="1220"/>
        <v>8</v>
      </c>
      <c r="X2559">
        <f t="shared" si="1221"/>
        <v>2012</v>
      </c>
    </row>
    <row r="2560" spans="1:24" ht="12" customHeight="1">
      <c r="A2560" s="4">
        <v>940</v>
      </c>
      <c r="B2560" s="4">
        <v>6823</v>
      </c>
      <c r="C2560" s="5">
        <f t="shared" ref="C2560:C2561" si="125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  <c r="V2560">
        <f t="shared" si="1223"/>
        <v>22</v>
      </c>
      <c r="W2560">
        <f t="shared" si="1220"/>
        <v>7</v>
      </c>
      <c r="X2560">
        <f t="shared" si="1221"/>
        <v>2009</v>
      </c>
    </row>
    <row r="2561" spans="1:24" ht="12" customHeight="1">
      <c r="A2561" s="4">
        <v>941</v>
      </c>
      <c r="B2561" s="4">
        <v>6823</v>
      </c>
      <c r="C2561" s="5">
        <f t="shared" si="125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  <c r="V2561">
        <f t="shared" si="1223"/>
        <v>23</v>
      </c>
      <c r="W2561">
        <f t="shared" si="1220"/>
        <v>7</v>
      </c>
      <c r="X2561">
        <f t="shared" si="1221"/>
        <v>2009</v>
      </c>
    </row>
    <row r="2562" spans="1:24" ht="12" customHeight="1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254">C2562+1</f>
        <v>40522</v>
      </c>
      <c r="V2562">
        <f t="shared" si="1223"/>
        <v>10</v>
      </c>
      <c r="W2562">
        <f t="shared" si="1220"/>
        <v>12</v>
      </c>
      <c r="X2562">
        <f t="shared" si="1221"/>
        <v>2010</v>
      </c>
    </row>
    <row r="2563" spans="1:24" ht="12" customHeight="1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254"/>
        <v>40595</v>
      </c>
      <c r="V2563">
        <f t="shared" si="1223"/>
        <v>21</v>
      </c>
      <c r="W2563">
        <f t="shared" ref="W2563:W2626" si="1255">MONTH(U2563)</f>
        <v>2</v>
      </c>
      <c r="X2563">
        <f t="shared" ref="X2563:X2626" si="1256">YEAR(U2563)</f>
        <v>2011</v>
      </c>
    </row>
    <row r="2564" spans="1:24" ht="12" customHeight="1">
      <c r="A2564" s="4">
        <v>1062</v>
      </c>
      <c r="B2564" s="4">
        <v>7845</v>
      </c>
      <c r="C2564" s="5">
        <f t="shared" ref="C2564:C2565" si="1257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  <c r="V2564">
        <f t="shared" ref="V2564:V2627" si="1258">DAY(U2564)</f>
        <v>13</v>
      </c>
      <c r="W2564">
        <f t="shared" si="1255"/>
        <v>12</v>
      </c>
      <c r="X2564">
        <f t="shared" si="1256"/>
        <v>2009</v>
      </c>
    </row>
    <row r="2565" spans="1:24" ht="12" customHeight="1">
      <c r="A2565" s="4">
        <v>1063</v>
      </c>
      <c r="B2565" s="4">
        <v>7845</v>
      </c>
      <c r="C2565" s="5">
        <f t="shared" si="1257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259">C2565+1</f>
        <v>40161</v>
      </c>
      <c r="V2565">
        <f t="shared" si="1258"/>
        <v>14</v>
      </c>
      <c r="W2565">
        <f t="shared" si="1255"/>
        <v>12</v>
      </c>
      <c r="X2565">
        <f t="shared" si="1256"/>
        <v>2009</v>
      </c>
    </row>
    <row r="2566" spans="1:24" ht="12" customHeight="1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259"/>
        <v>41024</v>
      </c>
      <c r="V2566">
        <f t="shared" si="1258"/>
        <v>25</v>
      </c>
      <c r="W2566">
        <f t="shared" si="1255"/>
        <v>4</v>
      </c>
      <c r="X2566">
        <f t="shared" si="1256"/>
        <v>2012</v>
      </c>
    </row>
    <row r="2567" spans="1:24" ht="12" customHeight="1">
      <c r="A2567" s="4">
        <v>1150</v>
      </c>
      <c r="B2567" s="4">
        <v>8388</v>
      </c>
      <c r="C2567" s="5">
        <f t="shared" ref="C2567:C2569" si="1260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261">C2567+2</f>
        <v>40964</v>
      </c>
      <c r="V2567">
        <f t="shared" si="1258"/>
        <v>25</v>
      </c>
      <c r="W2567">
        <f t="shared" si="1255"/>
        <v>2</v>
      </c>
      <c r="X2567">
        <f t="shared" si="1256"/>
        <v>2012</v>
      </c>
    </row>
    <row r="2568" spans="1:24" ht="12" customHeight="1">
      <c r="A2568" s="4">
        <v>1151</v>
      </c>
      <c r="B2568" s="4">
        <v>8388</v>
      </c>
      <c r="C2568" s="5">
        <f t="shared" si="1260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261"/>
        <v>40964</v>
      </c>
      <c r="V2568">
        <f t="shared" si="1258"/>
        <v>25</v>
      </c>
      <c r="W2568">
        <f t="shared" si="1255"/>
        <v>2</v>
      </c>
      <c r="X2568">
        <f t="shared" si="1256"/>
        <v>2012</v>
      </c>
    </row>
    <row r="2569" spans="1:24" ht="12" customHeight="1">
      <c r="A2569" s="4">
        <v>1152</v>
      </c>
      <c r="B2569" s="4">
        <v>8388</v>
      </c>
      <c r="C2569" s="5">
        <f t="shared" si="1260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261"/>
        <v>40964</v>
      </c>
      <c r="V2569">
        <f t="shared" si="1258"/>
        <v>25</v>
      </c>
      <c r="W2569">
        <f t="shared" si="1255"/>
        <v>2</v>
      </c>
      <c r="X2569">
        <f t="shared" si="1256"/>
        <v>2012</v>
      </c>
    </row>
    <row r="2570" spans="1:24" ht="12" customHeight="1">
      <c r="A2570" s="4">
        <v>1334</v>
      </c>
      <c r="B2570" s="4">
        <v>9761</v>
      </c>
      <c r="C2570" s="5">
        <f t="shared" ref="C2570:C2571" si="1262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  <c r="V2570">
        <f t="shared" si="1258"/>
        <v>23</v>
      </c>
      <c r="W2570">
        <f t="shared" si="1255"/>
        <v>1</v>
      </c>
      <c r="X2570">
        <f t="shared" si="1256"/>
        <v>2012</v>
      </c>
    </row>
    <row r="2571" spans="1:24" ht="12" customHeight="1">
      <c r="A2571" s="4">
        <v>1335</v>
      </c>
      <c r="B2571" s="4">
        <v>9761</v>
      </c>
      <c r="C2571" s="5">
        <f t="shared" si="1262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263">C2571+2</f>
        <v>40932</v>
      </c>
      <c r="V2571">
        <f t="shared" si="1258"/>
        <v>24</v>
      </c>
      <c r="W2571">
        <f t="shared" si="1255"/>
        <v>1</v>
      </c>
      <c r="X2571">
        <f t="shared" si="1256"/>
        <v>2012</v>
      </c>
    </row>
    <row r="2572" spans="1:24" ht="12" customHeight="1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263"/>
        <v>40792</v>
      </c>
      <c r="V2572">
        <f t="shared" si="1258"/>
        <v>6</v>
      </c>
      <c r="W2572">
        <f t="shared" si="1255"/>
        <v>9</v>
      </c>
      <c r="X2572">
        <f t="shared" si="1256"/>
        <v>2011</v>
      </c>
    </row>
    <row r="2573" spans="1:24" ht="12" customHeight="1">
      <c r="A2573" s="4">
        <v>1432</v>
      </c>
      <c r="B2573" s="4">
        <v>10342</v>
      </c>
      <c r="C2573" s="5">
        <f t="shared" ref="C2573:C2576" si="1264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263"/>
        <v>40871</v>
      </c>
      <c r="V2573">
        <f t="shared" si="1258"/>
        <v>24</v>
      </c>
      <c r="W2573">
        <f t="shared" si="1255"/>
        <v>11</v>
      </c>
      <c r="X2573">
        <f t="shared" si="1256"/>
        <v>2011</v>
      </c>
    </row>
    <row r="2574" spans="1:24" ht="12" customHeight="1">
      <c r="A2574" s="4">
        <v>1433</v>
      </c>
      <c r="B2574" s="4">
        <v>10342</v>
      </c>
      <c r="C2574" s="5">
        <f t="shared" si="1264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  <c r="V2574">
        <f t="shared" si="1258"/>
        <v>23</v>
      </c>
      <c r="W2574">
        <f t="shared" si="1255"/>
        <v>11</v>
      </c>
      <c r="X2574">
        <f t="shared" si="1256"/>
        <v>2011</v>
      </c>
    </row>
    <row r="2575" spans="1:24" ht="12" customHeight="1">
      <c r="A2575" s="4">
        <v>1434</v>
      </c>
      <c r="B2575" s="4">
        <v>10342</v>
      </c>
      <c r="C2575" s="5">
        <f t="shared" si="1264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265">C2575+2</f>
        <v>40871</v>
      </c>
      <c r="V2575">
        <f t="shared" si="1258"/>
        <v>24</v>
      </c>
      <c r="W2575">
        <f t="shared" si="1255"/>
        <v>11</v>
      </c>
      <c r="X2575">
        <f t="shared" si="1256"/>
        <v>2011</v>
      </c>
    </row>
    <row r="2576" spans="1:24" ht="12" customHeight="1">
      <c r="A2576" s="4">
        <v>1435</v>
      </c>
      <c r="B2576" s="4">
        <v>10342</v>
      </c>
      <c r="C2576" s="5">
        <f t="shared" si="1264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265"/>
        <v>40871</v>
      </c>
      <c r="V2576">
        <f t="shared" si="1258"/>
        <v>24</v>
      </c>
      <c r="W2576">
        <f t="shared" si="1255"/>
        <v>11</v>
      </c>
      <c r="X2576">
        <f t="shared" si="1256"/>
        <v>2011</v>
      </c>
    </row>
    <row r="2577" spans="1:24" ht="12" customHeight="1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  <c r="V2577">
        <f t="shared" si="1258"/>
        <v>24</v>
      </c>
      <c r="W2577">
        <f t="shared" si="1255"/>
        <v>12</v>
      </c>
      <c r="X2577">
        <f t="shared" si="1256"/>
        <v>2009</v>
      </c>
    </row>
    <row r="2578" spans="1:24" ht="12" customHeight="1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  <c r="V2578">
        <f t="shared" si="1258"/>
        <v>23</v>
      </c>
      <c r="W2578">
        <f t="shared" si="1255"/>
        <v>10</v>
      </c>
      <c r="X2578">
        <f t="shared" si="1256"/>
        <v>2011</v>
      </c>
    </row>
    <row r="2579" spans="1:24" ht="12" customHeight="1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  <c r="V2579">
        <f t="shared" si="1258"/>
        <v>3</v>
      </c>
      <c r="W2579">
        <f t="shared" si="1255"/>
        <v>3</v>
      </c>
      <c r="X2579">
        <f t="shared" si="1256"/>
        <v>2009</v>
      </c>
    </row>
    <row r="2580" spans="1:24" ht="12" customHeight="1">
      <c r="A2580" s="4">
        <v>1577</v>
      </c>
      <c r="B2580" s="4">
        <v>11398</v>
      </c>
      <c r="C2580" s="5">
        <f t="shared" ref="C2580:C2581" si="1266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  <c r="V2580">
        <f t="shared" si="1258"/>
        <v>7</v>
      </c>
      <c r="W2580">
        <f t="shared" si="1255"/>
        <v>8</v>
      </c>
      <c r="X2580">
        <f t="shared" si="1256"/>
        <v>2012</v>
      </c>
    </row>
    <row r="2581" spans="1:24" ht="12" customHeight="1">
      <c r="A2581" s="4">
        <v>1578</v>
      </c>
      <c r="B2581" s="4">
        <v>11398</v>
      </c>
      <c r="C2581" s="5">
        <f t="shared" si="1266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  <c r="V2581">
        <f t="shared" si="1258"/>
        <v>8</v>
      </c>
      <c r="W2581">
        <f t="shared" si="1255"/>
        <v>8</v>
      </c>
      <c r="X2581">
        <f t="shared" si="1256"/>
        <v>2012</v>
      </c>
    </row>
    <row r="2582" spans="1:24" ht="12" customHeight="1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267">C2582+1</f>
        <v>40140</v>
      </c>
      <c r="V2582">
        <f t="shared" si="1258"/>
        <v>23</v>
      </c>
      <c r="W2582">
        <f t="shared" si="1255"/>
        <v>11</v>
      </c>
      <c r="X2582">
        <f t="shared" si="1256"/>
        <v>2009</v>
      </c>
    </row>
    <row r="2583" spans="1:24" ht="12" customHeight="1">
      <c r="A2583" s="4">
        <v>1607</v>
      </c>
      <c r="B2583" s="4">
        <v>11652</v>
      </c>
      <c r="C2583" s="5">
        <f t="shared" ref="C2583:C2586" si="1268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267"/>
        <v>40858</v>
      </c>
      <c r="V2583">
        <f t="shared" si="1258"/>
        <v>11</v>
      </c>
      <c r="W2583">
        <f t="shared" si="1255"/>
        <v>11</v>
      </c>
      <c r="X2583">
        <f t="shared" si="1256"/>
        <v>2011</v>
      </c>
    </row>
    <row r="2584" spans="1:24" ht="12" customHeight="1">
      <c r="A2584" s="4">
        <v>1608</v>
      </c>
      <c r="B2584" s="4">
        <v>11652</v>
      </c>
      <c r="C2584" s="5">
        <f t="shared" si="1268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267"/>
        <v>40858</v>
      </c>
      <c r="V2584">
        <f t="shared" si="1258"/>
        <v>11</v>
      </c>
      <c r="W2584">
        <f t="shared" si="1255"/>
        <v>11</v>
      </c>
      <c r="X2584">
        <f t="shared" si="1256"/>
        <v>2011</v>
      </c>
    </row>
    <row r="2585" spans="1:24" ht="12" customHeight="1">
      <c r="A2585" s="4">
        <v>1609</v>
      </c>
      <c r="B2585" s="4">
        <v>11652</v>
      </c>
      <c r="C2585" s="5">
        <f t="shared" si="1268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269">C2585+2</f>
        <v>40859</v>
      </c>
      <c r="V2585">
        <f t="shared" si="1258"/>
        <v>12</v>
      </c>
      <c r="W2585">
        <f t="shared" si="1255"/>
        <v>11</v>
      </c>
      <c r="X2585">
        <f t="shared" si="1256"/>
        <v>2011</v>
      </c>
    </row>
    <row r="2586" spans="1:24" ht="12" customHeight="1">
      <c r="A2586" s="4">
        <v>1610</v>
      </c>
      <c r="B2586" s="4">
        <v>11652</v>
      </c>
      <c r="C2586" s="5">
        <f t="shared" si="1268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269"/>
        <v>40859</v>
      </c>
      <c r="V2586">
        <f t="shared" si="1258"/>
        <v>12</v>
      </c>
      <c r="W2586">
        <f t="shared" si="1255"/>
        <v>11</v>
      </c>
      <c r="X2586">
        <f t="shared" si="1256"/>
        <v>2011</v>
      </c>
    </row>
    <row r="2587" spans="1:24" ht="12" customHeight="1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  <c r="V2587">
        <f t="shared" si="1258"/>
        <v>28</v>
      </c>
      <c r="W2587">
        <f t="shared" si="1255"/>
        <v>1</v>
      </c>
      <c r="X2587">
        <f t="shared" si="1256"/>
        <v>2009</v>
      </c>
    </row>
    <row r="2588" spans="1:24" ht="12" customHeight="1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  <c r="V2588">
        <f t="shared" si="1258"/>
        <v>20</v>
      </c>
      <c r="W2588">
        <f t="shared" si="1255"/>
        <v>11</v>
      </c>
      <c r="X2588">
        <f t="shared" si="1256"/>
        <v>2010</v>
      </c>
    </row>
    <row r="2589" spans="1:24" ht="12" customHeight="1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  <c r="V2589">
        <f t="shared" si="1258"/>
        <v>11</v>
      </c>
      <c r="W2589">
        <f t="shared" si="1255"/>
        <v>1</v>
      </c>
      <c r="X2589">
        <f t="shared" si="1256"/>
        <v>2012</v>
      </c>
    </row>
    <row r="2590" spans="1:24" ht="12" customHeight="1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  <c r="V2590">
        <f t="shared" si="1258"/>
        <v>18</v>
      </c>
      <c r="W2590">
        <f t="shared" si="1255"/>
        <v>3</v>
      </c>
      <c r="X2590">
        <f t="shared" si="1256"/>
        <v>2009</v>
      </c>
    </row>
    <row r="2591" spans="1:24" ht="12" customHeight="1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  <c r="V2591">
        <f t="shared" si="1258"/>
        <v>15</v>
      </c>
      <c r="W2591">
        <f t="shared" si="1255"/>
        <v>4</v>
      </c>
      <c r="X2591">
        <f t="shared" si="1256"/>
        <v>2011</v>
      </c>
    </row>
    <row r="2592" spans="1:24" ht="12" customHeight="1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  <c r="V2592">
        <f t="shared" si="1258"/>
        <v>25</v>
      </c>
      <c r="W2592">
        <f t="shared" si="1255"/>
        <v>7</v>
      </c>
      <c r="X2592">
        <f t="shared" si="1256"/>
        <v>2012</v>
      </c>
    </row>
    <row r="2593" spans="1:24" ht="12" customHeight="1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270">C2593+2</f>
        <v>41107</v>
      </c>
      <c r="V2593">
        <f t="shared" si="1258"/>
        <v>17</v>
      </c>
      <c r="W2593">
        <f t="shared" si="1255"/>
        <v>7</v>
      </c>
      <c r="X2593">
        <f t="shared" si="1256"/>
        <v>2012</v>
      </c>
    </row>
    <row r="2594" spans="1:24" ht="12" customHeight="1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270"/>
        <v>40098</v>
      </c>
      <c r="V2594">
        <f t="shared" si="1258"/>
        <v>12</v>
      </c>
      <c r="W2594">
        <f t="shared" si="1255"/>
        <v>10</v>
      </c>
      <c r="X2594">
        <f t="shared" si="1256"/>
        <v>2009</v>
      </c>
    </row>
    <row r="2595" spans="1:24" ht="12" customHeight="1">
      <c r="A2595" s="4">
        <v>2596</v>
      </c>
      <c r="B2595" s="4">
        <v>18757</v>
      </c>
      <c r="C2595" s="5">
        <f t="shared" ref="C2595:C2596" si="1271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270"/>
        <v>41053</v>
      </c>
      <c r="V2595">
        <f t="shared" si="1258"/>
        <v>24</v>
      </c>
      <c r="W2595">
        <f t="shared" si="1255"/>
        <v>5</v>
      </c>
      <c r="X2595">
        <f t="shared" si="1256"/>
        <v>2012</v>
      </c>
    </row>
    <row r="2596" spans="1:24" ht="12" customHeight="1">
      <c r="A2596" s="4">
        <v>2597</v>
      </c>
      <c r="B2596" s="4">
        <v>18757</v>
      </c>
      <c r="C2596" s="5">
        <f t="shared" si="1271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  <c r="V2596">
        <f t="shared" si="1258"/>
        <v>27</v>
      </c>
      <c r="W2596">
        <f t="shared" si="1255"/>
        <v>5</v>
      </c>
      <c r="X2596">
        <f t="shared" si="1256"/>
        <v>2012</v>
      </c>
    </row>
    <row r="2597" spans="1:24" ht="12" customHeight="1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  <c r="V2597">
        <f t="shared" si="1258"/>
        <v>25</v>
      </c>
      <c r="W2597">
        <f t="shared" si="1255"/>
        <v>5</v>
      </c>
      <c r="X2597">
        <f t="shared" si="1256"/>
        <v>2009</v>
      </c>
    </row>
    <row r="2598" spans="1:24" ht="12" customHeight="1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  <c r="V2598">
        <f t="shared" si="1258"/>
        <v>17</v>
      </c>
      <c r="W2598">
        <f t="shared" si="1255"/>
        <v>4</v>
      </c>
      <c r="X2598">
        <f t="shared" si="1256"/>
        <v>2009</v>
      </c>
    </row>
    <row r="2599" spans="1:24" ht="12" customHeight="1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  <c r="V2599">
        <f t="shared" si="1258"/>
        <v>26</v>
      </c>
      <c r="W2599">
        <f t="shared" si="1255"/>
        <v>12</v>
      </c>
      <c r="X2599">
        <f t="shared" si="1256"/>
        <v>2009</v>
      </c>
    </row>
    <row r="2600" spans="1:24" ht="12" customHeight="1">
      <c r="A2600" s="4">
        <v>2852</v>
      </c>
      <c r="B2600" s="4">
        <v>20545</v>
      </c>
      <c r="C2600" s="5">
        <f t="shared" ref="C2600:C2602" si="1272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  <c r="V2600">
        <f t="shared" si="1258"/>
        <v>10</v>
      </c>
      <c r="W2600">
        <f t="shared" si="1255"/>
        <v>10</v>
      </c>
      <c r="X2600">
        <f t="shared" si="1256"/>
        <v>2010</v>
      </c>
    </row>
    <row r="2601" spans="1:24" ht="12" customHeight="1">
      <c r="A2601" s="4">
        <v>2853</v>
      </c>
      <c r="B2601" s="4">
        <v>20545</v>
      </c>
      <c r="C2601" s="5">
        <f t="shared" si="1272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273">C2601+2</f>
        <v>40462</v>
      </c>
      <c r="V2601">
        <f t="shared" si="1258"/>
        <v>11</v>
      </c>
      <c r="W2601">
        <f t="shared" si="1255"/>
        <v>10</v>
      </c>
      <c r="X2601">
        <f t="shared" si="1256"/>
        <v>2010</v>
      </c>
    </row>
    <row r="2602" spans="1:24" ht="12" customHeight="1">
      <c r="A2602" s="4">
        <v>2854</v>
      </c>
      <c r="B2602" s="4">
        <v>20545</v>
      </c>
      <c r="C2602" s="5">
        <f t="shared" si="1272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273"/>
        <v>40462</v>
      </c>
      <c r="V2602">
        <f t="shared" si="1258"/>
        <v>11</v>
      </c>
      <c r="W2602">
        <f t="shared" si="1255"/>
        <v>10</v>
      </c>
      <c r="X2602">
        <f t="shared" si="1256"/>
        <v>2010</v>
      </c>
    </row>
    <row r="2603" spans="1:24" ht="12" customHeight="1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273"/>
        <v>40220</v>
      </c>
      <c r="V2603">
        <f t="shared" si="1258"/>
        <v>11</v>
      </c>
      <c r="W2603">
        <f t="shared" si="1255"/>
        <v>2</v>
      </c>
      <c r="X2603">
        <f t="shared" si="1256"/>
        <v>2010</v>
      </c>
    </row>
    <row r="2604" spans="1:24" ht="12" customHeight="1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  <c r="V2604">
        <f t="shared" si="1258"/>
        <v>3</v>
      </c>
      <c r="W2604">
        <f t="shared" si="1255"/>
        <v>12</v>
      </c>
      <c r="X2604">
        <f t="shared" si="1256"/>
        <v>2011</v>
      </c>
    </row>
    <row r="2605" spans="1:24" ht="12" customHeight="1">
      <c r="A2605" s="4">
        <v>2960</v>
      </c>
      <c r="B2605" s="4">
        <v>21414</v>
      </c>
      <c r="C2605" s="5">
        <f t="shared" ref="C2605:C2607" si="1274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275">C2605+2</f>
        <v>40669</v>
      </c>
      <c r="V2605">
        <f t="shared" si="1258"/>
        <v>6</v>
      </c>
      <c r="W2605">
        <f t="shared" si="1255"/>
        <v>5</v>
      </c>
      <c r="X2605">
        <f t="shared" si="1256"/>
        <v>2011</v>
      </c>
    </row>
    <row r="2606" spans="1:24" ht="12" customHeight="1">
      <c r="A2606" s="4">
        <v>2961</v>
      </c>
      <c r="B2606" s="4">
        <v>21414</v>
      </c>
      <c r="C2606" s="5">
        <f t="shared" si="1274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275"/>
        <v>40669</v>
      </c>
      <c r="V2606">
        <f t="shared" si="1258"/>
        <v>6</v>
      </c>
      <c r="W2606">
        <f t="shared" si="1255"/>
        <v>5</v>
      </c>
      <c r="X2606">
        <f t="shared" si="1256"/>
        <v>2011</v>
      </c>
    </row>
    <row r="2607" spans="1:24" ht="12" customHeight="1">
      <c r="A2607" s="4">
        <v>2962</v>
      </c>
      <c r="B2607" s="4">
        <v>21414</v>
      </c>
      <c r="C2607" s="5">
        <f t="shared" si="1274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  <c r="V2607">
        <f t="shared" si="1258"/>
        <v>5</v>
      </c>
      <c r="W2607">
        <f t="shared" si="1255"/>
        <v>5</v>
      </c>
      <c r="X2607">
        <f t="shared" si="1256"/>
        <v>2011</v>
      </c>
    </row>
    <row r="2608" spans="1:24" ht="12" customHeight="1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  <c r="V2608">
        <f t="shared" si="1258"/>
        <v>5</v>
      </c>
      <c r="W2608">
        <f t="shared" si="1255"/>
        <v>6</v>
      </c>
      <c r="X2608">
        <f t="shared" si="1256"/>
        <v>2010</v>
      </c>
    </row>
    <row r="2609" spans="1:24" ht="12" customHeight="1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  <c r="V2609">
        <f t="shared" si="1258"/>
        <v>29</v>
      </c>
      <c r="W2609">
        <f t="shared" si="1255"/>
        <v>8</v>
      </c>
      <c r="X2609">
        <f t="shared" si="1256"/>
        <v>2009</v>
      </c>
    </row>
    <row r="2610" spans="1:24" ht="12" customHeight="1">
      <c r="A2610" s="4">
        <v>3096</v>
      </c>
      <c r="B2610" s="4">
        <v>22208</v>
      </c>
      <c r="C2610" s="5">
        <f t="shared" ref="C2610:C2611" si="1276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277">C2610+2</f>
        <v>40101</v>
      </c>
      <c r="V2610">
        <f t="shared" si="1258"/>
        <v>15</v>
      </c>
      <c r="W2610">
        <f t="shared" si="1255"/>
        <v>10</v>
      </c>
      <c r="X2610">
        <f t="shared" si="1256"/>
        <v>2009</v>
      </c>
    </row>
    <row r="2611" spans="1:24" ht="12" customHeight="1">
      <c r="A2611" s="4">
        <v>3097</v>
      </c>
      <c r="B2611" s="4">
        <v>22208</v>
      </c>
      <c r="C2611" s="5">
        <f t="shared" si="1276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277"/>
        <v>40101</v>
      </c>
      <c r="V2611">
        <f t="shared" si="1258"/>
        <v>15</v>
      </c>
      <c r="W2611">
        <f t="shared" si="1255"/>
        <v>10</v>
      </c>
      <c r="X2611">
        <f t="shared" si="1256"/>
        <v>2009</v>
      </c>
    </row>
    <row r="2612" spans="1:24" ht="12" customHeight="1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  <c r="V2612">
        <f t="shared" si="1258"/>
        <v>25</v>
      </c>
      <c r="W2612">
        <f t="shared" si="1255"/>
        <v>12</v>
      </c>
      <c r="X2612">
        <f t="shared" si="1256"/>
        <v>2009</v>
      </c>
    </row>
    <row r="2613" spans="1:24" ht="12" customHeight="1">
      <c r="A2613" s="4">
        <v>3231</v>
      </c>
      <c r="B2613" s="4">
        <v>23174</v>
      </c>
      <c r="C2613" s="5">
        <f t="shared" ref="C2613:C2614" si="1278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  <c r="V2613">
        <f t="shared" si="1258"/>
        <v>28</v>
      </c>
      <c r="W2613">
        <f t="shared" si="1255"/>
        <v>7</v>
      </c>
      <c r="X2613">
        <f t="shared" si="1256"/>
        <v>2012</v>
      </c>
    </row>
    <row r="2614" spans="1:24" ht="12" customHeight="1">
      <c r="A2614" s="4">
        <v>3232</v>
      </c>
      <c r="B2614" s="4">
        <v>23174</v>
      </c>
      <c r="C2614" s="5">
        <f t="shared" si="1278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  <c r="V2614">
        <f t="shared" si="1258"/>
        <v>2</v>
      </c>
      <c r="W2614">
        <f t="shared" si="1255"/>
        <v>8</v>
      </c>
      <c r="X2614">
        <f t="shared" si="1256"/>
        <v>2012</v>
      </c>
    </row>
    <row r="2615" spans="1:24" ht="12" customHeight="1">
      <c r="A2615" s="4">
        <v>3259</v>
      </c>
      <c r="B2615" s="4">
        <v>23333</v>
      </c>
      <c r="C2615" s="5">
        <f t="shared" ref="C2615:C2617" si="1279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  <c r="V2615">
        <f t="shared" si="1258"/>
        <v>6</v>
      </c>
      <c r="W2615">
        <f t="shared" si="1255"/>
        <v>8</v>
      </c>
      <c r="X2615">
        <f t="shared" si="1256"/>
        <v>2009</v>
      </c>
    </row>
    <row r="2616" spans="1:24" ht="12" customHeight="1">
      <c r="A2616" s="4">
        <v>3260</v>
      </c>
      <c r="B2616" s="4">
        <v>23333</v>
      </c>
      <c r="C2616" s="5">
        <f t="shared" si="1279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  <c r="V2616">
        <f t="shared" si="1258"/>
        <v>7</v>
      </c>
      <c r="W2616">
        <f t="shared" si="1255"/>
        <v>8</v>
      </c>
      <c r="X2616">
        <f t="shared" si="1256"/>
        <v>2009</v>
      </c>
    </row>
    <row r="2617" spans="1:24" ht="12" customHeight="1">
      <c r="A2617" s="4">
        <v>3261</v>
      </c>
      <c r="B2617" s="4">
        <v>23333</v>
      </c>
      <c r="C2617" s="5">
        <f t="shared" si="1279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280">C2617+1</f>
        <v>40031</v>
      </c>
      <c r="V2617">
        <f t="shared" si="1258"/>
        <v>6</v>
      </c>
      <c r="W2617">
        <f t="shared" si="1255"/>
        <v>8</v>
      </c>
      <c r="X2617">
        <f t="shared" si="1256"/>
        <v>2009</v>
      </c>
    </row>
    <row r="2618" spans="1:24" ht="12" customHeight="1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280"/>
        <v>40573</v>
      </c>
      <c r="V2618">
        <f t="shared" si="1258"/>
        <v>30</v>
      </c>
      <c r="W2618">
        <f t="shared" si="1255"/>
        <v>1</v>
      </c>
      <c r="X2618">
        <f t="shared" si="1256"/>
        <v>2011</v>
      </c>
    </row>
    <row r="2619" spans="1:24" ht="12" customHeight="1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281">C2619+2</f>
        <v>40444</v>
      </c>
      <c r="V2619">
        <f t="shared" si="1258"/>
        <v>23</v>
      </c>
      <c r="W2619">
        <f t="shared" si="1255"/>
        <v>9</v>
      </c>
      <c r="X2619">
        <f t="shared" si="1256"/>
        <v>2010</v>
      </c>
    </row>
    <row r="2620" spans="1:24" ht="12" customHeight="1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281"/>
        <v>40395</v>
      </c>
      <c r="V2620">
        <f t="shared" si="1258"/>
        <v>5</v>
      </c>
      <c r="W2620">
        <f t="shared" si="1255"/>
        <v>8</v>
      </c>
      <c r="X2620">
        <f t="shared" si="1256"/>
        <v>2010</v>
      </c>
    </row>
    <row r="2621" spans="1:24" ht="12" customHeight="1">
      <c r="A2621" s="4">
        <v>3816</v>
      </c>
      <c r="B2621" s="4">
        <v>27201</v>
      </c>
      <c r="C2621" s="5">
        <f t="shared" ref="C2621:C2622" si="1282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283">C2621+0</f>
        <v>41115</v>
      </c>
      <c r="V2621">
        <f t="shared" si="1258"/>
        <v>25</v>
      </c>
      <c r="W2621">
        <f t="shared" si="1255"/>
        <v>7</v>
      </c>
      <c r="X2621">
        <f t="shared" si="1256"/>
        <v>2012</v>
      </c>
    </row>
    <row r="2622" spans="1:24" ht="12" customHeight="1">
      <c r="A2622" s="4">
        <v>3817</v>
      </c>
      <c r="B2622" s="4">
        <v>27201</v>
      </c>
      <c r="C2622" s="5">
        <f t="shared" si="1282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283"/>
        <v>41115</v>
      </c>
      <c r="V2622">
        <f t="shared" si="1258"/>
        <v>25</v>
      </c>
      <c r="W2622">
        <f t="shared" si="1255"/>
        <v>7</v>
      </c>
      <c r="X2622">
        <f t="shared" si="1256"/>
        <v>2012</v>
      </c>
    </row>
    <row r="2623" spans="1:24" ht="12" customHeight="1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  <c r="V2623">
        <f t="shared" si="1258"/>
        <v>2</v>
      </c>
      <c r="W2623">
        <f t="shared" si="1255"/>
        <v>2</v>
      </c>
      <c r="X2623">
        <f t="shared" si="1256"/>
        <v>2010</v>
      </c>
    </row>
    <row r="2624" spans="1:24" ht="12" customHeight="1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284">C2624+2</f>
        <v>40926</v>
      </c>
      <c r="V2624">
        <f t="shared" si="1258"/>
        <v>18</v>
      </c>
      <c r="W2624">
        <f t="shared" si="1255"/>
        <v>1</v>
      </c>
      <c r="X2624">
        <f t="shared" si="1256"/>
        <v>2012</v>
      </c>
    </row>
    <row r="2625" spans="1:24" ht="12" customHeight="1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284"/>
        <v>40715</v>
      </c>
      <c r="V2625">
        <f t="shared" si="1258"/>
        <v>21</v>
      </c>
      <c r="W2625">
        <f t="shared" si="1255"/>
        <v>6</v>
      </c>
      <c r="X2625">
        <f t="shared" si="1256"/>
        <v>2011</v>
      </c>
    </row>
    <row r="2626" spans="1:24" ht="12" customHeight="1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  <c r="V2626">
        <f t="shared" si="1258"/>
        <v>9</v>
      </c>
      <c r="W2626">
        <f t="shared" si="1255"/>
        <v>6</v>
      </c>
      <c r="X2626">
        <f t="shared" si="1256"/>
        <v>2010</v>
      </c>
    </row>
    <row r="2627" spans="1:24" ht="12" customHeight="1">
      <c r="A2627" s="4">
        <v>4284</v>
      </c>
      <c r="B2627" s="4">
        <v>30532</v>
      </c>
      <c r="C2627" s="5">
        <f t="shared" ref="C2627:C2630" si="1285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286">C2627+1</f>
        <v>40874</v>
      </c>
      <c r="V2627">
        <f t="shared" si="1258"/>
        <v>27</v>
      </c>
      <c r="W2627">
        <f t="shared" ref="W2627:W2690" si="1287">MONTH(U2627)</f>
        <v>11</v>
      </c>
      <c r="X2627">
        <f t="shared" ref="X2627:X2690" si="1288">YEAR(U2627)</f>
        <v>2011</v>
      </c>
    </row>
    <row r="2628" spans="1:24" ht="12" customHeight="1">
      <c r="A2628" s="4">
        <v>4285</v>
      </c>
      <c r="B2628" s="4">
        <v>30532</v>
      </c>
      <c r="C2628" s="5">
        <f t="shared" si="1285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286"/>
        <v>40874</v>
      </c>
      <c r="V2628">
        <f t="shared" ref="V2628:V2691" si="1289">DAY(U2628)</f>
        <v>27</v>
      </c>
      <c r="W2628">
        <f t="shared" si="1287"/>
        <v>11</v>
      </c>
      <c r="X2628">
        <f t="shared" si="1288"/>
        <v>2011</v>
      </c>
    </row>
    <row r="2629" spans="1:24" ht="12" customHeight="1">
      <c r="A2629" s="4">
        <v>4286</v>
      </c>
      <c r="B2629" s="4">
        <v>30532</v>
      </c>
      <c r="C2629" s="5">
        <f t="shared" si="1285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290">C2629+2</f>
        <v>40875</v>
      </c>
      <c r="V2629">
        <f t="shared" si="1289"/>
        <v>28</v>
      </c>
      <c r="W2629">
        <f t="shared" si="1287"/>
        <v>11</v>
      </c>
      <c r="X2629">
        <f t="shared" si="1288"/>
        <v>2011</v>
      </c>
    </row>
    <row r="2630" spans="1:24" ht="12" customHeight="1">
      <c r="A2630" s="4">
        <v>4287</v>
      </c>
      <c r="B2630" s="4">
        <v>30532</v>
      </c>
      <c r="C2630" s="5">
        <f t="shared" si="1285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290"/>
        <v>40875</v>
      </c>
      <c r="V2630">
        <f t="shared" si="1289"/>
        <v>28</v>
      </c>
      <c r="W2630">
        <f t="shared" si="1287"/>
        <v>11</v>
      </c>
      <c r="X2630">
        <f t="shared" si="1288"/>
        <v>2011</v>
      </c>
    </row>
    <row r="2631" spans="1:24" ht="12" customHeight="1">
      <c r="A2631" s="4">
        <v>4297</v>
      </c>
      <c r="B2631" s="4">
        <v>30597</v>
      </c>
      <c r="C2631" s="5">
        <f t="shared" ref="C2631:C2632" si="1291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290"/>
        <v>41128</v>
      </c>
      <c r="V2631">
        <f t="shared" si="1289"/>
        <v>7</v>
      </c>
      <c r="W2631">
        <f t="shared" si="1287"/>
        <v>8</v>
      </c>
      <c r="X2631">
        <f t="shared" si="1288"/>
        <v>2012</v>
      </c>
    </row>
    <row r="2632" spans="1:24" ht="12" customHeight="1">
      <c r="A2632" s="4">
        <v>4298</v>
      </c>
      <c r="B2632" s="4">
        <v>30597</v>
      </c>
      <c r="C2632" s="5">
        <f t="shared" si="1291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  <c r="V2632">
        <f t="shared" si="1289"/>
        <v>6</v>
      </c>
      <c r="W2632">
        <f t="shared" si="1287"/>
        <v>8</v>
      </c>
      <c r="X2632">
        <f t="shared" si="1288"/>
        <v>2012</v>
      </c>
    </row>
    <row r="2633" spans="1:24" ht="12" customHeight="1">
      <c r="A2633" s="4">
        <v>4349</v>
      </c>
      <c r="B2633" s="4">
        <v>30981</v>
      </c>
      <c r="C2633" s="5">
        <f t="shared" ref="C2633:C2634" si="1292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  <c r="V2633">
        <f t="shared" si="1289"/>
        <v>19</v>
      </c>
      <c r="W2633">
        <f t="shared" si="1287"/>
        <v>2</v>
      </c>
      <c r="X2633">
        <f t="shared" si="1288"/>
        <v>2011</v>
      </c>
    </row>
    <row r="2634" spans="1:24" ht="12" customHeight="1">
      <c r="A2634" s="4">
        <v>4350</v>
      </c>
      <c r="B2634" s="4">
        <v>30981</v>
      </c>
      <c r="C2634" s="5">
        <f t="shared" si="1292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293">C2634+2</f>
        <v>40591</v>
      </c>
      <c r="V2634">
        <f t="shared" si="1289"/>
        <v>17</v>
      </c>
      <c r="W2634">
        <f t="shared" si="1287"/>
        <v>2</v>
      </c>
      <c r="X2634">
        <f t="shared" si="1288"/>
        <v>2011</v>
      </c>
    </row>
    <row r="2635" spans="1:24" ht="12" customHeight="1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293"/>
        <v>40691</v>
      </c>
      <c r="V2635">
        <f t="shared" si="1289"/>
        <v>28</v>
      </c>
      <c r="W2635">
        <f t="shared" si="1287"/>
        <v>5</v>
      </c>
      <c r="X2635">
        <f t="shared" si="1288"/>
        <v>2011</v>
      </c>
    </row>
    <row r="2636" spans="1:24" ht="12" customHeight="1">
      <c r="A2636" s="4">
        <v>4473</v>
      </c>
      <c r="B2636" s="4">
        <v>31873</v>
      </c>
      <c r="C2636" s="5">
        <f t="shared" ref="C2636:C2639" si="1294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  <c r="V2636">
        <f t="shared" si="1289"/>
        <v>13</v>
      </c>
      <c r="W2636">
        <f t="shared" si="1287"/>
        <v>11</v>
      </c>
      <c r="X2636">
        <f t="shared" si="1288"/>
        <v>2009</v>
      </c>
    </row>
    <row r="2637" spans="1:24" ht="12" customHeight="1">
      <c r="A2637" s="4">
        <v>4474</v>
      </c>
      <c r="B2637" s="4">
        <v>31873</v>
      </c>
      <c r="C2637" s="5">
        <f t="shared" si="1294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295">C2637+7</f>
        <v>40132</v>
      </c>
      <c r="V2637">
        <f t="shared" si="1289"/>
        <v>15</v>
      </c>
      <c r="W2637">
        <f t="shared" si="1287"/>
        <v>11</v>
      </c>
      <c r="X2637">
        <f t="shared" si="1288"/>
        <v>2009</v>
      </c>
    </row>
    <row r="2638" spans="1:24" ht="12" customHeight="1">
      <c r="A2638" s="4">
        <v>4475</v>
      </c>
      <c r="B2638" s="4">
        <v>31873</v>
      </c>
      <c r="C2638" s="5">
        <f t="shared" si="1294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295"/>
        <v>40132</v>
      </c>
      <c r="V2638">
        <f t="shared" si="1289"/>
        <v>15</v>
      </c>
      <c r="W2638">
        <f t="shared" si="1287"/>
        <v>11</v>
      </c>
      <c r="X2638">
        <f t="shared" si="1288"/>
        <v>2009</v>
      </c>
    </row>
    <row r="2639" spans="1:24" ht="12" customHeight="1">
      <c r="A2639" s="4">
        <v>4476</v>
      </c>
      <c r="B2639" s="4">
        <v>31873</v>
      </c>
      <c r="C2639" s="5">
        <f t="shared" si="1294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295"/>
        <v>40132</v>
      </c>
      <c r="V2639">
        <f t="shared" si="1289"/>
        <v>15</v>
      </c>
      <c r="W2639">
        <f t="shared" si="1287"/>
        <v>11</v>
      </c>
      <c r="X2639">
        <f t="shared" si="1288"/>
        <v>2009</v>
      </c>
    </row>
    <row r="2640" spans="1:24" ht="12" customHeight="1">
      <c r="A2640" s="4">
        <v>4492</v>
      </c>
      <c r="B2640" s="4">
        <v>32000</v>
      </c>
      <c r="C2640" s="5">
        <f t="shared" ref="C2640:C2641" si="1296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  <c r="V2640">
        <f t="shared" si="1289"/>
        <v>15</v>
      </c>
      <c r="W2640">
        <f t="shared" si="1287"/>
        <v>9</v>
      </c>
      <c r="X2640">
        <f t="shared" si="1288"/>
        <v>2012</v>
      </c>
    </row>
    <row r="2641" spans="1:24" ht="12" customHeight="1">
      <c r="A2641" s="4">
        <v>4493</v>
      </c>
      <c r="B2641" s="4">
        <v>32000</v>
      </c>
      <c r="C2641" s="5">
        <f t="shared" si="1296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  <c r="V2641">
        <f t="shared" si="1289"/>
        <v>20</v>
      </c>
      <c r="W2641">
        <f t="shared" si="1287"/>
        <v>9</v>
      </c>
      <c r="X2641">
        <f t="shared" si="1288"/>
        <v>2012</v>
      </c>
    </row>
    <row r="2642" spans="1:24" ht="12" customHeight="1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  <c r="V2642">
        <f t="shared" si="1289"/>
        <v>30</v>
      </c>
      <c r="W2642">
        <f t="shared" si="1287"/>
        <v>10</v>
      </c>
      <c r="X2642">
        <f t="shared" si="1288"/>
        <v>2009</v>
      </c>
    </row>
    <row r="2643" spans="1:24" ht="12" customHeight="1">
      <c r="A2643" s="4">
        <v>4918</v>
      </c>
      <c r="B2643" s="4">
        <v>35012</v>
      </c>
      <c r="C2643" s="5">
        <f t="shared" ref="C2643:C2644" si="1297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  <c r="V2643">
        <f t="shared" si="1289"/>
        <v>8</v>
      </c>
      <c r="W2643">
        <f t="shared" si="1287"/>
        <v>6</v>
      </c>
      <c r="X2643">
        <f t="shared" si="1288"/>
        <v>2012</v>
      </c>
    </row>
    <row r="2644" spans="1:24" ht="12" customHeight="1">
      <c r="A2644" s="4">
        <v>4919</v>
      </c>
      <c r="B2644" s="4">
        <v>35012</v>
      </c>
      <c r="C2644" s="5">
        <f t="shared" si="1297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298">C2644+1</f>
        <v>41069</v>
      </c>
      <c r="V2644">
        <f t="shared" si="1289"/>
        <v>9</v>
      </c>
      <c r="W2644">
        <f t="shared" si="1287"/>
        <v>6</v>
      </c>
      <c r="X2644">
        <f t="shared" si="1288"/>
        <v>2012</v>
      </c>
    </row>
    <row r="2645" spans="1:24" ht="12" customHeight="1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298"/>
        <v>40515</v>
      </c>
      <c r="V2645">
        <f t="shared" si="1289"/>
        <v>3</v>
      </c>
      <c r="W2645">
        <f t="shared" si="1287"/>
        <v>12</v>
      </c>
      <c r="X2645">
        <f t="shared" si="1288"/>
        <v>2010</v>
      </c>
    </row>
    <row r="2646" spans="1:24" ht="12" customHeight="1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  <c r="V2646">
        <f t="shared" si="1289"/>
        <v>17</v>
      </c>
      <c r="W2646">
        <f t="shared" si="1287"/>
        <v>10</v>
      </c>
      <c r="X2646">
        <f t="shared" si="1288"/>
        <v>2012</v>
      </c>
    </row>
    <row r="2647" spans="1:24" ht="12" customHeight="1">
      <c r="A2647" s="4">
        <v>5082</v>
      </c>
      <c r="B2647" s="4">
        <v>36229</v>
      </c>
      <c r="C2647" s="5">
        <f t="shared" ref="C2647:C2648" si="1299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  <c r="V2647">
        <f t="shared" si="1289"/>
        <v>24</v>
      </c>
      <c r="W2647">
        <f t="shared" si="1287"/>
        <v>9</v>
      </c>
      <c r="X2647">
        <f t="shared" si="1288"/>
        <v>2012</v>
      </c>
    </row>
    <row r="2648" spans="1:24" ht="12" customHeight="1">
      <c r="A2648" s="4">
        <v>5083</v>
      </c>
      <c r="B2648" s="4">
        <v>36229</v>
      </c>
      <c r="C2648" s="5">
        <f t="shared" si="1299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  <c r="V2648">
        <f t="shared" si="1289"/>
        <v>23</v>
      </c>
      <c r="W2648">
        <f t="shared" si="1287"/>
        <v>9</v>
      </c>
      <c r="X2648">
        <f t="shared" si="1288"/>
        <v>2012</v>
      </c>
    </row>
    <row r="2649" spans="1:24" ht="12" customHeight="1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  <c r="V2649">
        <f t="shared" si="1289"/>
        <v>13</v>
      </c>
      <c r="W2649">
        <f t="shared" si="1287"/>
        <v>7</v>
      </c>
      <c r="X2649">
        <f t="shared" si="1288"/>
        <v>2011</v>
      </c>
    </row>
    <row r="2650" spans="1:24" ht="12" customHeight="1">
      <c r="A2650" s="4">
        <v>5219</v>
      </c>
      <c r="B2650" s="4">
        <v>37152</v>
      </c>
      <c r="C2650" s="5">
        <f t="shared" ref="C2650:C2651" si="1300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301">C2650+2</f>
        <v>40687</v>
      </c>
      <c r="V2650">
        <f t="shared" si="1289"/>
        <v>24</v>
      </c>
      <c r="W2650">
        <f t="shared" si="1287"/>
        <v>5</v>
      </c>
      <c r="X2650">
        <f t="shared" si="1288"/>
        <v>2011</v>
      </c>
    </row>
    <row r="2651" spans="1:24" ht="12" customHeight="1">
      <c r="A2651" s="4">
        <v>5220</v>
      </c>
      <c r="B2651" s="4">
        <v>37152</v>
      </c>
      <c r="C2651" s="5">
        <f t="shared" si="1300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301"/>
        <v>40687</v>
      </c>
      <c r="V2651">
        <f t="shared" si="1289"/>
        <v>24</v>
      </c>
      <c r="W2651">
        <f t="shared" si="1287"/>
        <v>5</v>
      </c>
      <c r="X2651">
        <f t="shared" si="1288"/>
        <v>2011</v>
      </c>
    </row>
    <row r="2652" spans="1:24" ht="12" customHeight="1">
      <c r="A2652" s="4">
        <v>5228</v>
      </c>
      <c r="B2652" s="4">
        <v>37223</v>
      </c>
      <c r="C2652" s="5">
        <f t="shared" ref="C2652:C2654" si="1302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  <c r="V2652">
        <f t="shared" si="1289"/>
        <v>14</v>
      </c>
      <c r="W2652">
        <f t="shared" si="1287"/>
        <v>11</v>
      </c>
      <c r="X2652">
        <f t="shared" si="1288"/>
        <v>2011</v>
      </c>
    </row>
    <row r="2653" spans="1:24" ht="12" customHeight="1">
      <c r="A2653" s="4">
        <v>5229</v>
      </c>
      <c r="B2653" s="4">
        <v>37223</v>
      </c>
      <c r="C2653" s="5">
        <f t="shared" si="1302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  <c r="V2653">
        <f t="shared" si="1289"/>
        <v>17</v>
      </c>
      <c r="W2653">
        <f t="shared" si="1287"/>
        <v>11</v>
      </c>
      <c r="X2653">
        <f t="shared" si="1288"/>
        <v>2011</v>
      </c>
    </row>
    <row r="2654" spans="1:24" ht="12" customHeight="1">
      <c r="A2654" s="4">
        <v>5230</v>
      </c>
      <c r="B2654" s="4">
        <v>37223</v>
      </c>
      <c r="C2654" s="5">
        <f t="shared" si="1302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  <c r="V2654">
        <f t="shared" si="1289"/>
        <v>15</v>
      </c>
      <c r="W2654">
        <f t="shared" si="1287"/>
        <v>11</v>
      </c>
      <c r="X2654">
        <f t="shared" si="1288"/>
        <v>2011</v>
      </c>
    </row>
    <row r="2655" spans="1:24" ht="12" customHeight="1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303">C2655+1</f>
        <v>40075</v>
      </c>
      <c r="V2655">
        <f t="shared" si="1289"/>
        <v>19</v>
      </c>
      <c r="W2655">
        <f t="shared" si="1287"/>
        <v>9</v>
      </c>
      <c r="X2655">
        <f t="shared" si="1288"/>
        <v>2009</v>
      </c>
    </row>
    <row r="2656" spans="1:24" ht="12" customHeight="1">
      <c r="A2656" s="4">
        <v>5260</v>
      </c>
      <c r="B2656" s="4">
        <v>37441</v>
      </c>
      <c r="C2656" s="5">
        <f t="shared" ref="C2656:C2657" si="1304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303"/>
        <v>39869</v>
      </c>
      <c r="V2656">
        <f t="shared" si="1289"/>
        <v>25</v>
      </c>
      <c r="W2656">
        <f t="shared" si="1287"/>
        <v>2</v>
      </c>
      <c r="X2656">
        <f t="shared" si="1288"/>
        <v>2009</v>
      </c>
    </row>
    <row r="2657" spans="1:24" ht="12" customHeight="1">
      <c r="A2657" s="4">
        <v>5261</v>
      </c>
      <c r="B2657" s="4">
        <v>37441</v>
      </c>
      <c r="C2657" s="5">
        <f t="shared" si="1304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305">C2657+2</f>
        <v>39870</v>
      </c>
      <c r="V2657">
        <f t="shared" si="1289"/>
        <v>26</v>
      </c>
      <c r="W2657">
        <f t="shared" si="1287"/>
        <v>2</v>
      </c>
      <c r="X2657">
        <f t="shared" si="1288"/>
        <v>2009</v>
      </c>
    </row>
    <row r="2658" spans="1:24" ht="12" customHeight="1">
      <c r="A2658" s="4">
        <v>5359</v>
      </c>
      <c r="B2658" s="4">
        <v>38084</v>
      </c>
      <c r="C2658" s="5">
        <f t="shared" ref="C2658:C2659" si="1306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305"/>
        <v>39894</v>
      </c>
      <c r="V2658">
        <f t="shared" si="1289"/>
        <v>22</v>
      </c>
      <c r="W2658">
        <f t="shared" si="1287"/>
        <v>3</v>
      </c>
      <c r="X2658">
        <f t="shared" si="1288"/>
        <v>2009</v>
      </c>
    </row>
    <row r="2659" spans="1:24" ht="12" customHeight="1">
      <c r="A2659" s="4">
        <v>5360</v>
      </c>
      <c r="B2659" s="4">
        <v>38084</v>
      </c>
      <c r="C2659" s="5">
        <f t="shared" si="1306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305"/>
        <v>39894</v>
      </c>
      <c r="V2659">
        <f t="shared" si="1289"/>
        <v>22</v>
      </c>
      <c r="W2659">
        <f t="shared" si="1287"/>
        <v>3</v>
      </c>
      <c r="X2659">
        <f t="shared" si="1288"/>
        <v>2009</v>
      </c>
    </row>
    <row r="2660" spans="1:24" ht="12" customHeight="1">
      <c r="A2660" s="4">
        <v>5527</v>
      </c>
      <c r="B2660" s="4">
        <v>39168</v>
      </c>
      <c r="C2660" s="5">
        <f t="shared" ref="C2660:C2662" si="1307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  <c r="V2660">
        <f t="shared" si="1289"/>
        <v>20</v>
      </c>
      <c r="W2660">
        <f t="shared" si="1287"/>
        <v>5</v>
      </c>
      <c r="X2660">
        <f t="shared" si="1288"/>
        <v>2012</v>
      </c>
    </row>
    <row r="2661" spans="1:24" ht="12" customHeight="1">
      <c r="A2661" s="4">
        <v>5528</v>
      </c>
      <c r="B2661" s="4">
        <v>39168</v>
      </c>
      <c r="C2661" s="5">
        <f t="shared" si="1307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308">C2661+2</f>
        <v>41048</v>
      </c>
      <c r="V2661">
        <f t="shared" si="1289"/>
        <v>19</v>
      </c>
      <c r="W2661">
        <f t="shared" si="1287"/>
        <v>5</v>
      </c>
      <c r="X2661">
        <f t="shared" si="1288"/>
        <v>2012</v>
      </c>
    </row>
    <row r="2662" spans="1:24" ht="12" customHeight="1">
      <c r="A2662" s="4">
        <v>5529</v>
      </c>
      <c r="B2662" s="4">
        <v>39168</v>
      </c>
      <c r="C2662" s="5">
        <f t="shared" si="1307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308"/>
        <v>41048</v>
      </c>
      <c r="V2662">
        <f t="shared" si="1289"/>
        <v>19</v>
      </c>
      <c r="W2662">
        <f t="shared" si="1287"/>
        <v>5</v>
      </c>
      <c r="X2662">
        <f t="shared" si="1288"/>
        <v>2012</v>
      </c>
    </row>
    <row r="2663" spans="1:24" ht="12" customHeight="1">
      <c r="A2663" s="4">
        <v>5555</v>
      </c>
      <c r="B2663" s="4">
        <v>39333</v>
      </c>
      <c r="C2663" s="5">
        <f t="shared" ref="C2663:C2664" si="1309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308"/>
        <v>40228</v>
      </c>
      <c r="V2663">
        <f t="shared" si="1289"/>
        <v>19</v>
      </c>
      <c r="W2663">
        <f t="shared" si="1287"/>
        <v>2</v>
      </c>
      <c r="X2663">
        <f t="shared" si="1288"/>
        <v>2010</v>
      </c>
    </row>
    <row r="2664" spans="1:24" ht="12" customHeight="1">
      <c r="A2664" s="4">
        <v>5556</v>
      </c>
      <c r="B2664" s="4">
        <v>39333</v>
      </c>
      <c r="C2664" s="5">
        <f t="shared" si="1309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  <c r="V2664">
        <f t="shared" si="1289"/>
        <v>17</v>
      </c>
      <c r="W2664">
        <f t="shared" si="1287"/>
        <v>2</v>
      </c>
      <c r="X2664">
        <f t="shared" si="1288"/>
        <v>2010</v>
      </c>
    </row>
    <row r="2665" spans="1:24" ht="12" customHeight="1">
      <c r="A2665" s="4">
        <v>5583</v>
      </c>
      <c r="B2665" s="4">
        <v>39589</v>
      </c>
      <c r="C2665" s="5">
        <f t="shared" ref="C2665:C2666" si="1310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  <c r="V2665">
        <f t="shared" si="1289"/>
        <v>3</v>
      </c>
      <c r="W2665">
        <f t="shared" si="1287"/>
        <v>8</v>
      </c>
      <c r="X2665">
        <f t="shared" si="1288"/>
        <v>2009</v>
      </c>
    </row>
    <row r="2666" spans="1:24" ht="12" customHeight="1">
      <c r="A2666" s="4">
        <v>5584</v>
      </c>
      <c r="B2666" s="4">
        <v>39589</v>
      </c>
      <c r="C2666" s="5">
        <f t="shared" si="1310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  <c r="V2666">
        <f t="shared" si="1289"/>
        <v>2</v>
      </c>
      <c r="W2666">
        <f t="shared" si="1287"/>
        <v>8</v>
      </c>
      <c r="X2666">
        <f t="shared" si="1288"/>
        <v>2009</v>
      </c>
    </row>
    <row r="2667" spans="1:24" ht="12" customHeight="1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  <c r="V2667">
        <f t="shared" si="1289"/>
        <v>19</v>
      </c>
      <c r="W2667">
        <f t="shared" si="1287"/>
        <v>3</v>
      </c>
      <c r="X2667">
        <f t="shared" si="1288"/>
        <v>2009</v>
      </c>
    </row>
    <row r="2668" spans="1:24" ht="12" customHeight="1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  <c r="V2668">
        <f t="shared" si="1289"/>
        <v>14</v>
      </c>
      <c r="W2668">
        <f t="shared" si="1287"/>
        <v>1</v>
      </c>
      <c r="X2668">
        <f t="shared" si="1288"/>
        <v>2009</v>
      </c>
    </row>
    <row r="2669" spans="1:24" ht="12" customHeight="1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  <c r="V2669">
        <f t="shared" si="1289"/>
        <v>2</v>
      </c>
      <c r="W2669">
        <f t="shared" si="1287"/>
        <v>9</v>
      </c>
      <c r="X2669">
        <f t="shared" si="1288"/>
        <v>2012</v>
      </c>
    </row>
    <row r="2670" spans="1:24" ht="12" customHeight="1">
      <c r="A2670" s="4">
        <v>5693</v>
      </c>
      <c r="B2670" s="4">
        <v>40258</v>
      </c>
      <c r="C2670" s="5">
        <f t="shared" ref="C2670:C2671" si="1311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  <c r="V2670">
        <f t="shared" si="1289"/>
        <v>11</v>
      </c>
      <c r="W2670">
        <f t="shared" si="1287"/>
        <v>4</v>
      </c>
      <c r="X2670">
        <f t="shared" si="1288"/>
        <v>2009</v>
      </c>
    </row>
    <row r="2671" spans="1:24" ht="12" customHeight="1">
      <c r="A2671" s="4">
        <v>5694</v>
      </c>
      <c r="B2671" s="4">
        <v>40258</v>
      </c>
      <c r="C2671" s="5">
        <f t="shared" si="1311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  <c r="V2671">
        <f t="shared" si="1289"/>
        <v>10</v>
      </c>
      <c r="W2671">
        <f t="shared" si="1287"/>
        <v>4</v>
      </c>
      <c r="X2671">
        <f t="shared" si="1288"/>
        <v>2009</v>
      </c>
    </row>
    <row r="2672" spans="1:24" ht="12" customHeight="1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312">C2672+2</f>
        <v>39911</v>
      </c>
      <c r="V2672">
        <f t="shared" si="1289"/>
        <v>8</v>
      </c>
      <c r="W2672">
        <f t="shared" si="1287"/>
        <v>4</v>
      </c>
      <c r="X2672">
        <f t="shared" si="1288"/>
        <v>2009</v>
      </c>
    </row>
    <row r="2673" spans="1:24" ht="12" customHeight="1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312"/>
        <v>40158</v>
      </c>
      <c r="V2673">
        <f t="shared" si="1289"/>
        <v>11</v>
      </c>
      <c r="W2673">
        <f t="shared" si="1287"/>
        <v>12</v>
      </c>
      <c r="X2673">
        <f t="shared" si="1288"/>
        <v>2009</v>
      </c>
    </row>
    <row r="2674" spans="1:24" ht="12" customHeight="1">
      <c r="A2674" s="4">
        <v>5949</v>
      </c>
      <c r="B2674" s="4">
        <v>42242</v>
      </c>
      <c r="C2674" s="5">
        <f t="shared" ref="C2674:C2676" si="1313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314">C2674+1</f>
        <v>39905</v>
      </c>
      <c r="V2674">
        <f t="shared" si="1289"/>
        <v>2</v>
      </c>
      <c r="W2674">
        <f t="shared" si="1287"/>
        <v>4</v>
      </c>
      <c r="X2674">
        <f t="shared" si="1288"/>
        <v>2009</v>
      </c>
    </row>
    <row r="2675" spans="1:24" ht="12" customHeight="1">
      <c r="A2675" s="4">
        <v>5950</v>
      </c>
      <c r="B2675" s="4">
        <v>42242</v>
      </c>
      <c r="C2675" s="5">
        <f t="shared" si="1313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314"/>
        <v>39905</v>
      </c>
      <c r="V2675">
        <f t="shared" si="1289"/>
        <v>2</v>
      </c>
      <c r="W2675">
        <f t="shared" si="1287"/>
        <v>4</v>
      </c>
      <c r="X2675">
        <f t="shared" si="1288"/>
        <v>2009</v>
      </c>
    </row>
    <row r="2676" spans="1:24" ht="12" customHeight="1">
      <c r="A2676" s="4">
        <v>5951</v>
      </c>
      <c r="B2676" s="4">
        <v>42242</v>
      </c>
      <c r="C2676" s="5">
        <f t="shared" si="1313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314"/>
        <v>39905</v>
      </c>
      <c r="V2676">
        <f t="shared" si="1289"/>
        <v>2</v>
      </c>
      <c r="W2676">
        <f t="shared" si="1287"/>
        <v>4</v>
      </c>
      <c r="X2676">
        <f t="shared" si="1288"/>
        <v>2009</v>
      </c>
    </row>
    <row r="2677" spans="1:24" ht="12" customHeight="1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314"/>
        <v>40396</v>
      </c>
      <c r="V2677">
        <f t="shared" si="1289"/>
        <v>6</v>
      </c>
      <c r="W2677">
        <f t="shared" si="1287"/>
        <v>8</v>
      </c>
      <c r="X2677">
        <f t="shared" si="1288"/>
        <v>2010</v>
      </c>
    </row>
    <row r="2678" spans="1:24" ht="12" customHeight="1">
      <c r="A2678" s="4">
        <v>6022</v>
      </c>
      <c r="B2678" s="4">
        <v>42690</v>
      </c>
      <c r="C2678" s="5">
        <f t="shared" ref="C2678:C2679" si="1315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316">C2678+4</f>
        <v>40453</v>
      </c>
      <c r="V2678">
        <f t="shared" si="1289"/>
        <v>2</v>
      </c>
      <c r="W2678">
        <f t="shared" si="1287"/>
        <v>10</v>
      </c>
      <c r="X2678">
        <f t="shared" si="1288"/>
        <v>2010</v>
      </c>
    </row>
    <row r="2679" spans="1:24" ht="12" customHeight="1">
      <c r="A2679" s="4">
        <v>6023</v>
      </c>
      <c r="B2679" s="4">
        <v>42690</v>
      </c>
      <c r="C2679" s="5">
        <f t="shared" si="1315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316"/>
        <v>40453</v>
      </c>
      <c r="V2679">
        <f t="shared" si="1289"/>
        <v>2</v>
      </c>
      <c r="W2679">
        <f t="shared" si="1287"/>
        <v>10</v>
      </c>
      <c r="X2679">
        <f t="shared" si="1288"/>
        <v>2010</v>
      </c>
    </row>
    <row r="2680" spans="1:24" ht="12" customHeight="1">
      <c r="A2680" s="4">
        <v>6369</v>
      </c>
      <c r="B2680" s="4">
        <v>45184</v>
      </c>
      <c r="C2680" s="5">
        <f t="shared" ref="C2680:C2681" si="1317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  <c r="V2680">
        <f t="shared" si="1289"/>
        <v>26</v>
      </c>
      <c r="W2680">
        <f t="shared" si="1287"/>
        <v>6</v>
      </c>
      <c r="X2680">
        <f t="shared" si="1288"/>
        <v>2010</v>
      </c>
    </row>
    <row r="2681" spans="1:24" ht="12" customHeight="1">
      <c r="A2681" s="4">
        <v>6370</v>
      </c>
      <c r="B2681" s="4">
        <v>45184</v>
      </c>
      <c r="C2681" s="5">
        <f t="shared" si="1317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  <c r="V2681">
        <f t="shared" si="1289"/>
        <v>24</v>
      </c>
      <c r="W2681">
        <f t="shared" si="1287"/>
        <v>6</v>
      </c>
      <c r="X2681">
        <f t="shared" si="1288"/>
        <v>2010</v>
      </c>
    </row>
    <row r="2682" spans="1:24" ht="12" customHeight="1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318">C2682+1</f>
        <v>40309</v>
      </c>
      <c r="V2682">
        <f t="shared" si="1289"/>
        <v>11</v>
      </c>
      <c r="W2682">
        <f t="shared" si="1287"/>
        <v>5</v>
      </c>
      <c r="X2682">
        <f t="shared" si="1288"/>
        <v>2010</v>
      </c>
    </row>
    <row r="2683" spans="1:24" ht="12" customHeight="1">
      <c r="A2683" s="4">
        <v>6499</v>
      </c>
      <c r="B2683" s="4">
        <v>46276</v>
      </c>
      <c r="C2683" s="5">
        <f t="shared" ref="C2683:C2684" si="1319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318"/>
        <v>41253</v>
      </c>
      <c r="V2683">
        <f t="shared" si="1289"/>
        <v>10</v>
      </c>
      <c r="W2683">
        <f t="shared" si="1287"/>
        <v>12</v>
      </c>
      <c r="X2683">
        <f t="shared" si="1288"/>
        <v>2012</v>
      </c>
    </row>
    <row r="2684" spans="1:24" ht="12" customHeight="1">
      <c r="A2684" s="4">
        <v>6500</v>
      </c>
      <c r="B2684" s="4">
        <v>46276</v>
      </c>
      <c r="C2684" s="5">
        <f t="shared" si="1319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  <c r="V2684">
        <f t="shared" si="1289"/>
        <v>11</v>
      </c>
      <c r="W2684">
        <f t="shared" si="1287"/>
        <v>12</v>
      </c>
      <c r="X2684">
        <f t="shared" si="1288"/>
        <v>2012</v>
      </c>
    </row>
    <row r="2685" spans="1:24" ht="12" customHeight="1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320">C2685+1</f>
        <v>41009</v>
      </c>
      <c r="V2685">
        <f t="shared" si="1289"/>
        <v>10</v>
      </c>
      <c r="W2685">
        <f t="shared" si="1287"/>
        <v>4</v>
      </c>
      <c r="X2685">
        <f t="shared" si="1288"/>
        <v>2012</v>
      </c>
    </row>
    <row r="2686" spans="1:24" ht="12" customHeight="1">
      <c r="A2686" s="4">
        <v>6770</v>
      </c>
      <c r="B2686" s="4">
        <v>48198</v>
      </c>
      <c r="C2686" s="5">
        <f t="shared" ref="C2686:C2687" si="1321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320"/>
        <v>40138</v>
      </c>
      <c r="V2686">
        <f t="shared" si="1289"/>
        <v>21</v>
      </c>
      <c r="W2686">
        <f t="shared" si="1287"/>
        <v>11</v>
      </c>
      <c r="X2686">
        <f t="shared" si="1288"/>
        <v>2009</v>
      </c>
    </row>
    <row r="2687" spans="1:24" ht="12" customHeight="1">
      <c r="A2687" s="4">
        <v>6771</v>
      </c>
      <c r="B2687" s="4">
        <v>48198</v>
      </c>
      <c r="C2687" s="5">
        <f t="shared" si="1321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  <c r="V2687">
        <f t="shared" si="1289"/>
        <v>22</v>
      </c>
      <c r="W2687">
        <f t="shared" si="1287"/>
        <v>11</v>
      </c>
      <c r="X2687">
        <f t="shared" si="1288"/>
        <v>2009</v>
      </c>
    </row>
    <row r="2688" spans="1:24" ht="12" customHeight="1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  <c r="V2688">
        <f t="shared" si="1289"/>
        <v>26</v>
      </c>
      <c r="W2688">
        <f t="shared" si="1287"/>
        <v>7</v>
      </c>
      <c r="X2688">
        <f t="shared" si="1288"/>
        <v>2009</v>
      </c>
    </row>
    <row r="2689" spans="1:24" ht="12" customHeight="1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  <c r="V2689">
        <f t="shared" si="1289"/>
        <v>4</v>
      </c>
      <c r="W2689">
        <f t="shared" si="1287"/>
        <v>4</v>
      </c>
      <c r="X2689">
        <f t="shared" si="1288"/>
        <v>2009</v>
      </c>
    </row>
    <row r="2690" spans="1:24" ht="12" customHeight="1">
      <c r="A2690" s="4">
        <v>6919</v>
      </c>
      <c r="B2690" s="4">
        <v>49349</v>
      </c>
      <c r="C2690" s="5">
        <f t="shared" ref="C2690:C2691" si="1322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  <c r="V2690">
        <f t="shared" si="1289"/>
        <v>1</v>
      </c>
      <c r="W2690">
        <f t="shared" si="1287"/>
        <v>6</v>
      </c>
      <c r="X2690">
        <f t="shared" si="1288"/>
        <v>2011</v>
      </c>
    </row>
    <row r="2691" spans="1:24" ht="12" customHeight="1">
      <c r="A2691" s="4">
        <v>6920</v>
      </c>
      <c r="B2691" s="4">
        <v>49349</v>
      </c>
      <c r="C2691" s="5">
        <f t="shared" si="1322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  <c r="V2691">
        <f t="shared" si="1289"/>
        <v>3</v>
      </c>
      <c r="W2691">
        <f t="shared" ref="W2691:W2754" si="1323">MONTH(U2691)</f>
        <v>6</v>
      </c>
      <c r="X2691">
        <f t="shared" ref="X2691:X2754" si="1324">YEAR(U2691)</f>
        <v>2011</v>
      </c>
    </row>
    <row r="2692" spans="1:24" ht="12" customHeight="1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325">C2692+7</f>
        <v>40156</v>
      </c>
      <c r="V2692">
        <f t="shared" ref="V2692:V2755" si="1326">DAY(U2692)</f>
        <v>9</v>
      </c>
      <c r="W2692">
        <f t="shared" si="1323"/>
        <v>12</v>
      </c>
      <c r="X2692">
        <f t="shared" si="1324"/>
        <v>2009</v>
      </c>
    </row>
    <row r="2693" spans="1:24" ht="12" customHeight="1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325"/>
        <v>40624</v>
      </c>
      <c r="V2693">
        <f t="shared" si="1326"/>
        <v>22</v>
      </c>
      <c r="W2693">
        <f t="shared" si="1323"/>
        <v>3</v>
      </c>
      <c r="X2693">
        <f t="shared" si="1324"/>
        <v>2011</v>
      </c>
    </row>
    <row r="2694" spans="1:24" ht="12" customHeight="1">
      <c r="A2694" s="4">
        <v>7349</v>
      </c>
      <c r="B2694" s="4">
        <v>52327</v>
      </c>
      <c r="C2694" s="5">
        <f t="shared" ref="C2694:C2695" si="1327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  <c r="V2694">
        <f t="shared" si="1326"/>
        <v>21</v>
      </c>
      <c r="W2694">
        <f t="shared" si="1323"/>
        <v>12</v>
      </c>
      <c r="X2694">
        <f t="shared" si="1324"/>
        <v>2011</v>
      </c>
    </row>
    <row r="2695" spans="1:24" ht="12" customHeight="1">
      <c r="A2695" s="4">
        <v>7350</v>
      </c>
      <c r="B2695" s="4">
        <v>52327</v>
      </c>
      <c r="C2695" s="5">
        <f t="shared" si="1327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  <c r="V2695">
        <f t="shared" si="1326"/>
        <v>22</v>
      </c>
      <c r="W2695">
        <f t="shared" si="1323"/>
        <v>12</v>
      </c>
      <c r="X2695">
        <f t="shared" si="1324"/>
        <v>2011</v>
      </c>
    </row>
    <row r="2696" spans="1:24" ht="12" customHeight="1">
      <c r="A2696" s="4">
        <v>7369</v>
      </c>
      <c r="B2696" s="4">
        <v>52516</v>
      </c>
      <c r="C2696" s="5">
        <f t="shared" ref="C2696:C2697" si="1328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  <c r="V2696">
        <f t="shared" si="1326"/>
        <v>5</v>
      </c>
      <c r="W2696">
        <f t="shared" si="1323"/>
        <v>1</v>
      </c>
      <c r="X2696">
        <f t="shared" si="1324"/>
        <v>2012</v>
      </c>
    </row>
    <row r="2697" spans="1:24" ht="12" customHeight="1">
      <c r="A2697" s="4">
        <v>7370</v>
      </c>
      <c r="B2697" s="4">
        <v>52516</v>
      </c>
      <c r="C2697" s="5">
        <f t="shared" si="1328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  <c r="V2697">
        <f t="shared" si="1326"/>
        <v>8</v>
      </c>
      <c r="W2697">
        <f t="shared" si="1323"/>
        <v>1</v>
      </c>
      <c r="X2697">
        <f t="shared" si="1324"/>
        <v>2012</v>
      </c>
    </row>
    <row r="2698" spans="1:24" ht="12" customHeight="1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329">C2698+1</f>
        <v>40462</v>
      </c>
      <c r="V2698">
        <f t="shared" si="1326"/>
        <v>11</v>
      </c>
      <c r="W2698">
        <f t="shared" si="1323"/>
        <v>10</v>
      </c>
      <c r="X2698">
        <f t="shared" si="1324"/>
        <v>2010</v>
      </c>
    </row>
    <row r="2699" spans="1:24" ht="12" customHeight="1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329"/>
        <v>41009</v>
      </c>
      <c r="V2699">
        <f t="shared" si="1326"/>
        <v>10</v>
      </c>
      <c r="W2699">
        <f t="shared" si="1323"/>
        <v>4</v>
      </c>
      <c r="X2699">
        <f t="shared" si="1324"/>
        <v>2012</v>
      </c>
    </row>
    <row r="2700" spans="1:24" ht="12" customHeight="1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329"/>
        <v>41113</v>
      </c>
      <c r="V2700">
        <f t="shared" si="1326"/>
        <v>23</v>
      </c>
      <c r="W2700">
        <f t="shared" si="1323"/>
        <v>7</v>
      </c>
      <c r="X2700">
        <f t="shared" si="1324"/>
        <v>2012</v>
      </c>
    </row>
    <row r="2701" spans="1:24" ht="12" customHeight="1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  <c r="V2701">
        <f t="shared" si="1326"/>
        <v>28</v>
      </c>
      <c r="W2701">
        <f t="shared" si="1323"/>
        <v>9</v>
      </c>
      <c r="X2701">
        <f t="shared" si="1324"/>
        <v>2009</v>
      </c>
    </row>
    <row r="2702" spans="1:24" ht="12" customHeight="1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330">C2702+2</f>
        <v>40200</v>
      </c>
      <c r="V2702">
        <f t="shared" si="1326"/>
        <v>22</v>
      </c>
      <c r="W2702">
        <f t="shared" si="1323"/>
        <v>1</v>
      </c>
      <c r="X2702">
        <f t="shared" si="1324"/>
        <v>2010</v>
      </c>
    </row>
    <row r="2703" spans="1:24" ht="12" customHeight="1">
      <c r="A2703" s="4">
        <v>7745</v>
      </c>
      <c r="B2703" s="4">
        <v>55458</v>
      </c>
      <c r="C2703" s="5">
        <f t="shared" ref="C2703:C2704" si="1331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330"/>
        <v>40986</v>
      </c>
      <c r="V2703">
        <f t="shared" si="1326"/>
        <v>18</v>
      </c>
      <c r="W2703">
        <f t="shared" si="1323"/>
        <v>3</v>
      </c>
      <c r="X2703">
        <f t="shared" si="1324"/>
        <v>2012</v>
      </c>
    </row>
    <row r="2704" spans="1:24" ht="12" customHeight="1">
      <c r="A2704" s="4">
        <v>7746</v>
      </c>
      <c r="B2704" s="4">
        <v>55458</v>
      </c>
      <c r="C2704" s="5">
        <f t="shared" si="1331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330"/>
        <v>40986</v>
      </c>
      <c r="V2704">
        <f t="shared" si="1326"/>
        <v>18</v>
      </c>
      <c r="W2704">
        <f t="shared" si="1323"/>
        <v>3</v>
      </c>
      <c r="X2704">
        <f t="shared" si="1324"/>
        <v>2012</v>
      </c>
    </row>
    <row r="2705" spans="1:24" ht="12" customHeight="1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330"/>
        <v>40798</v>
      </c>
      <c r="V2705">
        <f t="shared" si="1326"/>
        <v>12</v>
      </c>
      <c r="W2705">
        <f t="shared" si="1323"/>
        <v>9</v>
      </c>
      <c r="X2705">
        <f t="shared" si="1324"/>
        <v>2011</v>
      </c>
    </row>
    <row r="2706" spans="1:24" ht="12" customHeight="1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  <c r="V2706">
        <f t="shared" si="1326"/>
        <v>18</v>
      </c>
      <c r="W2706">
        <f t="shared" si="1323"/>
        <v>4</v>
      </c>
      <c r="X2706">
        <f t="shared" si="1324"/>
        <v>2010</v>
      </c>
    </row>
    <row r="2707" spans="1:24" ht="12" customHeight="1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  <c r="V2707">
        <f t="shared" si="1326"/>
        <v>7</v>
      </c>
      <c r="W2707">
        <f t="shared" si="1323"/>
        <v>12</v>
      </c>
      <c r="X2707">
        <f t="shared" si="1324"/>
        <v>2012</v>
      </c>
    </row>
    <row r="2708" spans="1:24" ht="12" customHeight="1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  <c r="V2708">
        <f t="shared" si="1326"/>
        <v>26</v>
      </c>
      <c r="W2708">
        <f t="shared" si="1323"/>
        <v>1</v>
      </c>
      <c r="X2708">
        <f t="shared" si="1324"/>
        <v>2009</v>
      </c>
    </row>
    <row r="2709" spans="1:24" ht="12" customHeight="1">
      <c r="A2709" s="4">
        <v>8211</v>
      </c>
      <c r="B2709" s="4">
        <v>58720</v>
      </c>
      <c r="C2709" s="5">
        <f t="shared" ref="C2709:C2710" si="1332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  <c r="V2709">
        <f t="shared" si="1326"/>
        <v>7</v>
      </c>
      <c r="W2709">
        <f t="shared" si="1323"/>
        <v>3</v>
      </c>
      <c r="X2709">
        <f t="shared" si="1324"/>
        <v>2010</v>
      </c>
    </row>
    <row r="2710" spans="1:24" ht="12" customHeight="1">
      <c r="A2710" s="4">
        <v>8212</v>
      </c>
      <c r="B2710" s="4">
        <v>58720</v>
      </c>
      <c r="C2710" s="5">
        <f t="shared" si="1332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  <c r="V2710">
        <f t="shared" si="1326"/>
        <v>8</v>
      </c>
      <c r="W2710">
        <f t="shared" si="1323"/>
        <v>3</v>
      </c>
      <c r="X2710">
        <f t="shared" si="1324"/>
        <v>2010</v>
      </c>
    </row>
    <row r="2711" spans="1:24" ht="12" customHeight="1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  <c r="V2711">
        <f t="shared" si="1326"/>
        <v>4</v>
      </c>
      <c r="W2711">
        <f t="shared" si="1323"/>
        <v>3</v>
      </c>
      <c r="X2711">
        <f t="shared" si="1324"/>
        <v>2010</v>
      </c>
    </row>
    <row r="2712" spans="1:24" ht="12" customHeight="1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  <c r="V2712">
        <f t="shared" si="1326"/>
        <v>15</v>
      </c>
      <c r="W2712">
        <f t="shared" si="1323"/>
        <v>2</v>
      </c>
      <c r="X2712">
        <f t="shared" si="1324"/>
        <v>2012</v>
      </c>
    </row>
    <row r="2713" spans="1:24" ht="12" customHeight="1">
      <c r="A2713" s="4">
        <v>207</v>
      </c>
      <c r="B2713" s="4">
        <v>1382</v>
      </c>
      <c r="C2713" s="5">
        <f t="shared" ref="C2713:C2715" si="1333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  <c r="V2713">
        <f t="shared" si="1326"/>
        <v>20</v>
      </c>
      <c r="W2713">
        <f t="shared" si="1323"/>
        <v>8</v>
      </c>
      <c r="X2713">
        <f t="shared" si="1324"/>
        <v>2010</v>
      </c>
    </row>
    <row r="2714" spans="1:24" ht="12" customHeight="1">
      <c r="A2714" s="4">
        <v>208</v>
      </c>
      <c r="B2714" s="4">
        <v>1382</v>
      </c>
      <c r="C2714" s="5">
        <f t="shared" si="1333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334">C2714+7</f>
        <v>40413</v>
      </c>
      <c r="V2714">
        <f t="shared" si="1326"/>
        <v>23</v>
      </c>
      <c r="W2714">
        <f t="shared" si="1323"/>
        <v>8</v>
      </c>
      <c r="X2714">
        <f t="shared" si="1324"/>
        <v>2010</v>
      </c>
    </row>
    <row r="2715" spans="1:24" ht="12" customHeight="1">
      <c r="A2715" s="4">
        <v>209</v>
      </c>
      <c r="B2715" s="4">
        <v>1382</v>
      </c>
      <c r="C2715" s="5">
        <f t="shared" si="1333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334"/>
        <v>40413</v>
      </c>
      <c r="V2715">
        <f t="shared" si="1326"/>
        <v>23</v>
      </c>
      <c r="W2715">
        <f t="shared" si="1323"/>
        <v>8</v>
      </c>
      <c r="X2715">
        <f t="shared" si="1324"/>
        <v>2010</v>
      </c>
    </row>
    <row r="2716" spans="1:24" ht="12" customHeight="1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  <c r="V2716">
        <f t="shared" si="1326"/>
        <v>21</v>
      </c>
      <c r="W2716">
        <f t="shared" si="1323"/>
        <v>12</v>
      </c>
      <c r="X2716">
        <f t="shared" si="1324"/>
        <v>2009</v>
      </c>
    </row>
    <row r="2717" spans="1:24" ht="12" customHeight="1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  <c r="V2717">
        <f t="shared" si="1326"/>
        <v>7</v>
      </c>
      <c r="W2717">
        <f t="shared" si="1323"/>
        <v>12</v>
      </c>
      <c r="X2717">
        <f t="shared" si="1324"/>
        <v>2009</v>
      </c>
    </row>
    <row r="2718" spans="1:24" ht="12" customHeight="1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335">C2718+1</f>
        <v>40357</v>
      </c>
      <c r="V2718">
        <f t="shared" si="1326"/>
        <v>28</v>
      </c>
      <c r="W2718">
        <f t="shared" si="1323"/>
        <v>6</v>
      </c>
      <c r="X2718">
        <f t="shared" si="1324"/>
        <v>2010</v>
      </c>
    </row>
    <row r="2719" spans="1:24" ht="12" customHeight="1">
      <c r="A2719" s="4">
        <v>664</v>
      </c>
      <c r="B2719" s="4">
        <v>4647</v>
      </c>
      <c r="C2719" s="5">
        <f t="shared" ref="C2719:C2720" si="1336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335"/>
        <v>39947</v>
      </c>
      <c r="V2719">
        <f t="shared" si="1326"/>
        <v>14</v>
      </c>
      <c r="W2719">
        <f t="shared" si="1323"/>
        <v>5</v>
      </c>
      <c r="X2719">
        <f t="shared" si="1324"/>
        <v>2009</v>
      </c>
    </row>
    <row r="2720" spans="1:24" ht="12" customHeight="1">
      <c r="A2720" s="4">
        <v>665</v>
      </c>
      <c r="B2720" s="4">
        <v>4647</v>
      </c>
      <c r="C2720" s="5">
        <f t="shared" si="1336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  <c r="V2720">
        <f t="shared" si="1326"/>
        <v>15</v>
      </c>
      <c r="W2720">
        <f t="shared" si="1323"/>
        <v>5</v>
      </c>
      <c r="X2720">
        <f t="shared" si="1324"/>
        <v>2009</v>
      </c>
    </row>
    <row r="2721" spans="1:24" ht="12" customHeight="1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  <c r="V2721">
        <f t="shared" si="1326"/>
        <v>1</v>
      </c>
      <c r="W2721">
        <f t="shared" si="1323"/>
        <v>3</v>
      </c>
      <c r="X2721">
        <f t="shared" si="1324"/>
        <v>2011</v>
      </c>
    </row>
    <row r="2722" spans="1:24" ht="12" customHeight="1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  <c r="V2722">
        <f t="shared" si="1326"/>
        <v>12</v>
      </c>
      <c r="W2722">
        <f t="shared" si="1323"/>
        <v>6</v>
      </c>
      <c r="X2722">
        <f t="shared" si="1324"/>
        <v>2011</v>
      </c>
    </row>
    <row r="2723" spans="1:24" ht="12" customHeight="1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  <c r="V2723">
        <f t="shared" si="1326"/>
        <v>14</v>
      </c>
      <c r="W2723">
        <f t="shared" si="1323"/>
        <v>3</v>
      </c>
      <c r="X2723">
        <f t="shared" si="1324"/>
        <v>2010</v>
      </c>
    </row>
    <row r="2724" spans="1:24" ht="12" customHeight="1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  <c r="V2724">
        <f t="shared" si="1326"/>
        <v>22</v>
      </c>
      <c r="W2724">
        <f t="shared" si="1323"/>
        <v>9</v>
      </c>
      <c r="X2724">
        <f t="shared" si="1324"/>
        <v>2009</v>
      </c>
    </row>
    <row r="2725" spans="1:24" ht="12" customHeight="1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  <c r="V2725">
        <f t="shared" si="1326"/>
        <v>4</v>
      </c>
      <c r="W2725">
        <f t="shared" si="1323"/>
        <v>3</v>
      </c>
      <c r="X2725">
        <f t="shared" si="1324"/>
        <v>2010</v>
      </c>
    </row>
    <row r="2726" spans="1:24" ht="12" customHeight="1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  <c r="V2726">
        <f t="shared" si="1326"/>
        <v>23</v>
      </c>
      <c r="W2726">
        <f t="shared" si="1323"/>
        <v>3</v>
      </c>
      <c r="X2726">
        <f t="shared" si="1324"/>
        <v>2011</v>
      </c>
    </row>
    <row r="2727" spans="1:24" ht="12" customHeight="1">
      <c r="A2727" s="4">
        <v>1308</v>
      </c>
      <c r="B2727" s="4">
        <v>9602</v>
      </c>
      <c r="C2727" s="5">
        <f t="shared" ref="C2727:C2728" si="1337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  <c r="V2727">
        <f t="shared" si="1326"/>
        <v>12</v>
      </c>
      <c r="W2727">
        <f t="shared" si="1323"/>
        <v>11</v>
      </c>
      <c r="X2727">
        <f t="shared" si="1324"/>
        <v>2012</v>
      </c>
    </row>
    <row r="2728" spans="1:24" ht="12" customHeight="1">
      <c r="A2728" s="4">
        <v>1310</v>
      </c>
      <c r="B2728" s="4">
        <v>9602</v>
      </c>
      <c r="C2728" s="5">
        <f t="shared" si="1337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  <c r="V2728">
        <f t="shared" si="1326"/>
        <v>11</v>
      </c>
      <c r="W2728">
        <f t="shared" si="1323"/>
        <v>11</v>
      </c>
      <c r="X2728">
        <f t="shared" si="1324"/>
        <v>2012</v>
      </c>
    </row>
    <row r="2729" spans="1:24" ht="12" customHeight="1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  <c r="V2729">
        <f t="shared" si="1326"/>
        <v>29</v>
      </c>
      <c r="W2729">
        <f t="shared" si="1323"/>
        <v>11</v>
      </c>
      <c r="X2729">
        <f t="shared" si="1324"/>
        <v>2010</v>
      </c>
    </row>
    <row r="2730" spans="1:24" ht="12" customHeight="1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  <c r="V2730">
        <f t="shared" si="1326"/>
        <v>16</v>
      </c>
      <c r="W2730">
        <f t="shared" si="1323"/>
        <v>7</v>
      </c>
      <c r="X2730">
        <f t="shared" si="1324"/>
        <v>2011</v>
      </c>
    </row>
    <row r="2731" spans="1:24" ht="12" customHeight="1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  <c r="V2731">
        <f t="shared" si="1326"/>
        <v>13</v>
      </c>
      <c r="W2731">
        <f t="shared" si="1323"/>
        <v>5</v>
      </c>
      <c r="X2731">
        <f t="shared" si="1324"/>
        <v>2012</v>
      </c>
    </row>
    <row r="2732" spans="1:24" ht="12" customHeight="1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  <c r="V2732">
        <f t="shared" si="1326"/>
        <v>1</v>
      </c>
      <c r="W2732">
        <f t="shared" si="1323"/>
        <v>1</v>
      </c>
      <c r="X2732">
        <f t="shared" si="1324"/>
        <v>2010</v>
      </c>
    </row>
    <row r="2733" spans="1:24" ht="12" customHeight="1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  <c r="V2733">
        <f t="shared" si="1326"/>
        <v>16</v>
      </c>
      <c r="W2733">
        <f t="shared" si="1323"/>
        <v>3</v>
      </c>
      <c r="X2733">
        <f t="shared" si="1324"/>
        <v>2009</v>
      </c>
    </row>
    <row r="2734" spans="1:24" ht="12" customHeight="1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  <c r="V2734">
        <f t="shared" si="1326"/>
        <v>3</v>
      </c>
      <c r="W2734">
        <f t="shared" si="1323"/>
        <v>3</v>
      </c>
      <c r="X2734">
        <f t="shared" si="1324"/>
        <v>2011</v>
      </c>
    </row>
    <row r="2735" spans="1:24" ht="12" customHeight="1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338">C2735+1</f>
        <v>41104</v>
      </c>
      <c r="V2735">
        <f t="shared" si="1326"/>
        <v>14</v>
      </c>
      <c r="W2735">
        <f t="shared" si="1323"/>
        <v>7</v>
      </c>
      <c r="X2735">
        <f t="shared" si="1324"/>
        <v>2012</v>
      </c>
    </row>
    <row r="2736" spans="1:24" ht="12" customHeight="1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338"/>
        <v>40864</v>
      </c>
      <c r="V2736">
        <f t="shared" si="1326"/>
        <v>17</v>
      </c>
      <c r="W2736">
        <f t="shared" si="1323"/>
        <v>11</v>
      </c>
      <c r="X2736">
        <f t="shared" si="1324"/>
        <v>2011</v>
      </c>
    </row>
    <row r="2737" spans="1:24" ht="12" customHeight="1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  <c r="V2737">
        <f t="shared" si="1326"/>
        <v>22</v>
      </c>
      <c r="W2737">
        <f t="shared" si="1323"/>
        <v>7</v>
      </c>
      <c r="X2737">
        <f t="shared" si="1324"/>
        <v>2012</v>
      </c>
    </row>
    <row r="2738" spans="1:24" ht="12" customHeight="1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  <c r="V2738">
        <f t="shared" si="1326"/>
        <v>4</v>
      </c>
      <c r="W2738">
        <f t="shared" si="1323"/>
        <v>9</v>
      </c>
      <c r="X2738">
        <f t="shared" si="1324"/>
        <v>2012</v>
      </c>
    </row>
    <row r="2739" spans="1:24" ht="12" customHeight="1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  <c r="V2739">
        <f t="shared" si="1326"/>
        <v>23</v>
      </c>
      <c r="W2739">
        <f t="shared" si="1323"/>
        <v>9</v>
      </c>
      <c r="X2739">
        <f t="shared" si="1324"/>
        <v>2012</v>
      </c>
    </row>
    <row r="2740" spans="1:24" ht="12" customHeight="1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  <c r="V2740">
        <f t="shared" si="1326"/>
        <v>3</v>
      </c>
      <c r="W2740">
        <f t="shared" si="1323"/>
        <v>4</v>
      </c>
      <c r="X2740">
        <f t="shared" si="1324"/>
        <v>2009</v>
      </c>
    </row>
    <row r="2741" spans="1:24" ht="12" customHeight="1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  <c r="V2741">
        <f t="shared" si="1326"/>
        <v>4</v>
      </c>
      <c r="W2741">
        <f t="shared" si="1323"/>
        <v>1</v>
      </c>
      <c r="X2741">
        <f t="shared" si="1324"/>
        <v>2010</v>
      </c>
    </row>
    <row r="2742" spans="1:24" ht="12" customHeight="1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  <c r="V2742">
        <f t="shared" si="1326"/>
        <v>26</v>
      </c>
      <c r="W2742">
        <f t="shared" si="1323"/>
        <v>1</v>
      </c>
      <c r="X2742">
        <f t="shared" si="1324"/>
        <v>2011</v>
      </c>
    </row>
    <row r="2743" spans="1:24" ht="12" customHeight="1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  <c r="V2743">
        <f t="shared" si="1326"/>
        <v>18</v>
      </c>
      <c r="W2743">
        <f t="shared" si="1323"/>
        <v>5</v>
      </c>
      <c r="X2743">
        <f t="shared" si="1324"/>
        <v>2010</v>
      </c>
    </row>
    <row r="2744" spans="1:24" ht="12" customHeight="1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  <c r="V2744">
        <f t="shared" si="1326"/>
        <v>25</v>
      </c>
      <c r="W2744">
        <f t="shared" si="1323"/>
        <v>9</v>
      </c>
      <c r="X2744">
        <f t="shared" si="1324"/>
        <v>2011</v>
      </c>
    </row>
    <row r="2745" spans="1:24" ht="12" customHeight="1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  <c r="V2745">
        <f t="shared" si="1326"/>
        <v>15</v>
      </c>
      <c r="W2745">
        <f t="shared" si="1323"/>
        <v>9</v>
      </c>
      <c r="X2745">
        <f t="shared" si="1324"/>
        <v>2011</v>
      </c>
    </row>
    <row r="2746" spans="1:24" ht="12" customHeight="1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  <c r="V2746">
        <f t="shared" si="1326"/>
        <v>22</v>
      </c>
      <c r="W2746">
        <f t="shared" si="1323"/>
        <v>12</v>
      </c>
      <c r="X2746">
        <f t="shared" si="1324"/>
        <v>2012</v>
      </c>
    </row>
    <row r="2747" spans="1:24" ht="12" customHeight="1">
      <c r="A2747" s="4">
        <v>3351</v>
      </c>
      <c r="B2747" s="4">
        <v>24003</v>
      </c>
      <c r="C2747" s="5">
        <f t="shared" ref="C2747:C2748" si="1339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  <c r="V2747">
        <f t="shared" si="1326"/>
        <v>2</v>
      </c>
      <c r="W2747">
        <f t="shared" si="1323"/>
        <v>11</v>
      </c>
      <c r="X2747">
        <f t="shared" si="1324"/>
        <v>2009</v>
      </c>
    </row>
    <row r="2748" spans="1:24" ht="12" customHeight="1">
      <c r="A2748" s="4">
        <v>3352</v>
      </c>
      <c r="B2748" s="4">
        <v>24003</v>
      </c>
      <c r="C2748" s="5">
        <f t="shared" si="1339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  <c r="V2748">
        <f t="shared" si="1326"/>
        <v>1</v>
      </c>
      <c r="W2748">
        <f t="shared" si="1323"/>
        <v>11</v>
      </c>
      <c r="X2748">
        <f t="shared" si="1324"/>
        <v>2009</v>
      </c>
    </row>
    <row r="2749" spans="1:24" ht="12" customHeight="1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340">C2749+2</f>
        <v>40915</v>
      </c>
      <c r="V2749">
        <f t="shared" si="1326"/>
        <v>7</v>
      </c>
      <c r="W2749">
        <f t="shared" si="1323"/>
        <v>1</v>
      </c>
      <c r="X2749">
        <f t="shared" si="1324"/>
        <v>2012</v>
      </c>
    </row>
    <row r="2750" spans="1:24" ht="12" customHeight="1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340"/>
        <v>39927</v>
      </c>
      <c r="V2750">
        <f t="shared" si="1326"/>
        <v>24</v>
      </c>
      <c r="W2750">
        <f t="shared" si="1323"/>
        <v>4</v>
      </c>
      <c r="X2750">
        <f t="shared" si="1324"/>
        <v>2009</v>
      </c>
    </row>
    <row r="2751" spans="1:24" ht="12" customHeight="1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  <c r="V2751">
        <f t="shared" si="1326"/>
        <v>20</v>
      </c>
      <c r="W2751">
        <f t="shared" si="1323"/>
        <v>7</v>
      </c>
      <c r="X2751">
        <f t="shared" si="1324"/>
        <v>2011</v>
      </c>
    </row>
    <row r="2752" spans="1:24" ht="12" customHeight="1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341">C2752+1</f>
        <v>40360</v>
      </c>
      <c r="V2752">
        <f t="shared" si="1326"/>
        <v>1</v>
      </c>
      <c r="W2752">
        <f t="shared" si="1323"/>
        <v>7</v>
      </c>
      <c r="X2752">
        <f t="shared" si="1324"/>
        <v>2010</v>
      </c>
    </row>
    <row r="2753" spans="1:24" ht="12" customHeight="1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341"/>
        <v>40019</v>
      </c>
      <c r="V2753">
        <f t="shared" si="1326"/>
        <v>25</v>
      </c>
      <c r="W2753">
        <f t="shared" si="1323"/>
        <v>7</v>
      </c>
      <c r="X2753">
        <f t="shared" si="1324"/>
        <v>2009</v>
      </c>
    </row>
    <row r="2754" spans="1:24" ht="12" customHeight="1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  <c r="V2754">
        <f t="shared" si="1326"/>
        <v>24</v>
      </c>
      <c r="W2754">
        <f t="shared" si="1323"/>
        <v>10</v>
      </c>
      <c r="X2754">
        <f t="shared" si="1324"/>
        <v>2010</v>
      </c>
    </row>
    <row r="2755" spans="1:24" ht="12" customHeight="1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  <c r="V2755">
        <f t="shared" si="1326"/>
        <v>27</v>
      </c>
      <c r="W2755">
        <f t="shared" ref="W2755:W2818" si="1342">MONTH(U2755)</f>
        <v>2</v>
      </c>
      <c r="X2755">
        <f t="shared" ref="X2755:X2818" si="1343">YEAR(U2755)</f>
        <v>2009</v>
      </c>
    </row>
    <row r="2756" spans="1:24" ht="12" customHeight="1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  <c r="V2756">
        <f t="shared" ref="V2756:V2819" si="1344">DAY(U2756)</f>
        <v>29</v>
      </c>
      <c r="W2756">
        <f t="shared" si="1342"/>
        <v>10</v>
      </c>
      <c r="X2756">
        <f t="shared" si="1343"/>
        <v>2012</v>
      </c>
    </row>
    <row r="2757" spans="1:24" ht="12" customHeight="1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  <c r="V2757">
        <f t="shared" si="1344"/>
        <v>19</v>
      </c>
      <c r="W2757">
        <f t="shared" si="1342"/>
        <v>4</v>
      </c>
      <c r="X2757">
        <f t="shared" si="1343"/>
        <v>2009</v>
      </c>
    </row>
    <row r="2758" spans="1:24" ht="12" customHeight="1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  <c r="V2758">
        <f t="shared" si="1344"/>
        <v>10</v>
      </c>
      <c r="W2758">
        <f t="shared" si="1342"/>
        <v>9</v>
      </c>
      <c r="X2758">
        <f t="shared" si="1343"/>
        <v>2010</v>
      </c>
    </row>
    <row r="2759" spans="1:24" ht="12" customHeight="1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  <c r="V2759">
        <f t="shared" si="1344"/>
        <v>21</v>
      </c>
      <c r="W2759">
        <f t="shared" si="1342"/>
        <v>9</v>
      </c>
      <c r="X2759">
        <f t="shared" si="1343"/>
        <v>2010</v>
      </c>
    </row>
    <row r="2760" spans="1:24" ht="12" customHeight="1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  <c r="V2760">
        <f t="shared" si="1344"/>
        <v>7</v>
      </c>
      <c r="W2760">
        <f t="shared" si="1342"/>
        <v>8</v>
      </c>
      <c r="X2760">
        <f t="shared" si="1343"/>
        <v>2011</v>
      </c>
    </row>
    <row r="2761" spans="1:24" ht="12" customHeight="1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  <c r="V2761">
        <f t="shared" si="1344"/>
        <v>10</v>
      </c>
      <c r="W2761">
        <f t="shared" si="1342"/>
        <v>6</v>
      </c>
      <c r="X2761">
        <f t="shared" si="1343"/>
        <v>2009</v>
      </c>
    </row>
    <row r="2762" spans="1:24" ht="12" customHeight="1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  <c r="V2762">
        <f t="shared" si="1344"/>
        <v>22</v>
      </c>
      <c r="W2762">
        <f t="shared" si="1342"/>
        <v>8</v>
      </c>
      <c r="X2762">
        <f t="shared" si="1343"/>
        <v>2012</v>
      </c>
    </row>
    <row r="2763" spans="1:24" ht="12" customHeight="1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  <c r="V2763">
        <f t="shared" si="1344"/>
        <v>16</v>
      </c>
      <c r="W2763">
        <f t="shared" si="1342"/>
        <v>3</v>
      </c>
      <c r="X2763">
        <f t="shared" si="1343"/>
        <v>2010</v>
      </c>
    </row>
    <row r="2764" spans="1:24" ht="12" customHeight="1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  <c r="V2764">
        <f t="shared" si="1344"/>
        <v>6</v>
      </c>
      <c r="W2764">
        <f t="shared" si="1342"/>
        <v>11</v>
      </c>
      <c r="X2764">
        <f t="shared" si="1343"/>
        <v>2012</v>
      </c>
    </row>
    <row r="2765" spans="1:24" ht="12" customHeight="1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  <c r="V2765">
        <f t="shared" si="1344"/>
        <v>28</v>
      </c>
      <c r="W2765">
        <f t="shared" si="1342"/>
        <v>7</v>
      </c>
      <c r="X2765">
        <f t="shared" si="1343"/>
        <v>2012</v>
      </c>
    </row>
    <row r="2766" spans="1:24" ht="12" customHeight="1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  <c r="V2766">
        <f t="shared" si="1344"/>
        <v>16</v>
      </c>
      <c r="W2766">
        <f t="shared" si="1342"/>
        <v>5</v>
      </c>
      <c r="X2766">
        <f t="shared" si="1343"/>
        <v>2010</v>
      </c>
    </row>
    <row r="2767" spans="1:24" ht="12" customHeight="1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  <c r="V2767">
        <f t="shared" si="1344"/>
        <v>4</v>
      </c>
      <c r="W2767">
        <f t="shared" si="1342"/>
        <v>11</v>
      </c>
      <c r="X2767">
        <f t="shared" si="1343"/>
        <v>2012</v>
      </c>
    </row>
    <row r="2768" spans="1:24" ht="12" customHeight="1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345">C2768+1</f>
        <v>39955</v>
      </c>
      <c r="V2768">
        <f t="shared" si="1344"/>
        <v>22</v>
      </c>
      <c r="W2768">
        <f t="shared" si="1342"/>
        <v>5</v>
      </c>
      <c r="X2768">
        <f t="shared" si="1343"/>
        <v>2009</v>
      </c>
    </row>
    <row r="2769" spans="1:24" ht="12" customHeight="1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345"/>
        <v>40789</v>
      </c>
      <c r="V2769">
        <f t="shared" si="1344"/>
        <v>3</v>
      </c>
      <c r="W2769">
        <f t="shared" si="1342"/>
        <v>9</v>
      </c>
      <c r="X2769">
        <f t="shared" si="1343"/>
        <v>2011</v>
      </c>
    </row>
    <row r="2770" spans="1:24" ht="12" customHeight="1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346">C2770+2</f>
        <v>41193</v>
      </c>
      <c r="V2770">
        <f t="shared" si="1344"/>
        <v>11</v>
      </c>
      <c r="W2770">
        <f t="shared" si="1342"/>
        <v>10</v>
      </c>
      <c r="X2770">
        <f t="shared" si="1343"/>
        <v>2012</v>
      </c>
    </row>
    <row r="2771" spans="1:24" ht="12" customHeight="1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346"/>
        <v>40168</v>
      </c>
      <c r="V2771">
        <f t="shared" si="1344"/>
        <v>21</v>
      </c>
      <c r="W2771">
        <f t="shared" si="1342"/>
        <v>12</v>
      </c>
      <c r="X2771">
        <f t="shared" si="1343"/>
        <v>2009</v>
      </c>
    </row>
    <row r="2772" spans="1:24" ht="12" customHeight="1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  <c r="V2772">
        <f t="shared" si="1344"/>
        <v>4</v>
      </c>
      <c r="W2772">
        <f t="shared" si="1342"/>
        <v>3</v>
      </c>
      <c r="X2772">
        <f t="shared" si="1343"/>
        <v>2012</v>
      </c>
    </row>
    <row r="2773" spans="1:24" ht="12" customHeight="1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  <c r="V2773">
        <f t="shared" si="1344"/>
        <v>16</v>
      </c>
      <c r="W2773">
        <f t="shared" si="1342"/>
        <v>9</v>
      </c>
      <c r="X2773">
        <f t="shared" si="1343"/>
        <v>2012</v>
      </c>
    </row>
    <row r="2774" spans="1:24" ht="12" customHeight="1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  <c r="V2774">
        <f t="shared" si="1344"/>
        <v>9</v>
      </c>
      <c r="W2774">
        <f t="shared" si="1342"/>
        <v>11</v>
      </c>
      <c r="X2774">
        <f t="shared" si="1343"/>
        <v>2012</v>
      </c>
    </row>
    <row r="2775" spans="1:24" ht="12" customHeight="1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  <c r="V2775">
        <f t="shared" si="1344"/>
        <v>25</v>
      </c>
      <c r="W2775">
        <f t="shared" si="1342"/>
        <v>2</v>
      </c>
      <c r="X2775">
        <f t="shared" si="1343"/>
        <v>2010</v>
      </c>
    </row>
    <row r="2776" spans="1:24" ht="12" customHeight="1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  <c r="V2776">
        <f t="shared" si="1344"/>
        <v>12</v>
      </c>
      <c r="W2776">
        <f t="shared" si="1342"/>
        <v>3</v>
      </c>
      <c r="X2776">
        <f t="shared" si="1343"/>
        <v>2010</v>
      </c>
    </row>
    <row r="2777" spans="1:24" ht="12" customHeight="1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  <c r="V2777">
        <f t="shared" si="1344"/>
        <v>1</v>
      </c>
      <c r="W2777">
        <f t="shared" si="1342"/>
        <v>9</v>
      </c>
      <c r="X2777">
        <f t="shared" si="1343"/>
        <v>2011</v>
      </c>
    </row>
    <row r="2778" spans="1:24" ht="12" customHeight="1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  <c r="V2778">
        <f t="shared" si="1344"/>
        <v>12</v>
      </c>
      <c r="W2778">
        <f t="shared" si="1342"/>
        <v>6</v>
      </c>
      <c r="X2778">
        <f t="shared" si="1343"/>
        <v>2012</v>
      </c>
    </row>
    <row r="2779" spans="1:24" ht="12" customHeight="1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  <c r="V2779">
        <f t="shared" si="1344"/>
        <v>18</v>
      </c>
      <c r="W2779">
        <f t="shared" si="1342"/>
        <v>3</v>
      </c>
      <c r="X2779">
        <f t="shared" si="1343"/>
        <v>2010</v>
      </c>
    </row>
    <row r="2780" spans="1:24" ht="12" customHeight="1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347">C2780+0</f>
        <v>41186</v>
      </c>
      <c r="V2780">
        <f t="shared" si="1344"/>
        <v>4</v>
      </c>
      <c r="W2780">
        <f t="shared" si="1342"/>
        <v>10</v>
      </c>
      <c r="X2780">
        <f t="shared" si="1343"/>
        <v>2012</v>
      </c>
    </row>
    <row r="2781" spans="1:24" ht="12" customHeight="1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347"/>
        <v>40517</v>
      </c>
      <c r="V2781">
        <f t="shared" si="1344"/>
        <v>5</v>
      </c>
      <c r="W2781">
        <f t="shared" si="1342"/>
        <v>12</v>
      </c>
      <c r="X2781">
        <f t="shared" si="1343"/>
        <v>2010</v>
      </c>
    </row>
    <row r="2782" spans="1:24" ht="12" customHeight="1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347"/>
        <v>39819</v>
      </c>
      <c r="V2782">
        <f t="shared" si="1344"/>
        <v>6</v>
      </c>
      <c r="W2782">
        <f t="shared" si="1342"/>
        <v>1</v>
      </c>
      <c r="X2782">
        <f t="shared" si="1343"/>
        <v>2009</v>
      </c>
    </row>
    <row r="2783" spans="1:24" ht="12" customHeight="1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348">C2783+1</f>
        <v>39967</v>
      </c>
      <c r="V2783">
        <f t="shared" si="1344"/>
        <v>3</v>
      </c>
      <c r="W2783">
        <f t="shared" si="1342"/>
        <v>6</v>
      </c>
      <c r="X2783">
        <f t="shared" si="1343"/>
        <v>2009</v>
      </c>
    </row>
    <row r="2784" spans="1:24" ht="12" customHeight="1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348"/>
        <v>40109</v>
      </c>
      <c r="V2784">
        <f t="shared" si="1344"/>
        <v>23</v>
      </c>
      <c r="W2784">
        <f t="shared" si="1342"/>
        <v>10</v>
      </c>
      <c r="X2784">
        <f t="shared" si="1343"/>
        <v>2009</v>
      </c>
    </row>
    <row r="2785" spans="1:24" ht="12" customHeight="1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349">C2785+2</f>
        <v>40475</v>
      </c>
      <c r="V2785">
        <f t="shared" si="1344"/>
        <v>24</v>
      </c>
      <c r="W2785">
        <f t="shared" si="1342"/>
        <v>10</v>
      </c>
      <c r="X2785">
        <f t="shared" si="1343"/>
        <v>2010</v>
      </c>
    </row>
    <row r="2786" spans="1:24" ht="12" customHeight="1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349"/>
        <v>40950</v>
      </c>
      <c r="V2786">
        <f t="shared" si="1344"/>
        <v>11</v>
      </c>
      <c r="W2786">
        <f t="shared" si="1342"/>
        <v>2</v>
      </c>
      <c r="X2786">
        <f t="shared" si="1343"/>
        <v>2012</v>
      </c>
    </row>
    <row r="2787" spans="1:24" ht="12" customHeight="1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350">C2787+1</f>
        <v>40849</v>
      </c>
      <c r="V2787">
        <f t="shared" si="1344"/>
        <v>2</v>
      </c>
      <c r="W2787">
        <f t="shared" si="1342"/>
        <v>11</v>
      </c>
      <c r="X2787">
        <f t="shared" si="1343"/>
        <v>2011</v>
      </c>
    </row>
    <row r="2788" spans="1:24" ht="12" customHeight="1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350"/>
        <v>40557</v>
      </c>
      <c r="V2788">
        <f t="shared" si="1344"/>
        <v>14</v>
      </c>
      <c r="W2788">
        <f t="shared" si="1342"/>
        <v>1</v>
      </c>
      <c r="X2788">
        <f t="shared" si="1343"/>
        <v>2011</v>
      </c>
    </row>
    <row r="2789" spans="1:24" ht="12" customHeight="1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350"/>
        <v>39933</v>
      </c>
      <c r="V2789">
        <f t="shared" si="1344"/>
        <v>30</v>
      </c>
      <c r="W2789">
        <f t="shared" si="1342"/>
        <v>4</v>
      </c>
      <c r="X2789">
        <f t="shared" si="1343"/>
        <v>2009</v>
      </c>
    </row>
    <row r="2790" spans="1:24" ht="12" customHeight="1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350"/>
        <v>40395</v>
      </c>
      <c r="V2790">
        <f t="shared" si="1344"/>
        <v>5</v>
      </c>
      <c r="W2790">
        <f t="shared" si="1342"/>
        <v>8</v>
      </c>
      <c r="X2790">
        <f t="shared" si="1343"/>
        <v>2010</v>
      </c>
    </row>
    <row r="2791" spans="1:24" ht="12" customHeight="1">
      <c r="A2791" s="4">
        <v>8080</v>
      </c>
      <c r="B2791" s="4">
        <v>57638</v>
      </c>
      <c r="C2791" s="5">
        <f t="shared" ref="C2791:C2792" si="1351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352">C2791+2</f>
        <v>41023</v>
      </c>
      <c r="V2791">
        <f t="shared" si="1344"/>
        <v>24</v>
      </c>
      <c r="W2791">
        <f t="shared" si="1342"/>
        <v>4</v>
      </c>
      <c r="X2791">
        <f t="shared" si="1343"/>
        <v>2012</v>
      </c>
    </row>
    <row r="2792" spans="1:24" ht="12" customHeight="1">
      <c r="A2792" s="4">
        <v>8081</v>
      </c>
      <c r="B2792" s="4">
        <v>57638</v>
      </c>
      <c r="C2792" s="5">
        <f t="shared" si="1351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352"/>
        <v>41023</v>
      </c>
      <c r="V2792">
        <f t="shared" si="1344"/>
        <v>24</v>
      </c>
      <c r="W2792">
        <f t="shared" si="1342"/>
        <v>4</v>
      </c>
      <c r="X2792">
        <f t="shared" si="1343"/>
        <v>2012</v>
      </c>
    </row>
    <row r="2793" spans="1:24" ht="12" customHeight="1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352"/>
        <v>39872</v>
      </c>
      <c r="V2793">
        <f t="shared" si="1344"/>
        <v>28</v>
      </c>
      <c r="W2793">
        <f t="shared" si="1342"/>
        <v>2</v>
      </c>
      <c r="X2793">
        <f t="shared" si="1343"/>
        <v>2009</v>
      </c>
    </row>
    <row r="2794" spans="1:24" ht="12" customHeight="1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352"/>
        <v>40188</v>
      </c>
      <c r="V2794">
        <f t="shared" si="1344"/>
        <v>10</v>
      </c>
      <c r="W2794">
        <f t="shared" si="1342"/>
        <v>1</v>
      </c>
      <c r="X2794">
        <f t="shared" si="1343"/>
        <v>2010</v>
      </c>
    </row>
    <row r="2795" spans="1:24" ht="12" customHeight="1">
      <c r="A2795" s="4">
        <v>455</v>
      </c>
      <c r="B2795" s="4">
        <v>3104</v>
      </c>
      <c r="C2795" s="5">
        <f t="shared" ref="C2795:C2796" si="1353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352"/>
        <v>40438</v>
      </c>
      <c r="V2795">
        <f t="shared" si="1344"/>
        <v>17</v>
      </c>
      <c r="W2795">
        <f t="shared" si="1342"/>
        <v>9</v>
      </c>
      <c r="X2795">
        <f t="shared" si="1343"/>
        <v>2010</v>
      </c>
    </row>
    <row r="2796" spans="1:24" ht="12" customHeight="1">
      <c r="A2796" s="4">
        <v>456</v>
      </c>
      <c r="B2796" s="4">
        <v>3104</v>
      </c>
      <c r="C2796" s="5">
        <f t="shared" si="1353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  <c r="V2796">
        <f t="shared" si="1344"/>
        <v>15</v>
      </c>
      <c r="W2796">
        <f t="shared" si="1342"/>
        <v>9</v>
      </c>
      <c r="X2796">
        <f t="shared" si="1343"/>
        <v>2010</v>
      </c>
    </row>
    <row r="2797" spans="1:24" ht="12" customHeight="1">
      <c r="A2797" s="4">
        <v>860</v>
      </c>
      <c r="B2797" s="4">
        <v>6179</v>
      </c>
      <c r="C2797" s="5">
        <f t="shared" ref="C2797:C2798" si="1354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  <c r="V2797">
        <f t="shared" si="1344"/>
        <v>3</v>
      </c>
      <c r="W2797">
        <f t="shared" si="1342"/>
        <v>6</v>
      </c>
      <c r="X2797">
        <f t="shared" si="1343"/>
        <v>2009</v>
      </c>
    </row>
    <row r="2798" spans="1:24" ht="12" customHeight="1">
      <c r="A2798" s="4">
        <v>861</v>
      </c>
      <c r="B2798" s="4">
        <v>6179</v>
      </c>
      <c r="C2798" s="5">
        <f t="shared" si="1354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  <c r="V2798">
        <f t="shared" si="1344"/>
        <v>4</v>
      </c>
      <c r="W2798">
        <f t="shared" si="1342"/>
        <v>6</v>
      </c>
      <c r="X2798">
        <f t="shared" si="1343"/>
        <v>2009</v>
      </c>
    </row>
    <row r="2799" spans="1:24" ht="12" customHeight="1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  <c r="V2799">
        <f t="shared" si="1344"/>
        <v>25</v>
      </c>
      <c r="W2799">
        <f t="shared" si="1342"/>
        <v>2</v>
      </c>
      <c r="X2799">
        <f t="shared" si="1343"/>
        <v>2010</v>
      </c>
    </row>
    <row r="2800" spans="1:24" ht="12" customHeight="1">
      <c r="A2800" s="4">
        <v>1646</v>
      </c>
      <c r="B2800" s="4">
        <v>11877</v>
      </c>
      <c r="C2800" s="5">
        <f t="shared" ref="C2800:C2801" si="1355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  <c r="V2800">
        <f t="shared" si="1344"/>
        <v>24</v>
      </c>
      <c r="W2800">
        <f t="shared" si="1342"/>
        <v>5</v>
      </c>
      <c r="X2800">
        <f t="shared" si="1343"/>
        <v>2010</v>
      </c>
    </row>
    <row r="2801" spans="1:24" ht="12" customHeight="1">
      <c r="A2801" s="4">
        <v>1647</v>
      </c>
      <c r="B2801" s="4">
        <v>11877</v>
      </c>
      <c r="C2801" s="5">
        <f t="shared" si="1355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  <c r="V2801">
        <f t="shared" si="1344"/>
        <v>25</v>
      </c>
      <c r="W2801">
        <f t="shared" si="1342"/>
        <v>5</v>
      </c>
      <c r="X2801">
        <f t="shared" si="1343"/>
        <v>2010</v>
      </c>
    </row>
    <row r="2802" spans="1:24" ht="12" customHeight="1">
      <c r="A2802" s="4">
        <v>2139</v>
      </c>
      <c r="B2802" s="4">
        <v>15271</v>
      </c>
      <c r="C2802" s="5">
        <f t="shared" ref="C2802:C2803" si="1356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357">C2802+0</f>
        <v>40384</v>
      </c>
      <c r="V2802">
        <f t="shared" si="1344"/>
        <v>25</v>
      </c>
      <c r="W2802">
        <f t="shared" si="1342"/>
        <v>7</v>
      </c>
      <c r="X2802">
        <f t="shared" si="1343"/>
        <v>2010</v>
      </c>
    </row>
    <row r="2803" spans="1:24" ht="12" customHeight="1">
      <c r="A2803" s="4">
        <v>2140</v>
      </c>
      <c r="B2803" s="4">
        <v>15271</v>
      </c>
      <c r="C2803" s="5">
        <f t="shared" si="1356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357"/>
        <v>40384</v>
      </c>
      <c r="V2803">
        <f t="shared" si="1344"/>
        <v>25</v>
      </c>
      <c r="W2803">
        <f t="shared" si="1342"/>
        <v>7</v>
      </c>
      <c r="X2803">
        <f t="shared" si="1343"/>
        <v>2010</v>
      </c>
    </row>
    <row r="2804" spans="1:24" ht="12" customHeight="1">
      <c r="A2804" s="4">
        <v>3142</v>
      </c>
      <c r="B2804" s="4">
        <v>22561</v>
      </c>
      <c r="C2804" s="5">
        <f t="shared" ref="C2804:C2806" si="1358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359">C2804+2</f>
        <v>40565</v>
      </c>
      <c r="V2804">
        <f t="shared" si="1344"/>
        <v>22</v>
      </c>
      <c r="W2804">
        <f t="shared" si="1342"/>
        <v>1</v>
      </c>
      <c r="X2804">
        <f t="shared" si="1343"/>
        <v>2011</v>
      </c>
    </row>
    <row r="2805" spans="1:24" ht="12" customHeight="1">
      <c r="A2805" s="4">
        <v>3143</v>
      </c>
      <c r="B2805" s="4">
        <v>22561</v>
      </c>
      <c r="C2805" s="5">
        <f t="shared" si="1358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359"/>
        <v>40565</v>
      </c>
      <c r="V2805">
        <f t="shared" si="1344"/>
        <v>22</v>
      </c>
      <c r="W2805">
        <f t="shared" si="1342"/>
        <v>1</v>
      </c>
      <c r="X2805">
        <f t="shared" si="1343"/>
        <v>2011</v>
      </c>
    </row>
    <row r="2806" spans="1:24" ht="12" customHeight="1">
      <c r="A2806" s="4">
        <v>3144</v>
      </c>
      <c r="B2806" s="4">
        <v>22561</v>
      </c>
      <c r="C2806" s="5">
        <f t="shared" si="1358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359"/>
        <v>40565</v>
      </c>
      <c r="V2806">
        <f t="shared" si="1344"/>
        <v>22</v>
      </c>
      <c r="W2806">
        <f t="shared" si="1342"/>
        <v>1</v>
      </c>
      <c r="X2806">
        <f t="shared" si="1343"/>
        <v>2011</v>
      </c>
    </row>
    <row r="2807" spans="1:24" ht="12" customHeight="1">
      <c r="A2807" s="4">
        <v>3621</v>
      </c>
      <c r="B2807" s="4">
        <v>25860</v>
      </c>
      <c r="C2807" s="5">
        <f t="shared" ref="C2807:C2808" si="1360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359"/>
        <v>40182</v>
      </c>
      <c r="V2807">
        <f t="shared" si="1344"/>
        <v>4</v>
      </c>
      <c r="W2807">
        <f t="shared" si="1342"/>
        <v>1</v>
      </c>
      <c r="X2807">
        <f t="shared" si="1343"/>
        <v>2010</v>
      </c>
    </row>
    <row r="2808" spans="1:24" ht="12" customHeight="1">
      <c r="A2808" s="4">
        <v>3622</v>
      </c>
      <c r="B2808" s="4">
        <v>25860</v>
      </c>
      <c r="C2808" s="5">
        <f t="shared" si="1360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  <c r="V2808">
        <f t="shared" si="1344"/>
        <v>11</v>
      </c>
      <c r="W2808">
        <f t="shared" si="1342"/>
        <v>1</v>
      </c>
      <c r="X2808">
        <f t="shared" si="1343"/>
        <v>2010</v>
      </c>
    </row>
    <row r="2809" spans="1:24" ht="12" customHeight="1">
      <c r="A2809" s="4">
        <v>121</v>
      </c>
      <c r="B2809" s="4">
        <v>775</v>
      </c>
      <c r="C2809" s="5">
        <f t="shared" ref="C2809:C2810" si="1361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  <c r="V2809">
        <f t="shared" si="1344"/>
        <v>18</v>
      </c>
      <c r="W2809">
        <f t="shared" si="1342"/>
        <v>3</v>
      </c>
      <c r="X2809">
        <f t="shared" si="1343"/>
        <v>2011</v>
      </c>
    </row>
    <row r="2810" spans="1:24" ht="12" customHeight="1">
      <c r="A2810" s="4">
        <v>122</v>
      </c>
      <c r="B2810" s="4">
        <v>775</v>
      </c>
      <c r="C2810" s="5">
        <f t="shared" si="1361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  <c r="V2810">
        <f t="shared" si="1344"/>
        <v>19</v>
      </c>
      <c r="W2810">
        <f t="shared" si="1342"/>
        <v>3</v>
      </c>
      <c r="X2810">
        <f t="shared" si="1343"/>
        <v>2011</v>
      </c>
    </row>
    <row r="2811" spans="1:24" ht="12" customHeight="1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  <c r="V2811">
        <f t="shared" si="1344"/>
        <v>1</v>
      </c>
      <c r="W2811">
        <f t="shared" si="1342"/>
        <v>10</v>
      </c>
      <c r="X2811">
        <f t="shared" si="1343"/>
        <v>2009</v>
      </c>
    </row>
    <row r="2812" spans="1:24" ht="12" customHeight="1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  <c r="V2812">
        <f t="shared" si="1344"/>
        <v>21</v>
      </c>
      <c r="W2812">
        <f t="shared" si="1342"/>
        <v>5</v>
      </c>
      <c r="X2812">
        <f t="shared" si="1343"/>
        <v>2011</v>
      </c>
    </row>
    <row r="2813" spans="1:24" ht="12" customHeight="1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  <c r="V2813">
        <f t="shared" si="1344"/>
        <v>12</v>
      </c>
      <c r="W2813">
        <f t="shared" si="1342"/>
        <v>4</v>
      </c>
      <c r="X2813">
        <f t="shared" si="1343"/>
        <v>2009</v>
      </c>
    </row>
    <row r="2814" spans="1:24" ht="12" customHeight="1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  <c r="V2814">
        <f t="shared" si="1344"/>
        <v>13</v>
      </c>
      <c r="W2814">
        <f t="shared" si="1342"/>
        <v>2</v>
      </c>
      <c r="X2814">
        <f t="shared" si="1343"/>
        <v>2010</v>
      </c>
    </row>
    <row r="2815" spans="1:24" ht="12" customHeight="1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  <c r="V2815">
        <f t="shared" si="1344"/>
        <v>4</v>
      </c>
      <c r="W2815">
        <f t="shared" si="1342"/>
        <v>6</v>
      </c>
      <c r="X2815">
        <f t="shared" si="1343"/>
        <v>2010</v>
      </c>
    </row>
    <row r="2816" spans="1:24" ht="12" customHeight="1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  <c r="V2816">
        <f t="shared" si="1344"/>
        <v>25</v>
      </c>
      <c r="W2816">
        <f t="shared" si="1342"/>
        <v>9</v>
      </c>
      <c r="X2816">
        <f t="shared" si="1343"/>
        <v>2012</v>
      </c>
    </row>
    <row r="2817" spans="1:24" ht="12" customHeight="1">
      <c r="A2817" s="4">
        <v>542</v>
      </c>
      <c r="B2817" s="4">
        <v>3654</v>
      </c>
      <c r="C2817" s="5">
        <f t="shared" ref="C2817:C2818" si="1362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  <c r="V2817">
        <f t="shared" si="1344"/>
        <v>7</v>
      </c>
      <c r="W2817">
        <f t="shared" si="1342"/>
        <v>6</v>
      </c>
      <c r="X2817">
        <f t="shared" si="1343"/>
        <v>2012</v>
      </c>
    </row>
    <row r="2818" spans="1:24" ht="12" customHeight="1">
      <c r="A2818" s="4">
        <v>543</v>
      </c>
      <c r="B2818" s="4">
        <v>3654</v>
      </c>
      <c r="C2818" s="5">
        <f t="shared" si="1362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  <c r="V2818">
        <f t="shared" si="1344"/>
        <v>2</v>
      </c>
      <c r="W2818">
        <f t="shared" si="1342"/>
        <v>6</v>
      </c>
      <c r="X2818">
        <f t="shared" si="1343"/>
        <v>2012</v>
      </c>
    </row>
    <row r="2819" spans="1:24" ht="12" customHeight="1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  <c r="V2819">
        <f t="shared" si="1344"/>
        <v>11</v>
      </c>
      <c r="W2819">
        <f t="shared" ref="W2819:W2882" si="1363">MONTH(U2819)</f>
        <v>12</v>
      </c>
      <c r="X2819">
        <f t="shared" ref="X2819:X2882" si="1364">YEAR(U2819)</f>
        <v>2012</v>
      </c>
    </row>
    <row r="2820" spans="1:24" ht="12" customHeight="1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  <c r="V2820">
        <f t="shared" ref="V2820:V2883" si="1365">DAY(U2820)</f>
        <v>28</v>
      </c>
      <c r="W2820">
        <f t="shared" si="1363"/>
        <v>6</v>
      </c>
      <c r="X2820">
        <f t="shared" si="1364"/>
        <v>2010</v>
      </c>
    </row>
    <row r="2821" spans="1:24" ht="12" customHeight="1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  <c r="V2821">
        <f t="shared" si="1365"/>
        <v>13</v>
      </c>
      <c r="W2821">
        <f t="shared" si="1363"/>
        <v>2</v>
      </c>
      <c r="X2821">
        <f t="shared" si="1364"/>
        <v>2012</v>
      </c>
    </row>
    <row r="2822" spans="1:24" ht="12" customHeight="1">
      <c r="A2822" s="4">
        <v>699</v>
      </c>
      <c r="B2822" s="4">
        <v>4896</v>
      </c>
      <c r="C2822" s="5">
        <f t="shared" ref="C2822:C2823" si="1366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  <c r="V2822">
        <f t="shared" si="1365"/>
        <v>21</v>
      </c>
      <c r="W2822">
        <f t="shared" si="1363"/>
        <v>8</v>
      </c>
      <c r="X2822">
        <f t="shared" si="1364"/>
        <v>2012</v>
      </c>
    </row>
    <row r="2823" spans="1:24" ht="12" customHeight="1">
      <c r="A2823" s="4">
        <v>700</v>
      </c>
      <c r="B2823" s="4">
        <v>4896</v>
      </c>
      <c r="C2823" s="5">
        <f t="shared" si="1366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  <c r="V2823">
        <f t="shared" si="1365"/>
        <v>23</v>
      </c>
      <c r="W2823">
        <f t="shared" si="1363"/>
        <v>8</v>
      </c>
      <c r="X2823">
        <f t="shared" si="1364"/>
        <v>2012</v>
      </c>
    </row>
    <row r="2824" spans="1:24" ht="12" customHeight="1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  <c r="V2824">
        <f t="shared" si="1365"/>
        <v>20</v>
      </c>
      <c r="W2824">
        <f t="shared" si="1363"/>
        <v>10</v>
      </c>
      <c r="X2824">
        <f t="shared" si="1364"/>
        <v>2010</v>
      </c>
    </row>
    <row r="2825" spans="1:24" ht="12" customHeight="1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  <c r="V2825">
        <f t="shared" si="1365"/>
        <v>25</v>
      </c>
      <c r="W2825">
        <f t="shared" si="1363"/>
        <v>3</v>
      </c>
      <c r="X2825">
        <f t="shared" si="1364"/>
        <v>2010</v>
      </c>
    </row>
    <row r="2826" spans="1:24" ht="12" customHeight="1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367">C2826+0</f>
        <v>39892</v>
      </c>
      <c r="V2826">
        <f t="shared" si="1365"/>
        <v>20</v>
      </c>
      <c r="W2826">
        <f t="shared" si="1363"/>
        <v>3</v>
      </c>
      <c r="X2826">
        <f t="shared" si="1364"/>
        <v>2009</v>
      </c>
    </row>
    <row r="2827" spans="1:24" ht="12" customHeight="1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367"/>
        <v>41087</v>
      </c>
      <c r="V2827">
        <f t="shared" si="1365"/>
        <v>27</v>
      </c>
      <c r="W2827">
        <f t="shared" si="1363"/>
        <v>6</v>
      </c>
      <c r="X2827">
        <f t="shared" si="1364"/>
        <v>2012</v>
      </c>
    </row>
    <row r="2828" spans="1:24" ht="12" customHeight="1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368">C2828+2</f>
        <v>41081</v>
      </c>
      <c r="V2828">
        <f t="shared" si="1365"/>
        <v>21</v>
      </c>
      <c r="W2828">
        <f t="shared" si="1363"/>
        <v>6</v>
      </c>
      <c r="X2828">
        <f t="shared" si="1364"/>
        <v>2012</v>
      </c>
    </row>
    <row r="2829" spans="1:24" ht="12" customHeight="1">
      <c r="A2829" s="4">
        <v>1021</v>
      </c>
      <c r="B2829" s="4">
        <v>7458</v>
      </c>
      <c r="C2829" s="5">
        <f t="shared" ref="C2829:C2830" si="1369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368"/>
        <v>41005</v>
      </c>
      <c r="V2829">
        <f t="shared" si="1365"/>
        <v>6</v>
      </c>
      <c r="W2829">
        <f t="shared" si="1363"/>
        <v>4</v>
      </c>
      <c r="X2829">
        <f t="shared" si="1364"/>
        <v>2012</v>
      </c>
    </row>
    <row r="2830" spans="1:24" ht="12" customHeight="1">
      <c r="A2830" s="4">
        <v>1022</v>
      </c>
      <c r="B2830" s="4">
        <v>7458</v>
      </c>
      <c r="C2830" s="5">
        <f t="shared" si="1369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  <c r="V2830">
        <f t="shared" si="1365"/>
        <v>5</v>
      </c>
      <c r="W2830">
        <f t="shared" si="1363"/>
        <v>4</v>
      </c>
      <c r="X2830">
        <f t="shared" si="1364"/>
        <v>2012</v>
      </c>
    </row>
    <row r="2831" spans="1:24" ht="12" customHeight="1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  <c r="V2831">
        <f t="shared" si="1365"/>
        <v>27</v>
      </c>
      <c r="W2831">
        <f t="shared" si="1363"/>
        <v>2</v>
      </c>
      <c r="X2831">
        <f t="shared" si="1364"/>
        <v>2010</v>
      </c>
    </row>
    <row r="2832" spans="1:24" ht="12" customHeight="1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  <c r="V2832">
        <f t="shared" si="1365"/>
        <v>2</v>
      </c>
      <c r="W2832">
        <f t="shared" si="1363"/>
        <v>6</v>
      </c>
      <c r="X2832">
        <f t="shared" si="1364"/>
        <v>2012</v>
      </c>
    </row>
    <row r="2833" spans="1:24" ht="12" customHeight="1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370">C2833+2</f>
        <v>41225</v>
      </c>
      <c r="V2833">
        <f t="shared" si="1365"/>
        <v>12</v>
      </c>
      <c r="W2833">
        <f t="shared" si="1363"/>
        <v>11</v>
      </c>
      <c r="X2833">
        <f t="shared" si="1364"/>
        <v>2012</v>
      </c>
    </row>
    <row r="2834" spans="1:24" ht="12" customHeight="1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370"/>
        <v>39892</v>
      </c>
      <c r="V2834">
        <f t="shared" si="1365"/>
        <v>20</v>
      </c>
      <c r="W2834">
        <f t="shared" si="1363"/>
        <v>3</v>
      </c>
      <c r="X2834">
        <f t="shared" si="1364"/>
        <v>2009</v>
      </c>
    </row>
    <row r="2835" spans="1:24" ht="12" customHeight="1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370"/>
        <v>40740</v>
      </c>
      <c r="V2835">
        <f t="shared" si="1365"/>
        <v>16</v>
      </c>
      <c r="W2835">
        <f t="shared" si="1363"/>
        <v>7</v>
      </c>
      <c r="X2835">
        <f t="shared" si="1364"/>
        <v>2011</v>
      </c>
    </row>
    <row r="2836" spans="1:24" ht="12" customHeight="1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  <c r="V2836">
        <f t="shared" si="1365"/>
        <v>14</v>
      </c>
      <c r="W2836">
        <f t="shared" si="1363"/>
        <v>5</v>
      </c>
      <c r="X2836">
        <f t="shared" si="1364"/>
        <v>2012</v>
      </c>
    </row>
    <row r="2837" spans="1:24" ht="12" customHeight="1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371">C2837+2</f>
        <v>40836</v>
      </c>
      <c r="V2837">
        <f t="shared" si="1365"/>
        <v>20</v>
      </c>
      <c r="W2837">
        <f t="shared" si="1363"/>
        <v>10</v>
      </c>
      <c r="X2837">
        <f t="shared" si="1364"/>
        <v>2011</v>
      </c>
    </row>
    <row r="2838" spans="1:24" ht="12" customHeight="1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371"/>
        <v>41086</v>
      </c>
      <c r="V2838">
        <f t="shared" si="1365"/>
        <v>26</v>
      </c>
      <c r="W2838">
        <f t="shared" si="1363"/>
        <v>6</v>
      </c>
      <c r="X2838">
        <f t="shared" si="1364"/>
        <v>2012</v>
      </c>
    </row>
    <row r="2839" spans="1:24" ht="12" customHeight="1">
      <c r="A2839" s="4">
        <v>1846</v>
      </c>
      <c r="B2839" s="4">
        <v>13284</v>
      </c>
      <c r="C2839" s="5">
        <f t="shared" ref="C2839:C2840" si="1372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373">C2839+1</f>
        <v>41134</v>
      </c>
      <c r="V2839">
        <f t="shared" si="1365"/>
        <v>13</v>
      </c>
      <c r="W2839">
        <f t="shared" si="1363"/>
        <v>8</v>
      </c>
      <c r="X2839">
        <f t="shared" si="1364"/>
        <v>2012</v>
      </c>
    </row>
    <row r="2840" spans="1:24" ht="12" customHeight="1">
      <c r="A2840" s="4">
        <v>1847</v>
      </c>
      <c r="B2840" s="4">
        <v>13284</v>
      </c>
      <c r="C2840" s="5">
        <f t="shared" si="1372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373"/>
        <v>41134</v>
      </c>
      <c r="V2840">
        <f t="shared" si="1365"/>
        <v>13</v>
      </c>
      <c r="W2840">
        <f t="shared" si="1363"/>
        <v>8</v>
      </c>
      <c r="X2840">
        <f t="shared" si="1364"/>
        <v>2012</v>
      </c>
    </row>
    <row r="2841" spans="1:24" ht="12" customHeight="1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373"/>
        <v>40468</v>
      </c>
      <c r="V2841">
        <f t="shared" si="1365"/>
        <v>17</v>
      </c>
      <c r="W2841">
        <f t="shared" si="1363"/>
        <v>10</v>
      </c>
      <c r="X2841">
        <f t="shared" si="1364"/>
        <v>2010</v>
      </c>
    </row>
    <row r="2842" spans="1:24" ht="12" customHeight="1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  <c r="V2842">
        <f t="shared" si="1365"/>
        <v>27</v>
      </c>
      <c r="W2842">
        <f t="shared" si="1363"/>
        <v>6</v>
      </c>
      <c r="X2842">
        <f t="shared" si="1364"/>
        <v>2009</v>
      </c>
    </row>
    <row r="2843" spans="1:24" ht="12" customHeight="1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  <c r="V2843">
        <f t="shared" si="1365"/>
        <v>1</v>
      </c>
      <c r="W2843">
        <f t="shared" si="1363"/>
        <v>2</v>
      </c>
      <c r="X2843">
        <f t="shared" si="1364"/>
        <v>2010</v>
      </c>
    </row>
    <row r="2844" spans="1:24" ht="12" customHeight="1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  <c r="V2844">
        <f t="shared" si="1365"/>
        <v>17</v>
      </c>
      <c r="W2844">
        <f t="shared" si="1363"/>
        <v>6</v>
      </c>
      <c r="X2844">
        <f t="shared" si="1364"/>
        <v>2009</v>
      </c>
    </row>
    <row r="2845" spans="1:24" ht="12" customHeight="1">
      <c r="A2845" s="4">
        <v>2052</v>
      </c>
      <c r="B2845" s="4">
        <v>14662</v>
      </c>
      <c r="C2845" s="5">
        <f t="shared" ref="C2845:C2846" si="1374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375">C2845+1</f>
        <v>40864</v>
      </c>
      <c r="V2845">
        <f t="shared" si="1365"/>
        <v>17</v>
      </c>
      <c r="W2845">
        <f t="shared" si="1363"/>
        <v>11</v>
      </c>
      <c r="X2845">
        <f t="shared" si="1364"/>
        <v>2011</v>
      </c>
    </row>
    <row r="2846" spans="1:24" ht="12" customHeight="1">
      <c r="A2846" s="4">
        <v>2054</v>
      </c>
      <c r="B2846" s="4">
        <v>14662</v>
      </c>
      <c r="C2846" s="5">
        <f t="shared" si="1374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375"/>
        <v>40864</v>
      </c>
      <c r="V2846">
        <f t="shared" si="1365"/>
        <v>17</v>
      </c>
      <c r="W2846">
        <f t="shared" si="1363"/>
        <v>11</v>
      </c>
      <c r="X2846">
        <f t="shared" si="1364"/>
        <v>2011</v>
      </c>
    </row>
    <row r="2847" spans="1:24" ht="12" customHeight="1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375"/>
        <v>40899</v>
      </c>
      <c r="V2847">
        <f t="shared" si="1365"/>
        <v>22</v>
      </c>
      <c r="W2847">
        <f t="shared" si="1363"/>
        <v>12</v>
      </c>
      <c r="X2847">
        <f t="shared" si="1364"/>
        <v>2011</v>
      </c>
    </row>
    <row r="2848" spans="1:24" ht="12" customHeight="1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  <c r="V2848">
        <f t="shared" si="1365"/>
        <v>2</v>
      </c>
      <c r="W2848">
        <f t="shared" si="1363"/>
        <v>7</v>
      </c>
      <c r="X2848">
        <f t="shared" si="1364"/>
        <v>2011</v>
      </c>
    </row>
    <row r="2849" spans="1:24" ht="12" customHeight="1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376">C2849+1</f>
        <v>40040</v>
      </c>
      <c r="V2849">
        <f t="shared" si="1365"/>
        <v>15</v>
      </c>
      <c r="W2849">
        <f t="shared" si="1363"/>
        <v>8</v>
      </c>
      <c r="X2849">
        <f t="shared" si="1364"/>
        <v>2009</v>
      </c>
    </row>
    <row r="2850" spans="1:24" ht="12" customHeight="1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376"/>
        <v>40914</v>
      </c>
      <c r="V2850">
        <f t="shared" si="1365"/>
        <v>6</v>
      </c>
      <c r="W2850">
        <f t="shared" si="1363"/>
        <v>1</v>
      </c>
      <c r="X2850">
        <f t="shared" si="1364"/>
        <v>2012</v>
      </c>
    </row>
    <row r="2851" spans="1:24" ht="12" customHeight="1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376"/>
        <v>41145</v>
      </c>
      <c r="V2851">
        <f t="shared" si="1365"/>
        <v>24</v>
      </c>
      <c r="W2851">
        <f t="shared" si="1363"/>
        <v>8</v>
      </c>
      <c r="X2851">
        <f t="shared" si="1364"/>
        <v>2012</v>
      </c>
    </row>
    <row r="2852" spans="1:24" ht="12" customHeight="1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377">C2852+2</f>
        <v>40946</v>
      </c>
      <c r="V2852">
        <f t="shared" si="1365"/>
        <v>7</v>
      </c>
      <c r="W2852">
        <f t="shared" si="1363"/>
        <v>2</v>
      </c>
      <c r="X2852">
        <f t="shared" si="1364"/>
        <v>2012</v>
      </c>
    </row>
    <row r="2853" spans="1:24" ht="12" customHeight="1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377"/>
        <v>39962</v>
      </c>
      <c r="V2853">
        <f t="shared" si="1365"/>
        <v>29</v>
      </c>
      <c r="W2853">
        <f t="shared" si="1363"/>
        <v>5</v>
      </c>
      <c r="X2853">
        <f t="shared" si="1364"/>
        <v>2009</v>
      </c>
    </row>
    <row r="2854" spans="1:24" ht="12" customHeight="1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  <c r="V2854">
        <f t="shared" si="1365"/>
        <v>6</v>
      </c>
      <c r="W2854">
        <f t="shared" si="1363"/>
        <v>9</v>
      </c>
      <c r="X2854">
        <f t="shared" si="1364"/>
        <v>2010</v>
      </c>
    </row>
    <row r="2855" spans="1:24" ht="12" customHeight="1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  <c r="V2855">
        <f t="shared" si="1365"/>
        <v>5</v>
      </c>
      <c r="W2855">
        <f t="shared" si="1363"/>
        <v>8</v>
      </c>
      <c r="X2855">
        <f t="shared" si="1364"/>
        <v>2012</v>
      </c>
    </row>
    <row r="2856" spans="1:24" ht="12" customHeight="1">
      <c r="A2856" s="4">
        <v>2649</v>
      </c>
      <c r="B2856" s="4">
        <v>19174</v>
      </c>
      <c r="C2856" s="5">
        <f t="shared" ref="C2856:C2858" si="1378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  <c r="V2856">
        <f t="shared" si="1365"/>
        <v>18</v>
      </c>
      <c r="W2856">
        <f t="shared" si="1363"/>
        <v>7</v>
      </c>
      <c r="X2856">
        <f t="shared" si="1364"/>
        <v>2010</v>
      </c>
    </row>
    <row r="2857" spans="1:24" ht="12" customHeight="1">
      <c r="A2857" s="4">
        <v>2650</v>
      </c>
      <c r="B2857" s="4">
        <v>19174</v>
      </c>
      <c r="C2857" s="5">
        <f t="shared" si="1378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  <c r="V2857">
        <f t="shared" si="1365"/>
        <v>17</v>
      </c>
      <c r="W2857">
        <f t="shared" si="1363"/>
        <v>7</v>
      </c>
      <c r="X2857">
        <f t="shared" si="1364"/>
        <v>2010</v>
      </c>
    </row>
    <row r="2858" spans="1:24" ht="12" customHeight="1">
      <c r="A2858" s="4">
        <v>2651</v>
      </c>
      <c r="B2858" s="4">
        <v>19174</v>
      </c>
      <c r="C2858" s="5">
        <f t="shared" si="1378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379">C2858+2</f>
        <v>40377</v>
      </c>
      <c r="V2858">
        <f t="shared" si="1365"/>
        <v>18</v>
      </c>
      <c r="W2858">
        <f t="shared" si="1363"/>
        <v>7</v>
      </c>
      <c r="X2858">
        <f t="shared" si="1364"/>
        <v>2010</v>
      </c>
    </row>
    <row r="2859" spans="1:24" ht="12" customHeight="1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379"/>
        <v>40887</v>
      </c>
      <c r="V2859">
        <f t="shared" si="1365"/>
        <v>10</v>
      </c>
      <c r="W2859">
        <f t="shared" si="1363"/>
        <v>12</v>
      </c>
      <c r="X2859">
        <f t="shared" si="1364"/>
        <v>2011</v>
      </c>
    </row>
    <row r="2860" spans="1:24" ht="12" customHeight="1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379"/>
        <v>39834</v>
      </c>
      <c r="V2860">
        <f t="shared" si="1365"/>
        <v>21</v>
      </c>
      <c r="W2860">
        <f t="shared" si="1363"/>
        <v>1</v>
      </c>
      <c r="X2860">
        <f t="shared" si="1364"/>
        <v>2009</v>
      </c>
    </row>
    <row r="2861" spans="1:24" ht="12" customHeight="1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379"/>
        <v>41121</v>
      </c>
      <c r="V2861">
        <f t="shared" si="1365"/>
        <v>31</v>
      </c>
      <c r="W2861">
        <f t="shared" si="1363"/>
        <v>7</v>
      </c>
      <c r="X2861">
        <f t="shared" si="1364"/>
        <v>2012</v>
      </c>
    </row>
    <row r="2862" spans="1:24" ht="12" customHeight="1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  <c r="V2862">
        <f t="shared" si="1365"/>
        <v>30</v>
      </c>
      <c r="W2862">
        <f t="shared" si="1363"/>
        <v>4</v>
      </c>
      <c r="X2862">
        <f t="shared" si="1364"/>
        <v>2010</v>
      </c>
    </row>
    <row r="2863" spans="1:24" ht="12" customHeight="1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  <c r="V2863">
        <f t="shared" si="1365"/>
        <v>16</v>
      </c>
      <c r="W2863">
        <f t="shared" si="1363"/>
        <v>12</v>
      </c>
      <c r="X2863">
        <f t="shared" si="1364"/>
        <v>2012</v>
      </c>
    </row>
    <row r="2864" spans="1:24" ht="12" customHeight="1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  <c r="V2864">
        <f t="shared" si="1365"/>
        <v>29</v>
      </c>
      <c r="W2864">
        <f t="shared" si="1363"/>
        <v>7</v>
      </c>
      <c r="X2864">
        <f t="shared" si="1364"/>
        <v>2009</v>
      </c>
    </row>
    <row r="2865" spans="1:24" ht="12" customHeight="1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  <c r="V2865">
        <f t="shared" si="1365"/>
        <v>16</v>
      </c>
      <c r="W2865">
        <f t="shared" si="1363"/>
        <v>1</v>
      </c>
      <c r="X2865">
        <f t="shared" si="1364"/>
        <v>2010</v>
      </c>
    </row>
    <row r="2866" spans="1:24" ht="12" customHeight="1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380">C2866+2</f>
        <v>39981</v>
      </c>
      <c r="V2866">
        <f t="shared" si="1365"/>
        <v>17</v>
      </c>
      <c r="W2866">
        <f t="shared" si="1363"/>
        <v>6</v>
      </c>
      <c r="X2866">
        <f t="shared" si="1364"/>
        <v>2009</v>
      </c>
    </row>
    <row r="2867" spans="1:24" ht="12" customHeight="1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380"/>
        <v>40803</v>
      </c>
      <c r="V2867">
        <f t="shared" si="1365"/>
        <v>17</v>
      </c>
      <c r="W2867">
        <f t="shared" si="1363"/>
        <v>9</v>
      </c>
      <c r="X2867">
        <f t="shared" si="1364"/>
        <v>2011</v>
      </c>
    </row>
    <row r="2868" spans="1:24" ht="12" customHeight="1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  <c r="V2868">
        <f t="shared" si="1365"/>
        <v>4</v>
      </c>
      <c r="W2868">
        <f t="shared" si="1363"/>
        <v>11</v>
      </c>
      <c r="X2868">
        <f t="shared" si="1364"/>
        <v>2010</v>
      </c>
    </row>
    <row r="2869" spans="1:24" ht="12" customHeight="1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381">C2869+2</f>
        <v>41212</v>
      </c>
      <c r="V2869">
        <f t="shared" si="1365"/>
        <v>30</v>
      </c>
      <c r="W2869">
        <f t="shared" si="1363"/>
        <v>10</v>
      </c>
      <c r="X2869">
        <f t="shared" si="1364"/>
        <v>2012</v>
      </c>
    </row>
    <row r="2870" spans="1:24" ht="12" customHeight="1">
      <c r="A2870" s="4">
        <v>3307</v>
      </c>
      <c r="B2870" s="4">
        <v>23619</v>
      </c>
      <c r="C2870" s="5">
        <f t="shared" ref="C2870:C2871" si="1382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381"/>
        <v>41266</v>
      </c>
      <c r="V2870">
        <f t="shared" si="1365"/>
        <v>23</v>
      </c>
      <c r="W2870">
        <f t="shared" si="1363"/>
        <v>12</v>
      </c>
      <c r="X2870">
        <f t="shared" si="1364"/>
        <v>2012</v>
      </c>
    </row>
    <row r="2871" spans="1:24" ht="12" customHeight="1">
      <c r="A2871" s="4">
        <v>3308</v>
      </c>
      <c r="B2871" s="4">
        <v>23619</v>
      </c>
      <c r="C2871" s="5">
        <f t="shared" si="1382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  <c r="V2871">
        <f t="shared" si="1365"/>
        <v>24</v>
      </c>
      <c r="W2871">
        <f t="shared" si="1363"/>
        <v>12</v>
      </c>
      <c r="X2871">
        <f t="shared" si="1364"/>
        <v>2012</v>
      </c>
    </row>
    <row r="2872" spans="1:24" ht="12" customHeight="1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383">C2872+2</f>
        <v>41145</v>
      </c>
      <c r="V2872">
        <f t="shared" si="1365"/>
        <v>24</v>
      </c>
      <c r="W2872">
        <f t="shared" si="1363"/>
        <v>8</v>
      </c>
      <c r="X2872">
        <f t="shared" si="1364"/>
        <v>2012</v>
      </c>
    </row>
    <row r="2873" spans="1:24" ht="12" customHeight="1">
      <c r="A2873" s="4">
        <v>3524</v>
      </c>
      <c r="B2873" s="4">
        <v>25092</v>
      </c>
      <c r="C2873" s="5">
        <f t="shared" ref="C2873:C2874" si="1384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383"/>
        <v>40515</v>
      </c>
      <c r="V2873">
        <f t="shared" si="1365"/>
        <v>3</v>
      </c>
      <c r="W2873">
        <f t="shared" si="1363"/>
        <v>12</v>
      </c>
      <c r="X2873">
        <f t="shared" si="1364"/>
        <v>2010</v>
      </c>
    </row>
    <row r="2874" spans="1:24" ht="12" customHeight="1">
      <c r="A2874" s="4">
        <v>3525</v>
      </c>
      <c r="B2874" s="4">
        <v>25092</v>
      </c>
      <c r="C2874" s="5">
        <f t="shared" si="1384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383"/>
        <v>40515</v>
      </c>
      <c r="V2874">
        <f t="shared" si="1365"/>
        <v>3</v>
      </c>
      <c r="W2874">
        <f t="shared" si="1363"/>
        <v>12</v>
      </c>
      <c r="X2874">
        <f t="shared" si="1364"/>
        <v>2010</v>
      </c>
    </row>
    <row r="2875" spans="1:24" ht="12" customHeight="1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  <c r="V2875">
        <f t="shared" si="1365"/>
        <v>22</v>
      </c>
      <c r="W2875">
        <f t="shared" si="1363"/>
        <v>5</v>
      </c>
      <c r="X2875">
        <f t="shared" si="1364"/>
        <v>2011</v>
      </c>
    </row>
    <row r="2876" spans="1:24" ht="12" customHeight="1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  <c r="V2876">
        <f t="shared" si="1365"/>
        <v>7</v>
      </c>
      <c r="W2876">
        <f t="shared" si="1363"/>
        <v>1</v>
      </c>
      <c r="X2876">
        <f t="shared" si="1364"/>
        <v>2012</v>
      </c>
    </row>
    <row r="2877" spans="1:24" ht="12" customHeight="1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  <c r="V2877">
        <f t="shared" si="1365"/>
        <v>3</v>
      </c>
      <c r="W2877">
        <f t="shared" si="1363"/>
        <v>9</v>
      </c>
      <c r="X2877">
        <f t="shared" si="1364"/>
        <v>2012</v>
      </c>
    </row>
    <row r="2878" spans="1:24" ht="12" customHeight="1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  <c r="V2878">
        <f t="shared" si="1365"/>
        <v>16</v>
      </c>
      <c r="W2878">
        <f t="shared" si="1363"/>
        <v>1</v>
      </c>
      <c r="X2878">
        <f t="shared" si="1364"/>
        <v>2011</v>
      </c>
    </row>
    <row r="2879" spans="1:24" ht="12" customHeight="1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  <c r="V2879">
        <f t="shared" si="1365"/>
        <v>19</v>
      </c>
      <c r="W2879">
        <f t="shared" si="1363"/>
        <v>9</v>
      </c>
      <c r="X2879">
        <f t="shared" si="1364"/>
        <v>2010</v>
      </c>
    </row>
    <row r="2880" spans="1:24" ht="12" customHeight="1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  <c r="V2880">
        <f t="shared" si="1365"/>
        <v>6</v>
      </c>
      <c r="W2880">
        <f t="shared" si="1363"/>
        <v>5</v>
      </c>
      <c r="X2880">
        <f t="shared" si="1364"/>
        <v>2012</v>
      </c>
    </row>
    <row r="2881" spans="1:24" ht="12" customHeight="1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  <c r="V2881">
        <f t="shared" si="1365"/>
        <v>2</v>
      </c>
      <c r="W2881">
        <f t="shared" si="1363"/>
        <v>1</v>
      </c>
      <c r="X2881">
        <f t="shared" si="1364"/>
        <v>2012</v>
      </c>
    </row>
    <row r="2882" spans="1:24" ht="12" customHeight="1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  <c r="V2882">
        <f t="shared" si="1365"/>
        <v>6</v>
      </c>
      <c r="W2882">
        <f t="shared" si="1363"/>
        <v>11</v>
      </c>
      <c r="X2882">
        <f t="shared" si="1364"/>
        <v>2010</v>
      </c>
    </row>
    <row r="2883" spans="1:24" ht="12" customHeight="1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385">C2883+1</f>
        <v>40575</v>
      </c>
      <c r="V2883">
        <f t="shared" si="1365"/>
        <v>1</v>
      </c>
      <c r="W2883">
        <f t="shared" ref="W2883:W2946" si="1386">MONTH(U2883)</f>
        <v>2</v>
      </c>
      <c r="X2883">
        <f t="shared" ref="X2883:X2946" si="1387">YEAR(U2883)</f>
        <v>2011</v>
      </c>
    </row>
    <row r="2884" spans="1:24" ht="12" customHeight="1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385"/>
        <v>40847</v>
      </c>
      <c r="V2884">
        <f t="shared" ref="V2884:V2947" si="1388">DAY(U2884)</f>
        <v>31</v>
      </c>
      <c r="W2884">
        <f t="shared" si="1386"/>
        <v>10</v>
      </c>
      <c r="X2884">
        <f t="shared" si="1387"/>
        <v>2011</v>
      </c>
    </row>
    <row r="2885" spans="1:24" ht="12" customHeight="1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389">C2885+2</f>
        <v>40357</v>
      </c>
      <c r="V2885">
        <f t="shared" si="1388"/>
        <v>28</v>
      </c>
      <c r="W2885">
        <f t="shared" si="1386"/>
        <v>6</v>
      </c>
      <c r="X2885">
        <f t="shared" si="1387"/>
        <v>2010</v>
      </c>
    </row>
    <row r="2886" spans="1:24" ht="12" customHeight="1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389"/>
        <v>40468</v>
      </c>
      <c r="V2886">
        <f t="shared" si="1388"/>
        <v>17</v>
      </c>
      <c r="W2886">
        <f t="shared" si="1386"/>
        <v>10</v>
      </c>
      <c r="X2886">
        <f t="shared" si="1387"/>
        <v>2010</v>
      </c>
    </row>
    <row r="2887" spans="1:24" ht="12" customHeight="1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  <c r="V2887">
        <f t="shared" si="1388"/>
        <v>18</v>
      </c>
      <c r="W2887">
        <f t="shared" si="1386"/>
        <v>3</v>
      </c>
      <c r="X2887">
        <f t="shared" si="1387"/>
        <v>2010</v>
      </c>
    </row>
    <row r="2888" spans="1:24" ht="12" customHeight="1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  <c r="V2888">
        <f t="shared" si="1388"/>
        <v>22</v>
      </c>
      <c r="W2888">
        <f t="shared" si="1386"/>
        <v>10</v>
      </c>
      <c r="X2888">
        <f t="shared" si="1387"/>
        <v>2012</v>
      </c>
    </row>
    <row r="2889" spans="1:24" ht="12" customHeight="1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390">C2889+2</f>
        <v>40484</v>
      </c>
      <c r="V2889">
        <f t="shared" si="1388"/>
        <v>2</v>
      </c>
      <c r="W2889">
        <f t="shared" si="1386"/>
        <v>11</v>
      </c>
      <c r="X2889">
        <f t="shared" si="1387"/>
        <v>2010</v>
      </c>
    </row>
    <row r="2890" spans="1:24" ht="12" customHeight="1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390"/>
        <v>40025</v>
      </c>
      <c r="V2890">
        <f t="shared" si="1388"/>
        <v>31</v>
      </c>
      <c r="W2890">
        <f t="shared" si="1386"/>
        <v>7</v>
      </c>
      <c r="X2890">
        <f t="shared" si="1387"/>
        <v>2009</v>
      </c>
    </row>
    <row r="2891" spans="1:24" ht="12" customHeight="1">
      <c r="A2891" s="4">
        <v>4732</v>
      </c>
      <c r="B2891" s="4">
        <v>33699</v>
      </c>
      <c r="C2891" s="5">
        <f t="shared" ref="C2891:C2892" si="1391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  <c r="V2891">
        <f t="shared" si="1388"/>
        <v>2</v>
      </c>
      <c r="W2891">
        <f t="shared" si="1386"/>
        <v>8</v>
      </c>
      <c r="X2891">
        <f t="shared" si="1387"/>
        <v>2009</v>
      </c>
    </row>
    <row r="2892" spans="1:24" ht="12" customHeight="1">
      <c r="A2892" s="4">
        <v>4734</v>
      </c>
      <c r="B2892" s="4">
        <v>33699</v>
      </c>
      <c r="C2892" s="5">
        <f t="shared" si="1391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  <c r="V2892">
        <f t="shared" si="1388"/>
        <v>31</v>
      </c>
      <c r="W2892">
        <f t="shared" si="1386"/>
        <v>7</v>
      </c>
      <c r="X2892">
        <f t="shared" si="1387"/>
        <v>2009</v>
      </c>
    </row>
    <row r="2893" spans="1:24" ht="12" customHeight="1">
      <c r="A2893" s="4">
        <v>4754</v>
      </c>
      <c r="B2893" s="4">
        <v>33797</v>
      </c>
      <c r="C2893" s="5">
        <f t="shared" ref="C2893:C2895" si="1392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  <c r="V2893">
        <f t="shared" si="1388"/>
        <v>11</v>
      </c>
      <c r="W2893">
        <f t="shared" si="1386"/>
        <v>1</v>
      </c>
      <c r="X2893">
        <f t="shared" si="1387"/>
        <v>2009</v>
      </c>
    </row>
    <row r="2894" spans="1:24" ht="12" customHeight="1">
      <c r="A2894" s="4">
        <v>4755</v>
      </c>
      <c r="B2894" s="4">
        <v>33797</v>
      </c>
      <c r="C2894" s="5">
        <f t="shared" si="1392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393">C2894+1</f>
        <v>39825</v>
      </c>
      <c r="V2894">
        <f t="shared" si="1388"/>
        <v>12</v>
      </c>
      <c r="W2894">
        <f t="shared" si="1386"/>
        <v>1</v>
      </c>
      <c r="X2894">
        <f t="shared" si="1387"/>
        <v>2009</v>
      </c>
    </row>
    <row r="2895" spans="1:24" ht="12" customHeight="1">
      <c r="A2895" s="4">
        <v>4756</v>
      </c>
      <c r="B2895" s="4">
        <v>33797</v>
      </c>
      <c r="C2895" s="5">
        <f t="shared" si="1392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393"/>
        <v>39825</v>
      </c>
      <c r="V2895">
        <f t="shared" si="1388"/>
        <v>12</v>
      </c>
      <c r="W2895">
        <f t="shared" si="1386"/>
        <v>1</v>
      </c>
      <c r="X2895">
        <f t="shared" si="1387"/>
        <v>2009</v>
      </c>
    </row>
    <row r="2896" spans="1:24" ht="12" customHeight="1">
      <c r="A2896" s="4">
        <v>4782</v>
      </c>
      <c r="B2896" s="4">
        <v>33958</v>
      </c>
      <c r="C2896" s="5">
        <f t="shared" ref="C2896:C2897" si="1394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395">C2896+2</f>
        <v>40578</v>
      </c>
      <c r="V2896">
        <f t="shared" si="1388"/>
        <v>4</v>
      </c>
      <c r="W2896">
        <f t="shared" si="1386"/>
        <v>2</v>
      </c>
      <c r="X2896">
        <f t="shared" si="1387"/>
        <v>2011</v>
      </c>
    </row>
    <row r="2897" spans="1:24" ht="12" customHeight="1">
      <c r="A2897" s="4">
        <v>4783</v>
      </c>
      <c r="B2897" s="4">
        <v>33958</v>
      </c>
      <c r="C2897" s="5">
        <f t="shared" si="1394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395"/>
        <v>40578</v>
      </c>
      <c r="V2897">
        <f t="shared" si="1388"/>
        <v>4</v>
      </c>
      <c r="W2897">
        <f t="shared" si="1386"/>
        <v>2</v>
      </c>
      <c r="X2897">
        <f t="shared" si="1387"/>
        <v>2011</v>
      </c>
    </row>
    <row r="2898" spans="1:24" ht="12" customHeight="1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  <c r="V2898">
        <f t="shared" si="1388"/>
        <v>21</v>
      </c>
      <c r="W2898">
        <f t="shared" si="1386"/>
        <v>2</v>
      </c>
      <c r="X2898">
        <f t="shared" si="1387"/>
        <v>2011</v>
      </c>
    </row>
    <row r="2899" spans="1:24" ht="12" customHeight="1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  <c r="V2899">
        <f t="shared" si="1388"/>
        <v>16</v>
      </c>
      <c r="W2899">
        <f t="shared" si="1386"/>
        <v>5</v>
      </c>
      <c r="X2899">
        <f t="shared" si="1387"/>
        <v>2009</v>
      </c>
    </row>
    <row r="2900" spans="1:24" ht="12" customHeight="1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  <c r="V2900">
        <f t="shared" si="1388"/>
        <v>11</v>
      </c>
      <c r="W2900">
        <f t="shared" si="1386"/>
        <v>9</v>
      </c>
      <c r="X2900">
        <f t="shared" si="1387"/>
        <v>2010</v>
      </c>
    </row>
    <row r="2901" spans="1:24" ht="12" customHeight="1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  <c r="V2901">
        <f t="shared" si="1388"/>
        <v>5</v>
      </c>
      <c r="W2901">
        <f t="shared" si="1386"/>
        <v>11</v>
      </c>
      <c r="X2901">
        <f t="shared" si="1387"/>
        <v>2012</v>
      </c>
    </row>
    <row r="2902" spans="1:24" ht="12" customHeight="1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  <c r="V2902">
        <f t="shared" si="1388"/>
        <v>15</v>
      </c>
      <c r="W2902">
        <f t="shared" si="1386"/>
        <v>4</v>
      </c>
      <c r="X2902">
        <f t="shared" si="1387"/>
        <v>2010</v>
      </c>
    </row>
    <row r="2903" spans="1:24" ht="12" customHeight="1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396">C2903+2</f>
        <v>40908</v>
      </c>
      <c r="V2903">
        <f t="shared" si="1388"/>
        <v>31</v>
      </c>
      <c r="W2903">
        <f t="shared" si="1386"/>
        <v>12</v>
      </c>
      <c r="X2903">
        <f t="shared" si="1387"/>
        <v>2011</v>
      </c>
    </row>
    <row r="2904" spans="1:24" ht="12" customHeight="1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396"/>
        <v>40452</v>
      </c>
      <c r="V2904">
        <f t="shared" si="1388"/>
        <v>1</v>
      </c>
      <c r="W2904">
        <f t="shared" si="1386"/>
        <v>10</v>
      </c>
      <c r="X2904">
        <f t="shared" si="1387"/>
        <v>2010</v>
      </c>
    </row>
    <row r="2905" spans="1:24" ht="12" customHeight="1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397">C2905+0</f>
        <v>39865</v>
      </c>
      <c r="V2905">
        <f t="shared" si="1388"/>
        <v>21</v>
      </c>
      <c r="W2905">
        <f t="shared" si="1386"/>
        <v>2</v>
      </c>
      <c r="X2905">
        <f t="shared" si="1387"/>
        <v>2009</v>
      </c>
    </row>
    <row r="2906" spans="1:24" ht="12" customHeight="1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397"/>
        <v>39951</v>
      </c>
      <c r="V2906">
        <f t="shared" si="1388"/>
        <v>18</v>
      </c>
      <c r="W2906">
        <f t="shared" si="1386"/>
        <v>5</v>
      </c>
      <c r="X2906">
        <f t="shared" si="1387"/>
        <v>2009</v>
      </c>
    </row>
    <row r="2907" spans="1:24" ht="12" customHeight="1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  <c r="V2907">
        <f t="shared" si="1388"/>
        <v>27</v>
      </c>
      <c r="W2907">
        <f t="shared" si="1386"/>
        <v>10</v>
      </c>
      <c r="X2907">
        <f t="shared" si="1387"/>
        <v>2009</v>
      </c>
    </row>
    <row r="2908" spans="1:24" ht="12" customHeight="1">
      <c r="A2908" s="4">
        <v>5451</v>
      </c>
      <c r="B2908" s="4">
        <v>38721</v>
      </c>
      <c r="C2908" s="5">
        <f t="shared" ref="C2908:C2909" si="1398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  <c r="V2908">
        <f t="shared" si="1388"/>
        <v>26</v>
      </c>
      <c r="W2908">
        <f t="shared" si="1386"/>
        <v>3</v>
      </c>
      <c r="X2908">
        <f t="shared" si="1387"/>
        <v>2009</v>
      </c>
    </row>
    <row r="2909" spans="1:24" ht="12" customHeight="1">
      <c r="A2909" s="4">
        <v>5452</v>
      </c>
      <c r="B2909" s="4">
        <v>38721</v>
      </c>
      <c r="C2909" s="5">
        <f t="shared" si="1398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399">C2909+1</f>
        <v>39897</v>
      </c>
      <c r="V2909">
        <f t="shared" si="1388"/>
        <v>25</v>
      </c>
      <c r="W2909">
        <f t="shared" si="1386"/>
        <v>3</v>
      </c>
      <c r="X2909">
        <f t="shared" si="1387"/>
        <v>2009</v>
      </c>
    </row>
    <row r="2910" spans="1:24" ht="12" customHeight="1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399"/>
        <v>40538</v>
      </c>
      <c r="V2910">
        <f t="shared" si="1388"/>
        <v>26</v>
      </c>
      <c r="W2910">
        <f t="shared" si="1386"/>
        <v>12</v>
      </c>
      <c r="X2910">
        <f t="shared" si="1387"/>
        <v>2010</v>
      </c>
    </row>
    <row r="2911" spans="1:24" ht="12" customHeight="1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400">C2911+2</f>
        <v>41023</v>
      </c>
      <c r="V2911">
        <f t="shared" si="1388"/>
        <v>24</v>
      </c>
      <c r="W2911">
        <f t="shared" si="1386"/>
        <v>4</v>
      </c>
      <c r="X2911">
        <f t="shared" si="1387"/>
        <v>2012</v>
      </c>
    </row>
    <row r="2912" spans="1:24" ht="12" customHeight="1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400"/>
        <v>40501</v>
      </c>
      <c r="V2912">
        <f t="shared" si="1388"/>
        <v>19</v>
      </c>
      <c r="W2912">
        <f t="shared" si="1386"/>
        <v>11</v>
      </c>
      <c r="X2912">
        <f t="shared" si="1387"/>
        <v>2010</v>
      </c>
    </row>
    <row r="2913" spans="1:24" ht="12" customHeight="1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  <c r="V2913">
        <f t="shared" si="1388"/>
        <v>19</v>
      </c>
      <c r="W2913">
        <f t="shared" si="1386"/>
        <v>12</v>
      </c>
      <c r="X2913">
        <f t="shared" si="1387"/>
        <v>2010</v>
      </c>
    </row>
    <row r="2914" spans="1:24" ht="12" customHeight="1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  <c r="V2914">
        <f t="shared" si="1388"/>
        <v>12</v>
      </c>
      <c r="W2914">
        <f t="shared" si="1386"/>
        <v>9</v>
      </c>
      <c r="X2914">
        <f t="shared" si="1387"/>
        <v>2012</v>
      </c>
    </row>
    <row r="2915" spans="1:24" ht="12" customHeight="1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401">C2915+2</f>
        <v>41168</v>
      </c>
      <c r="V2915">
        <f t="shared" si="1388"/>
        <v>16</v>
      </c>
      <c r="W2915">
        <f t="shared" si="1386"/>
        <v>9</v>
      </c>
      <c r="X2915">
        <f t="shared" si="1387"/>
        <v>2012</v>
      </c>
    </row>
    <row r="2916" spans="1:24" ht="12" customHeight="1">
      <c r="A2916" s="4">
        <v>5999</v>
      </c>
      <c r="B2916" s="4">
        <v>42528</v>
      </c>
      <c r="C2916" s="5">
        <f t="shared" ref="C2916:C2918" si="1402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401"/>
        <v>40234</v>
      </c>
      <c r="V2916">
        <f t="shared" si="1388"/>
        <v>25</v>
      </c>
      <c r="W2916">
        <f t="shared" si="1386"/>
        <v>2</v>
      </c>
      <c r="X2916">
        <f t="shared" si="1387"/>
        <v>2010</v>
      </c>
    </row>
    <row r="2917" spans="1:24" ht="12" customHeight="1">
      <c r="A2917" s="4">
        <v>6000</v>
      </c>
      <c r="B2917" s="4">
        <v>42528</v>
      </c>
      <c r="C2917" s="5">
        <f t="shared" si="1402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403">C2917+1</f>
        <v>40233</v>
      </c>
      <c r="V2917">
        <f t="shared" si="1388"/>
        <v>24</v>
      </c>
      <c r="W2917">
        <f t="shared" si="1386"/>
        <v>2</v>
      </c>
      <c r="X2917">
        <f t="shared" si="1387"/>
        <v>2010</v>
      </c>
    </row>
    <row r="2918" spans="1:24" ht="12" customHeight="1">
      <c r="A2918" s="4">
        <v>6001</v>
      </c>
      <c r="B2918" s="4">
        <v>42528</v>
      </c>
      <c r="C2918" s="5">
        <f t="shared" si="1402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403"/>
        <v>40233</v>
      </c>
      <c r="V2918">
        <f t="shared" si="1388"/>
        <v>24</v>
      </c>
      <c r="W2918">
        <f t="shared" si="1386"/>
        <v>2</v>
      </c>
      <c r="X2918">
        <f t="shared" si="1387"/>
        <v>2010</v>
      </c>
    </row>
    <row r="2919" spans="1:24" ht="12" customHeight="1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  <c r="V2919">
        <f t="shared" si="1388"/>
        <v>30</v>
      </c>
      <c r="W2919">
        <f t="shared" si="1386"/>
        <v>8</v>
      </c>
      <c r="X2919">
        <f t="shared" si="1387"/>
        <v>2011</v>
      </c>
    </row>
    <row r="2920" spans="1:24" ht="12" customHeight="1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  <c r="V2920">
        <f t="shared" si="1388"/>
        <v>23</v>
      </c>
      <c r="W2920">
        <f t="shared" si="1386"/>
        <v>7</v>
      </c>
      <c r="X2920">
        <f t="shared" si="1387"/>
        <v>2009</v>
      </c>
    </row>
    <row r="2921" spans="1:24" ht="12" customHeight="1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  <c r="V2921">
        <f t="shared" si="1388"/>
        <v>15</v>
      </c>
      <c r="W2921">
        <f t="shared" si="1386"/>
        <v>6</v>
      </c>
      <c r="X2921">
        <f t="shared" si="1387"/>
        <v>2011</v>
      </c>
    </row>
    <row r="2922" spans="1:24" ht="12" customHeight="1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  <c r="V2922">
        <f t="shared" si="1388"/>
        <v>9</v>
      </c>
      <c r="W2922">
        <f t="shared" si="1386"/>
        <v>10</v>
      </c>
      <c r="X2922">
        <f t="shared" si="1387"/>
        <v>2009</v>
      </c>
    </row>
    <row r="2923" spans="1:24" ht="12" customHeight="1">
      <c r="A2923" s="4">
        <v>6391</v>
      </c>
      <c r="B2923" s="4">
        <v>45381</v>
      </c>
      <c r="C2923" s="5">
        <f t="shared" ref="C2923:C2924" si="1404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  <c r="V2923">
        <f t="shared" si="1388"/>
        <v>23</v>
      </c>
      <c r="W2923">
        <f t="shared" si="1386"/>
        <v>8</v>
      </c>
      <c r="X2923">
        <f t="shared" si="1387"/>
        <v>2011</v>
      </c>
    </row>
    <row r="2924" spans="1:24" ht="12" customHeight="1">
      <c r="A2924" s="4">
        <v>6543</v>
      </c>
      <c r="B2924" s="4">
        <v>46531</v>
      </c>
      <c r="C2924" s="5">
        <f t="shared" si="1404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  <c r="V2924">
        <f t="shared" si="1388"/>
        <v>28</v>
      </c>
      <c r="W2924">
        <f t="shared" si="1386"/>
        <v>8</v>
      </c>
      <c r="X2924">
        <f t="shared" si="1387"/>
        <v>2011</v>
      </c>
    </row>
    <row r="2925" spans="1:24" ht="12" customHeight="1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405">C2925+2</f>
        <v>40569</v>
      </c>
      <c r="V2925">
        <f t="shared" si="1388"/>
        <v>26</v>
      </c>
      <c r="W2925">
        <f t="shared" si="1386"/>
        <v>1</v>
      </c>
      <c r="X2925">
        <f t="shared" si="1387"/>
        <v>2011</v>
      </c>
    </row>
    <row r="2926" spans="1:24" ht="12" customHeight="1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405"/>
        <v>40054</v>
      </c>
      <c r="V2926">
        <f t="shared" si="1388"/>
        <v>29</v>
      </c>
      <c r="W2926">
        <f t="shared" si="1386"/>
        <v>8</v>
      </c>
      <c r="X2926">
        <f t="shared" si="1387"/>
        <v>2009</v>
      </c>
    </row>
    <row r="2927" spans="1:24" ht="12" customHeight="1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406">C2927+1</f>
        <v>40247</v>
      </c>
      <c r="V2927">
        <f t="shared" si="1388"/>
        <v>10</v>
      </c>
      <c r="W2927">
        <f t="shared" si="1386"/>
        <v>3</v>
      </c>
      <c r="X2927">
        <f t="shared" si="1387"/>
        <v>2010</v>
      </c>
    </row>
    <row r="2928" spans="1:24" ht="12" customHeight="1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406"/>
        <v>39967</v>
      </c>
      <c r="V2928">
        <f t="shared" si="1388"/>
        <v>3</v>
      </c>
      <c r="W2928">
        <f t="shared" si="1386"/>
        <v>6</v>
      </c>
      <c r="X2928">
        <f t="shared" si="1387"/>
        <v>2009</v>
      </c>
    </row>
    <row r="2929" spans="1:24" ht="12" customHeight="1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  <c r="V2929">
        <f t="shared" si="1388"/>
        <v>6</v>
      </c>
      <c r="W2929">
        <f t="shared" si="1386"/>
        <v>11</v>
      </c>
      <c r="X2929">
        <f t="shared" si="1387"/>
        <v>2012</v>
      </c>
    </row>
    <row r="2930" spans="1:24" ht="12" customHeight="1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  <c r="V2930">
        <f t="shared" si="1388"/>
        <v>25</v>
      </c>
      <c r="W2930">
        <f t="shared" si="1386"/>
        <v>10</v>
      </c>
      <c r="X2930">
        <f t="shared" si="1387"/>
        <v>2009</v>
      </c>
    </row>
    <row r="2931" spans="1:24" ht="12" customHeight="1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  <c r="V2931">
        <f t="shared" si="1388"/>
        <v>21</v>
      </c>
      <c r="W2931">
        <f t="shared" si="1386"/>
        <v>10</v>
      </c>
      <c r="X2931">
        <f t="shared" si="1387"/>
        <v>2010</v>
      </c>
    </row>
    <row r="2932" spans="1:24" ht="12" customHeight="1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  <c r="V2932">
        <f t="shared" si="1388"/>
        <v>22</v>
      </c>
      <c r="W2932">
        <f t="shared" si="1386"/>
        <v>2</v>
      </c>
      <c r="X2932">
        <f t="shared" si="1387"/>
        <v>2011</v>
      </c>
    </row>
    <row r="2933" spans="1:24" ht="12" customHeight="1">
      <c r="A2933" s="4">
        <v>6931</v>
      </c>
      <c r="B2933" s="4">
        <v>49472</v>
      </c>
      <c r="C2933" s="5">
        <f t="shared" ref="C2933:C2934" si="1407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  <c r="V2933">
        <f t="shared" si="1388"/>
        <v>21</v>
      </c>
      <c r="W2933">
        <f t="shared" si="1386"/>
        <v>7</v>
      </c>
      <c r="X2933">
        <f t="shared" si="1387"/>
        <v>2010</v>
      </c>
    </row>
    <row r="2934" spans="1:24" ht="12" customHeight="1">
      <c r="A2934" s="4">
        <v>6932</v>
      </c>
      <c r="B2934" s="4">
        <v>49472</v>
      </c>
      <c r="C2934" s="5">
        <f t="shared" si="1407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  <c r="V2934">
        <f t="shared" si="1388"/>
        <v>20</v>
      </c>
      <c r="W2934">
        <f t="shared" si="1386"/>
        <v>7</v>
      </c>
      <c r="X2934">
        <f t="shared" si="1387"/>
        <v>2010</v>
      </c>
    </row>
    <row r="2935" spans="1:24" ht="12" customHeight="1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  <c r="V2935">
        <f t="shared" si="1388"/>
        <v>14</v>
      </c>
      <c r="W2935">
        <f t="shared" si="1386"/>
        <v>9</v>
      </c>
      <c r="X2935">
        <f t="shared" si="1387"/>
        <v>2009</v>
      </c>
    </row>
    <row r="2936" spans="1:24" ht="12" customHeight="1">
      <c r="A2936" s="4">
        <v>6995</v>
      </c>
      <c r="B2936" s="4">
        <v>49984</v>
      </c>
      <c r="C2936" s="5">
        <f t="shared" ref="C2936:C2937" si="1408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  <c r="V2936">
        <f t="shared" si="1388"/>
        <v>15</v>
      </c>
      <c r="W2936">
        <f t="shared" si="1386"/>
        <v>5</v>
      </c>
      <c r="X2936">
        <f t="shared" si="1387"/>
        <v>2009</v>
      </c>
    </row>
    <row r="2937" spans="1:24" ht="12" customHeight="1">
      <c r="A2937" s="4">
        <v>6996</v>
      </c>
      <c r="B2937" s="4">
        <v>49984</v>
      </c>
      <c r="C2937" s="5">
        <f t="shared" si="1408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  <c r="V2937">
        <f t="shared" si="1388"/>
        <v>11</v>
      </c>
      <c r="W2937">
        <f t="shared" si="1386"/>
        <v>5</v>
      </c>
      <c r="X2937">
        <f t="shared" si="1387"/>
        <v>2009</v>
      </c>
    </row>
    <row r="2938" spans="1:24" ht="12" customHeight="1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  <c r="V2938">
        <f t="shared" si="1388"/>
        <v>5</v>
      </c>
      <c r="W2938">
        <f t="shared" si="1386"/>
        <v>1</v>
      </c>
      <c r="X2938">
        <f t="shared" si="1387"/>
        <v>2012</v>
      </c>
    </row>
    <row r="2939" spans="1:24" ht="12" customHeight="1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  <c r="V2939">
        <f t="shared" si="1388"/>
        <v>22</v>
      </c>
      <c r="W2939">
        <f t="shared" si="1386"/>
        <v>12</v>
      </c>
      <c r="X2939">
        <f t="shared" si="1387"/>
        <v>2011</v>
      </c>
    </row>
    <row r="2940" spans="1:24" ht="12" customHeight="1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  <c r="V2940">
        <f t="shared" si="1388"/>
        <v>9</v>
      </c>
      <c r="W2940">
        <f t="shared" si="1386"/>
        <v>12</v>
      </c>
      <c r="X2940">
        <f t="shared" si="1387"/>
        <v>2009</v>
      </c>
    </row>
    <row r="2941" spans="1:24" ht="12" customHeight="1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  <c r="V2941">
        <f t="shared" si="1388"/>
        <v>27</v>
      </c>
      <c r="W2941">
        <f t="shared" si="1386"/>
        <v>10</v>
      </c>
      <c r="X2941">
        <f t="shared" si="1387"/>
        <v>2011</v>
      </c>
    </row>
    <row r="2942" spans="1:24" ht="12" customHeight="1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  <c r="V2942">
        <f t="shared" si="1388"/>
        <v>2</v>
      </c>
      <c r="W2942">
        <f t="shared" si="1386"/>
        <v>9</v>
      </c>
      <c r="X2942">
        <f t="shared" si="1387"/>
        <v>2009</v>
      </c>
    </row>
    <row r="2943" spans="1:24" ht="12" customHeight="1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409">C2943+1</f>
        <v>40896</v>
      </c>
      <c r="V2943">
        <f t="shared" si="1388"/>
        <v>19</v>
      </c>
      <c r="W2943">
        <f t="shared" si="1386"/>
        <v>12</v>
      </c>
      <c r="X2943">
        <f t="shared" si="1387"/>
        <v>2011</v>
      </c>
    </row>
    <row r="2944" spans="1:24" ht="12" customHeight="1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409"/>
        <v>40196</v>
      </c>
      <c r="V2944">
        <f t="shared" si="1388"/>
        <v>18</v>
      </c>
      <c r="W2944">
        <f t="shared" si="1386"/>
        <v>1</v>
      </c>
      <c r="X2944">
        <f t="shared" si="1387"/>
        <v>2010</v>
      </c>
    </row>
    <row r="2945" spans="1:24" ht="12" customHeight="1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  <c r="V2945">
        <f t="shared" si="1388"/>
        <v>8</v>
      </c>
      <c r="W2945">
        <f t="shared" si="1386"/>
        <v>6</v>
      </c>
      <c r="X2945">
        <f t="shared" si="1387"/>
        <v>2009</v>
      </c>
    </row>
    <row r="2946" spans="1:24" ht="12" customHeight="1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  <c r="V2946">
        <f t="shared" si="1388"/>
        <v>9</v>
      </c>
      <c r="W2946">
        <f t="shared" si="1386"/>
        <v>5</v>
      </c>
      <c r="X2946">
        <f t="shared" si="1387"/>
        <v>2011</v>
      </c>
    </row>
    <row r="2947" spans="1:24" ht="12" customHeight="1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  <c r="V2947">
        <f t="shared" si="1388"/>
        <v>23</v>
      </c>
      <c r="W2947">
        <f t="shared" ref="W2947:W3010" si="1410">MONTH(U2947)</f>
        <v>5</v>
      </c>
      <c r="X2947">
        <f t="shared" ref="X2947:X3010" si="1411">YEAR(U2947)</f>
        <v>2009</v>
      </c>
    </row>
    <row r="2948" spans="1:24" ht="12" customHeight="1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  <c r="V2948">
        <f t="shared" ref="V2948:V3011" si="1412">DAY(U2948)</f>
        <v>3</v>
      </c>
      <c r="W2948">
        <f t="shared" si="1410"/>
        <v>7</v>
      </c>
      <c r="X2948">
        <f t="shared" si="1411"/>
        <v>2012</v>
      </c>
    </row>
    <row r="2949" spans="1:24" ht="12" customHeight="1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  <c r="V2949">
        <f t="shared" si="1412"/>
        <v>6</v>
      </c>
      <c r="W2949">
        <f t="shared" si="1410"/>
        <v>8</v>
      </c>
      <c r="X2949">
        <f t="shared" si="1411"/>
        <v>2010</v>
      </c>
    </row>
    <row r="2950" spans="1:24" ht="12" customHeight="1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  <c r="V2950">
        <f t="shared" si="1412"/>
        <v>28</v>
      </c>
      <c r="W2950">
        <f t="shared" si="1410"/>
        <v>5</v>
      </c>
      <c r="X2950">
        <f t="shared" si="1411"/>
        <v>2011</v>
      </c>
    </row>
    <row r="2951" spans="1:24" ht="12" customHeight="1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413">C2951+2</f>
        <v>40753</v>
      </c>
      <c r="V2951">
        <f t="shared" si="1412"/>
        <v>29</v>
      </c>
      <c r="W2951">
        <f t="shared" si="1410"/>
        <v>7</v>
      </c>
      <c r="X2951">
        <f t="shared" si="1411"/>
        <v>2011</v>
      </c>
    </row>
    <row r="2952" spans="1:24" ht="12" customHeight="1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413"/>
        <v>40875</v>
      </c>
      <c r="V2952">
        <f t="shared" si="1412"/>
        <v>28</v>
      </c>
      <c r="W2952">
        <f t="shared" si="1410"/>
        <v>11</v>
      </c>
      <c r="X2952">
        <f t="shared" si="1411"/>
        <v>2011</v>
      </c>
    </row>
    <row r="2953" spans="1:24" ht="12" customHeight="1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  <c r="V2953">
        <f t="shared" si="1412"/>
        <v>15</v>
      </c>
      <c r="W2953">
        <f t="shared" si="1410"/>
        <v>11</v>
      </c>
      <c r="X2953">
        <f t="shared" si="1411"/>
        <v>2012</v>
      </c>
    </row>
    <row r="2954" spans="1:24" ht="12" customHeight="1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  <c r="V2954">
        <f t="shared" si="1412"/>
        <v>7</v>
      </c>
      <c r="W2954">
        <f t="shared" si="1410"/>
        <v>4</v>
      </c>
      <c r="X2954">
        <f t="shared" si="1411"/>
        <v>2011</v>
      </c>
    </row>
    <row r="2955" spans="1:24" ht="12" customHeight="1">
      <c r="A2955" s="4">
        <v>8297</v>
      </c>
      <c r="B2955" s="4">
        <v>59270</v>
      </c>
      <c r="C2955" s="5">
        <f t="shared" ref="C2955:C2956" si="1414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  <c r="V2955">
        <f t="shared" si="1412"/>
        <v>13</v>
      </c>
      <c r="W2955">
        <f t="shared" si="1410"/>
        <v>1</v>
      </c>
      <c r="X2955">
        <f t="shared" si="1411"/>
        <v>2010</v>
      </c>
    </row>
    <row r="2956" spans="1:24" ht="12" customHeight="1">
      <c r="A2956" s="4">
        <v>8298</v>
      </c>
      <c r="B2956" s="4">
        <v>59270</v>
      </c>
      <c r="C2956" s="5">
        <f t="shared" si="1414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  <c r="V2956">
        <f t="shared" si="1412"/>
        <v>12</v>
      </c>
      <c r="W2956">
        <f t="shared" si="1410"/>
        <v>1</v>
      </c>
      <c r="X2956">
        <f t="shared" si="1411"/>
        <v>2010</v>
      </c>
    </row>
    <row r="2957" spans="1:24" ht="12" customHeight="1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  <c r="V2957">
        <f t="shared" si="1412"/>
        <v>15</v>
      </c>
      <c r="W2957">
        <f t="shared" si="1410"/>
        <v>2</v>
      </c>
      <c r="X2957">
        <f t="shared" si="1411"/>
        <v>2010</v>
      </c>
    </row>
    <row r="2958" spans="1:24" ht="12" customHeight="1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  <c r="V2958">
        <f t="shared" si="1412"/>
        <v>13</v>
      </c>
      <c r="W2958">
        <f t="shared" si="1410"/>
        <v>12</v>
      </c>
      <c r="X2958">
        <f t="shared" si="1411"/>
        <v>2012</v>
      </c>
    </row>
    <row r="2959" spans="1:24" ht="12" customHeight="1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  <c r="V2959">
        <f t="shared" si="1412"/>
        <v>13</v>
      </c>
      <c r="W2959">
        <f t="shared" si="1410"/>
        <v>6</v>
      </c>
      <c r="X2959">
        <f t="shared" si="1411"/>
        <v>2010</v>
      </c>
    </row>
    <row r="2960" spans="1:24" ht="12" customHeight="1">
      <c r="A2960" s="4">
        <v>42</v>
      </c>
      <c r="B2960" s="4">
        <v>258</v>
      </c>
      <c r="C2960" s="5">
        <f t="shared" ref="C2960:C2961" si="1415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  <c r="V2960">
        <f t="shared" si="1412"/>
        <v>30</v>
      </c>
      <c r="W2960">
        <f t="shared" si="1410"/>
        <v>12</v>
      </c>
      <c r="X2960">
        <f t="shared" si="1411"/>
        <v>2010</v>
      </c>
    </row>
    <row r="2961" spans="1:24" ht="12" customHeight="1">
      <c r="A2961" s="4">
        <v>43</v>
      </c>
      <c r="B2961" s="4">
        <v>258</v>
      </c>
      <c r="C2961" s="5">
        <f t="shared" si="1415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  <c r="V2961">
        <f t="shared" si="1412"/>
        <v>29</v>
      </c>
      <c r="W2961">
        <f t="shared" si="1410"/>
        <v>12</v>
      </c>
      <c r="X2961">
        <f t="shared" si="1411"/>
        <v>2010</v>
      </c>
    </row>
    <row r="2962" spans="1:24" ht="12" customHeight="1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  <c r="V2962">
        <f t="shared" si="1412"/>
        <v>20</v>
      </c>
      <c r="W2962">
        <f t="shared" si="1410"/>
        <v>10</v>
      </c>
      <c r="X2962">
        <f t="shared" si="1411"/>
        <v>2010</v>
      </c>
    </row>
    <row r="2963" spans="1:24" ht="12" customHeight="1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416">C2963+2</f>
        <v>40154</v>
      </c>
      <c r="V2963">
        <f t="shared" si="1412"/>
        <v>7</v>
      </c>
      <c r="W2963">
        <f t="shared" si="1410"/>
        <v>12</v>
      </c>
      <c r="X2963">
        <f t="shared" si="1411"/>
        <v>2009</v>
      </c>
    </row>
    <row r="2964" spans="1:24" ht="12" customHeight="1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416"/>
        <v>40255</v>
      </c>
      <c r="V2964">
        <f t="shared" si="1412"/>
        <v>18</v>
      </c>
      <c r="W2964">
        <f t="shared" si="1410"/>
        <v>3</v>
      </c>
      <c r="X2964">
        <f t="shared" si="1411"/>
        <v>2010</v>
      </c>
    </row>
    <row r="2965" spans="1:24" ht="12" customHeight="1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416"/>
        <v>40123</v>
      </c>
      <c r="V2965">
        <f t="shared" si="1412"/>
        <v>6</v>
      </c>
      <c r="W2965">
        <f t="shared" si="1410"/>
        <v>11</v>
      </c>
      <c r="X2965">
        <f t="shared" si="1411"/>
        <v>2009</v>
      </c>
    </row>
    <row r="2966" spans="1:24" ht="12" customHeight="1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416"/>
        <v>39988</v>
      </c>
      <c r="V2966">
        <f t="shared" si="1412"/>
        <v>24</v>
      </c>
      <c r="W2966">
        <f t="shared" si="1410"/>
        <v>6</v>
      </c>
      <c r="X2966">
        <f t="shared" si="1411"/>
        <v>2009</v>
      </c>
    </row>
    <row r="2967" spans="1:24" ht="12" customHeight="1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  <c r="V2967">
        <f t="shared" si="1412"/>
        <v>22</v>
      </c>
      <c r="W2967">
        <f t="shared" si="1410"/>
        <v>9</v>
      </c>
      <c r="X2967">
        <f t="shared" si="1411"/>
        <v>2012</v>
      </c>
    </row>
    <row r="2968" spans="1:24" ht="12" customHeight="1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  <c r="V2968">
        <f t="shared" si="1412"/>
        <v>27</v>
      </c>
      <c r="W2968">
        <f t="shared" si="1410"/>
        <v>5</v>
      </c>
      <c r="X2968">
        <f t="shared" si="1411"/>
        <v>2009</v>
      </c>
    </row>
    <row r="2969" spans="1:24" ht="12" customHeight="1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  <c r="V2969">
        <f t="shared" si="1412"/>
        <v>21</v>
      </c>
      <c r="W2969">
        <f t="shared" si="1410"/>
        <v>12</v>
      </c>
      <c r="X2969">
        <f t="shared" si="1411"/>
        <v>2010</v>
      </c>
    </row>
    <row r="2970" spans="1:24" ht="12" customHeight="1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  <c r="V2970">
        <f t="shared" si="1412"/>
        <v>8</v>
      </c>
      <c r="W2970">
        <f t="shared" si="1410"/>
        <v>6</v>
      </c>
      <c r="X2970">
        <f t="shared" si="1411"/>
        <v>2010</v>
      </c>
    </row>
    <row r="2971" spans="1:24" ht="12" customHeight="1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417">C2971+1</f>
        <v>39947</v>
      </c>
      <c r="V2971">
        <f t="shared" si="1412"/>
        <v>14</v>
      </c>
      <c r="W2971">
        <f t="shared" si="1410"/>
        <v>5</v>
      </c>
      <c r="X2971">
        <f t="shared" si="1411"/>
        <v>2009</v>
      </c>
    </row>
    <row r="2972" spans="1:24" ht="12" customHeight="1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417"/>
        <v>40900</v>
      </c>
      <c r="V2972">
        <f t="shared" si="1412"/>
        <v>23</v>
      </c>
      <c r="W2972">
        <f t="shared" si="1410"/>
        <v>12</v>
      </c>
      <c r="X2972">
        <f t="shared" si="1411"/>
        <v>2011</v>
      </c>
    </row>
    <row r="2973" spans="1:24" ht="12" customHeight="1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  <c r="V2973">
        <f t="shared" si="1412"/>
        <v>27</v>
      </c>
      <c r="W2973">
        <f t="shared" si="1410"/>
        <v>11</v>
      </c>
      <c r="X2973">
        <f t="shared" si="1411"/>
        <v>2010</v>
      </c>
    </row>
    <row r="2974" spans="1:24" ht="12" customHeight="1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  <c r="V2974">
        <f t="shared" si="1412"/>
        <v>10</v>
      </c>
      <c r="W2974">
        <f t="shared" si="1410"/>
        <v>1</v>
      </c>
      <c r="X2974">
        <f t="shared" si="1411"/>
        <v>2010</v>
      </c>
    </row>
    <row r="2975" spans="1:24" ht="12" customHeight="1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  <c r="V2975">
        <f t="shared" si="1412"/>
        <v>21</v>
      </c>
      <c r="W2975">
        <f t="shared" si="1410"/>
        <v>12</v>
      </c>
      <c r="X2975">
        <f t="shared" si="1411"/>
        <v>2009</v>
      </c>
    </row>
    <row r="2976" spans="1:24" ht="12" customHeight="1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  <c r="V2976">
        <f t="shared" si="1412"/>
        <v>24</v>
      </c>
      <c r="W2976">
        <f t="shared" si="1410"/>
        <v>1</v>
      </c>
      <c r="X2976">
        <f t="shared" si="1411"/>
        <v>2012</v>
      </c>
    </row>
    <row r="2977" spans="1:24" ht="12" customHeight="1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  <c r="V2977">
        <f t="shared" si="1412"/>
        <v>19</v>
      </c>
      <c r="W2977">
        <f t="shared" si="1410"/>
        <v>8</v>
      </c>
      <c r="X2977">
        <f t="shared" si="1411"/>
        <v>2011</v>
      </c>
    </row>
    <row r="2978" spans="1:24" ht="12" customHeight="1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  <c r="V2978">
        <f t="shared" si="1412"/>
        <v>19</v>
      </c>
      <c r="W2978">
        <f t="shared" si="1410"/>
        <v>6</v>
      </c>
      <c r="X2978">
        <f t="shared" si="1411"/>
        <v>2012</v>
      </c>
    </row>
    <row r="2979" spans="1:24" ht="12" customHeight="1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  <c r="V2979">
        <f t="shared" si="1412"/>
        <v>15</v>
      </c>
      <c r="W2979">
        <f t="shared" si="1410"/>
        <v>9</v>
      </c>
      <c r="X2979">
        <f t="shared" si="1411"/>
        <v>2009</v>
      </c>
    </row>
    <row r="2980" spans="1:24" ht="12" customHeight="1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  <c r="V2980">
        <f t="shared" si="1412"/>
        <v>10</v>
      </c>
      <c r="W2980">
        <f t="shared" si="1410"/>
        <v>6</v>
      </c>
      <c r="X2980">
        <f t="shared" si="1411"/>
        <v>2011</v>
      </c>
    </row>
    <row r="2981" spans="1:24" ht="12" customHeight="1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418">C2981+1</f>
        <v>41267</v>
      </c>
      <c r="V2981">
        <f t="shared" si="1412"/>
        <v>24</v>
      </c>
      <c r="W2981">
        <f t="shared" si="1410"/>
        <v>12</v>
      </c>
      <c r="X2981">
        <f t="shared" si="1411"/>
        <v>2012</v>
      </c>
    </row>
    <row r="2982" spans="1:24" ht="12" customHeight="1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418"/>
        <v>39918</v>
      </c>
      <c r="V2982">
        <f t="shared" si="1412"/>
        <v>15</v>
      </c>
      <c r="W2982">
        <f t="shared" si="1410"/>
        <v>4</v>
      </c>
      <c r="X2982">
        <f t="shared" si="1411"/>
        <v>2009</v>
      </c>
    </row>
    <row r="2983" spans="1:24" ht="12" customHeight="1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418"/>
        <v>40623</v>
      </c>
      <c r="V2983">
        <f t="shared" si="1412"/>
        <v>21</v>
      </c>
      <c r="W2983">
        <f t="shared" si="1410"/>
        <v>3</v>
      </c>
      <c r="X2983">
        <f t="shared" si="1411"/>
        <v>2011</v>
      </c>
    </row>
    <row r="2984" spans="1:24" ht="12" customHeight="1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419">C2984+2</f>
        <v>40513</v>
      </c>
      <c r="V2984">
        <f t="shared" si="1412"/>
        <v>1</v>
      </c>
      <c r="W2984">
        <f t="shared" si="1410"/>
        <v>12</v>
      </c>
      <c r="X2984">
        <f t="shared" si="1411"/>
        <v>2010</v>
      </c>
    </row>
    <row r="2985" spans="1:24" ht="12" customHeight="1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419"/>
        <v>40589</v>
      </c>
      <c r="V2985">
        <f t="shared" si="1412"/>
        <v>15</v>
      </c>
      <c r="W2985">
        <f t="shared" si="1410"/>
        <v>2</v>
      </c>
      <c r="X2985">
        <f t="shared" si="1411"/>
        <v>2011</v>
      </c>
    </row>
    <row r="2986" spans="1:24" ht="12" customHeight="1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419"/>
        <v>39870</v>
      </c>
      <c r="V2986">
        <f t="shared" si="1412"/>
        <v>26</v>
      </c>
      <c r="W2986">
        <f t="shared" si="1410"/>
        <v>2</v>
      </c>
      <c r="X2986">
        <f t="shared" si="1411"/>
        <v>2009</v>
      </c>
    </row>
    <row r="2987" spans="1:24" ht="12" customHeight="1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420">C2987+1</f>
        <v>39888</v>
      </c>
      <c r="V2987">
        <f t="shared" si="1412"/>
        <v>16</v>
      </c>
      <c r="W2987">
        <f t="shared" si="1410"/>
        <v>3</v>
      </c>
      <c r="X2987">
        <f t="shared" si="1411"/>
        <v>2009</v>
      </c>
    </row>
    <row r="2988" spans="1:24" ht="12" customHeight="1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420"/>
        <v>40843</v>
      </c>
      <c r="V2988">
        <f t="shared" si="1412"/>
        <v>27</v>
      </c>
      <c r="W2988">
        <f t="shared" si="1410"/>
        <v>10</v>
      </c>
      <c r="X2988">
        <f t="shared" si="1411"/>
        <v>2011</v>
      </c>
    </row>
    <row r="2989" spans="1:24" ht="12" customHeight="1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  <c r="V2989">
        <f t="shared" si="1412"/>
        <v>6</v>
      </c>
      <c r="W2989">
        <f t="shared" si="1410"/>
        <v>4</v>
      </c>
      <c r="X2989">
        <f t="shared" si="1411"/>
        <v>2009</v>
      </c>
    </row>
    <row r="2990" spans="1:24" ht="12" customHeight="1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421">C2990+1</f>
        <v>41110</v>
      </c>
      <c r="V2990">
        <f t="shared" si="1412"/>
        <v>20</v>
      </c>
      <c r="W2990">
        <f t="shared" si="1410"/>
        <v>7</v>
      </c>
      <c r="X2990">
        <f t="shared" si="1411"/>
        <v>2012</v>
      </c>
    </row>
    <row r="2991" spans="1:24" ht="12" customHeight="1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421"/>
        <v>41043</v>
      </c>
      <c r="V2991">
        <f t="shared" si="1412"/>
        <v>14</v>
      </c>
      <c r="W2991">
        <f t="shared" si="1410"/>
        <v>5</v>
      </c>
      <c r="X2991">
        <f t="shared" si="1411"/>
        <v>2012</v>
      </c>
    </row>
    <row r="2992" spans="1:24" ht="12" customHeight="1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  <c r="V2992">
        <f t="shared" si="1412"/>
        <v>5</v>
      </c>
      <c r="W2992">
        <f t="shared" si="1410"/>
        <v>7</v>
      </c>
      <c r="X2992">
        <f t="shared" si="1411"/>
        <v>2011</v>
      </c>
    </row>
    <row r="2993" spans="1:24" ht="12" customHeight="1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422">C2993+2</f>
        <v>40460</v>
      </c>
      <c r="V2993">
        <f t="shared" si="1412"/>
        <v>9</v>
      </c>
      <c r="W2993">
        <f t="shared" si="1410"/>
        <v>10</v>
      </c>
      <c r="X2993">
        <f t="shared" si="1411"/>
        <v>2010</v>
      </c>
    </row>
    <row r="2994" spans="1:24" ht="12" customHeight="1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422"/>
        <v>39903</v>
      </c>
      <c r="V2994">
        <f t="shared" si="1412"/>
        <v>31</v>
      </c>
      <c r="W2994">
        <f t="shared" si="1410"/>
        <v>3</v>
      </c>
      <c r="X2994">
        <f t="shared" si="1411"/>
        <v>2009</v>
      </c>
    </row>
    <row r="2995" spans="1:24" ht="12" customHeight="1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  <c r="V2995">
        <f t="shared" si="1412"/>
        <v>9</v>
      </c>
      <c r="W2995">
        <f t="shared" si="1410"/>
        <v>9</v>
      </c>
      <c r="X2995">
        <f t="shared" si="1411"/>
        <v>2012</v>
      </c>
    </row>
    <row r="2996" spans="1:24" ht="12" customHeight="1">
      <c r="A2996" s="4">
        <v>2312</v>
      </c>
      <c r="B2996" s="4">
        <v>16674</v>
      </c>
      <c r="C2996" s="5">
        <f t="shared" ref="C2996:C2997" si="1423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  <c r="V2996">
        <f t="shared" si="1412"/>
        <v>6</v>
      </c>
      <c r="W2996">
        <f t="shared" si="1410"/>
        <v>5</v>
      </c>
      <c r="X2996">
        <f t="shared" si="1411"/>
        <v>2011</v>
      </c>
    </row>
    <row r="2997" spans="1:24" ht="12" customHeight="1">
      <c r="A2997" s="4">
        <v>2313</v>
      </c>
      <c r="B2997" s="4">
        <v>16674</v>
      </c>
      <c r="C2997" s="5">
        <f t="shared" si="1423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  <c r="V2997">
        <f t="shared" si="1412"/>
        <v>8</v>
      </c>
      <c r="W2997">
        <f t="shared" si="1410"/>
        <v>5</v>
      </c>
      <c r="X2997">
        <f t="shared" si="1411"/>
        <v>2011</v>
      </c>
    </row>
    <row r="2998" spans="1:24" ht="12" customHeight="1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424">C2998+2</f>
        <v>40659</v>
      </c>
      <c r="V2998">
        <f t="shared" si="1412"/>
        <v>26</v>
      </c>
      <c r="W2998">
        <f t="shared" si="1410"/>
        <v>4</v>
      </c>
      <c r="X2998">
        <f t="shared" si="1411"/>
        <v>2011</v>
      </c>
    </row>
    <row r="2999" spans="1:24" ht="12" customHeight="1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424"/>
        <v>39962</v>
      </c>
      <c r="V2999">
        <f t="shared" si="1412"/>
        <v>29</v>
      </c>
      <c r="W2999">
        <f t="shared" si="1410"/>
        <v>5</v>
      </c>
      <c r="X2999">
        <f t="shared" si="1411"/>
        <v>2009</v>
      </c>
    </row>
    <row r="3000" spans="1:24" ht="12" customHeight="1">
      <c r="A3000" s="4">
        <v>2437</v>
      </c>
      <c r="B3000" s="4">
        <v>17698</v>
      </c>
      <c r="C3000" s="5">
        <f t="shared" ref="C3000:C3001" si="1425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424"/>
        <v>41044</v>
      </c>
      <c r="V3000">
        <f t="shared" si="1412"/>
        <v>15</v>
      </c>
      <c r="W3000">
        <f t="shared" si="1410"/>
        <v>5</v>
      </c>
      <c r="X3000">
        <f t="shared" si="1411"/>
        <v>2012</v>
      </c>
    </row>
    <row r="3001" spans="1:24" ht="12" customHeight="1">
      <c r="A3001" s="4">
        <v>2438</v>
      </c>
      <c r="B3001" s="4">
        <v>17698</v>
      </c>
      <c r="C3001" s="5">
        <f t="shared" si="1425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  <c r="V3001">
        <f t="shared" si="1412"/>
        <v>14</v>
      </c>
      <c r="W3001">
        <f t="shared" si="1410"/>
        <v>5</v>
      </c>
      <c r="X3001">
        <f t="shared" si="1411"/>
        <v>2012</v>
      </c>
    </row>
    <row r="3002" spans="1:24" ht="12" customHeight="1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  <c r="V3002">
        <f t="shared" si="1412"/>
        <v>30</v>
      </c>
      <c r="W3002">
        <f t="shared" si="1410"/>
        <v>12</v>
      </c>
      <c r="X3002">
        <f t="shared" si="1411"/>
        <v>2011</v>
      </c>
    </row>
    <row r="3003" spans="1:24" ht="12" customHeight="1">
      <c r="A3003" s="4">
        <v>2622</v>
      </c>
      <c r="B3003" s="4">
        <v>18951</v>
      </c>
      <c r="C3003" s="5">
        <f t="shared" ref="C3003:C3004" si="1426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  <c r="V3003">
        <f t="shared" si="1412"/>
        <v>30</v>
      </c>
      <c r="W3003">
        <f t="shared" si="1410"/>
        <v>6</v>
      </c>
      <c r="X3003">
        <f t="shared" si="1411"/>
        <v>2011</v>
      </c>
    </row>
    <row r="3004" spans="1:24" ht="12" customHeight="1">
      <c r="A3004" s="4">
        <v>2623</v>
      </c>
      <c r="B3004" s="4">
        <v>18951</v>
      </c>
      <c r="C3004" s="5">
        <f t="shared" si="1426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427">C3004+2</f>
        <v>40725</v>
      </c>
      <c r="V3004">
        <f t="shared" si="1412"/>
        <v>1</v>
      </c>
      <c r="W3004">
        <f t="shared" si="1410"/>
        <v>7</v>
      </c>
      <c r="X3004">
        <f t="shared" si="1411"/>
        <v>2011</v>
      </c>
    </row>
    <row r="3005" spans="1:24" ht="12" customHeight="1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427"/>
        <v>40377</v>
      </c>
      <c r="V3005">
        <f t="shared" si="1412"/>
        <v>18</v>
      </c>
      <c r="W3005">
        <f t="shared" si="1410"/>
        <v>7</v>
      </c>
      <c r="X3005">
        <f t="shared" si="1411"/>
        <v>2010</v>
      </c>
    </row>
    <row r="3006" spans="1:24" ht="12" customHeight="1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  <c r="V3006">
        <f t="shared" si="1412"/>
        <v>8</v>
      </c>
      <c r="W3006">
        <f t="shared" si="1410"/>
        <v>12</v>
      </c>
      <c r="X3006">
        <f t="shared" si="1411"/>
        <v>2011</v>
      </c>
    </row>
    <row r="3007" spans="1:24" ht="12" customHeight="1">
      <c r="A3007" s="4">
        <v>2942</v>
      </c>
      <c r="B3007" s="4">
        <v>21319</v>
      </c>
      <c r="C3007" s="5">
        <f t="shared" ref="C3007:C3008" si="1428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  <c r="V3007">
        <f t="shared" si="1412"/>
        <v>2</v>
      </c>
      <c r="W3007">
        <f t="shared" si="1410"/>
        <v>5</v>
      </c>
      <c r="X3007">
        <f t="shared" si="1411"/>
        <v>2010</v>
      </c>
    </row>
    <row r="3008" spans="1:24" ht="12" customHeight="1">
      <c r="A3008" s="4">
        <v>2944</v>
      </c>
      <c r="B3008" s="4">
        <v>21319</v>
      </c>
      <c r="C3008" s="5">
        <f t="shared" si="1428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  <c r="V3008">
        <f t="shared" si="1412"/>
        <v>30</v>
      </c>
      <c r="W3008">
        <f t="shared" si="1410"/>
        <v>4</v>
      </c>
      <c r="X3008">
        <f t="shared" si="1411"/>
        <v>2010</v>
      </c>
    </row>
    <row r="3009" spans="1:24" ht="12" customHeight="1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  <c r="V3009">
        <f t="shared" si="1412"/>
        <v>15</v>
      </c>
      <c r="W3009">
        <f t="shared" si="1410"/>
        <v>6</v>
      </c>
      <c r="X3009">
        <f t="shared" si="1411"/>
        <v>2010</v>
      </c>
    </row>
    <row r="3010" spans="1:24" ht="12" customHeight="1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  <c r="V3010">
        <f t="shared" si="1412"/>
        <v>28</v>
      </c>
      <c r="W3010">
        <f t="shared" si="1410"/>
        <v>9</v>
      </c>
      <c r="X3010">
        <f t="shared" si="1411"/>
        <v>2011</v>
      </c>
    </row>
    <row r="3011" spans="1:24" ht="12" customHeight="1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  <c r="V3011">
        <f t="shared" si="1412"/>
        <v>15</v>
      </c>
      <c r="W3011">
        <f t="shared" ref="W3011:W3074" si="1429">MONTH(U3011)</f>
        <v>5</v>
      </c>
      <c r="X3011">
        <f t="shared" ref="X3011:X3074" si="1430">YEAR(U3011)</f>
        <v>2010</v>
      </c>
    </row>
    <row r="3012" spans="1:24" ht="12" customHeight="1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  <c r="V3012">
        <f t="shared" ref="V3012:V3075" si="1431">DAY(U3012)</f>
        <v>8</v>
      </c>
      <c r="W3012">
        <f t="shared" si="1429"/>
        <v>4</v>
      </c>
      <c r="X3012">
        <f t="shared" si="1430"/>
        <v>2010</v>
      </c>
    </row>
    <row r="3013" spans="1:24" ht="12" customHeight="1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432">C3013+3</f>
        <v>40410</v>
      </c>
      <c r="V3013">
        <f t="shared" si="1431"/>
        <v>20</v>
      </c>
      <c r="W3013">
        <f t="shared" si="1429"/>
        <v>8</v>
      </c>
      <c r="X3013">
        <f t="shared" si="1430"/>
        <v>2010</v>
      </c>
    </row>
    <row r="3014" spans="1:24" ht="12" customHeight="1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432"/>
        <v>40331</v>
      </c>
      <c r="V3014">
        <f t="shared" si="1431"/>
        <v>2</v>
      </c>
      <c r="W3014">
        <f t="shared" si="1429"/>
        <v>6</v>
      </c>
      <c r="X3014">
        <f t="shared" si="1430"/>
        <v>2010</v>
      </c>
    </row>
    <row r="3015" spans="1:24" ht="12" customHeight="1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433">C3015+2</f>
        <v>40803</v>
      </c>
      <c r="V3015">
        <f t="shared" si="1431"/>
        <v>17</v>
      </c>
      <c r="W3015">
        <f t="shared" si="1429"/>
        <v>9</v>
      </c>
      <c r="X3015">
        <f t="shared" si="1430"/>
        <v>2011</v>
      </c>
    </row>
    <row r="3016" spans="1:24" ht="12" customHeight="1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433"/>
        <v>40926</v>
      </c>
      <c r="V3016">
        <f t="shared" si="1431"/>
        <v>18</v>
      </c>
      <c r="W3016">
        <f t="shared" si="1429"/>
        <v>1</v>
      </c>
      <c r="X3016">
        <f t="shared" si="1430"/>
        <v>2012</v>
      </c>
    </row>
    <row r="3017" spans="1:24" ht="12" customHeight="1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433"/>
        <v>40119</v>
      </c>
      <c r="V3017">
        <f t="shared" si="1431"/>
        <v>2</v>
      </c>
      <c r="W3017">
        <f t="shared" si="1429"/>
        <v>11</v>
      </c>
      <c r="X3017">
        <f t="shared" si="1430"/>
        <v>2009</v>
      </c>
    </row>
    <row r="3018" spans="1:24" ht="12" customHeight="1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  <c r="V3018">
        <f t="shared" si="1431"/>
        <v>1</v>
      </c>
      <c r="W3018">
        <f t="shared" si="1429"/>
        <v>12</v>
      </c>
      <c r="X3018">
        <f t="shared" si="1430"/>
        <v>2010</v>
      </c>
    </row>
    <row r="3019" spans="1:24" ht="12" customHeight="1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  <c r="V3019">
        <f t="shared" si="1431"/>
        <v>31</v>
      </c>
      <c r="W3019">
        <f t="shared" si="1429"/>
        <v>12</v>
      </c>
      <c r="X3019">
        <f t="shared" si="1430"/>
        <v>2011</v>
      </c>
    </row>
    <row r="3020" spans="1:24" ht="12" customHeight="1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  <c r="V3020">
        <f t="shared" si="1431"/>
        <v>29</v>
      </c>
      <c r="W3020">
        <f t="shared" si="1429"/>
        <v>7</v>
      </c>
      <c r="X3020">
        <f t="shared" si="1430"/>
        <v>2009</v>
      </c>
    </row>
    <row r="3021" spans="1:24" ht="12" customHeight="1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  <c r="V3021">
        <f t="shared" si="1431"/>
        <v>15</v>
      </c>
      <c r="W3021">
        <f t="shared" si="1429"/>
        <v>10</v>
      </c>
      <c r="X3021">
        <f t="shared" si="1430"/>
        <v>2010</v>
      </c>
    </row>
    <row r="3022" spans="1:24" ht="12" customHeight="1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  <c r="V3022">
        <f t="shared" si="1431"/>
        <v>5</v>
      </c>
      <c r="W3022">
        <f t="shared" si="1429"/>
        <v>5</v>
      </c>
      <c r="X3022">
        <f t="shared" si="1430"/>
        <v>2009</v>
      </c>
    </row>
    <row r="3023" spans="1:24" ht="12" customHeight="1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  <c r="V3023">
        <f t="shared" si="1431"/>
        <v>2</v>
      </c>
      <c r="W3023">
        <f t="shared" si="1429"/>
        <v>7</v>
      </c>
      <c r="X3023">
        <f t="shared" si="1430"/>
        <v>2010</v>
      </c>
    </row>
    <row r="3024" spans="1:24" ht="12" customHeight="1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  <c r="V3024">
        <f t="shared" si="1431"/>
        <v>29</v>
      </c>
      <c r="W3024">
        <f t="shared" si="1429"/>
        <v>3</v>
      </c>
      <c r="X3024">
        <f t="shared" si="1430"/>
        <v>2012</v>
      </c>
    </row>
    <row r="3025" spans="1:24" ht="12" customHeight="1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  <c r="V3025">
        <f t="shared" si="1431"/>
        <v>20</v>
      </c>
      <c r="W3025">
        <f t="shared" si="1429"/>
        <v>8</v>
      </c>
      <c r="X3025">
        <f t="shared" si="1430"/>
        <v>2009</v>
      </c>
    </row>
    <row r="3026" spans="1:24" ht="12" customHeight="1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434">C3026+2</f>
        <v>40341</v>
      </c>
      <c r="V3026">
        <f t="shared" si="1431"/>
        <v>12</v>
      </c>
      <c r="W3026">
        <f t="shared" si="1429"/>
        <v>6</v>
      </c>
      <c r="X3026">
        <f t="shared" si="1430"/>
        <v>2010</v>
      </c>
    </row>
    <row r="3027" spans="1:24" ht="12" customHeight="1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434"/>
        <v>40956</v>
      </c>
      <c r="V3027">
        <f t="shared" si="1431"/>
        <v>17</v>
      </c>
      <c r="W3027">
        <f t="shared" si="1429"/>
        <v>2</v>
      </c>
      <c r="X3027">
        <f t="shared" si="1430"/>
        <v>2012</v>
      </c>
    </row>
    <row r="3028" spans="1:24" ht="12" customHeight="1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  <c r="V3028">
        <f t="shared" si="1431"/>
        <v>17</v>
      </c>
      <c r="W3028">
        <f t="shared" si="1429"/>
        <v>6</v>
      </c>
      <c r="X3028">
        <f t="shared" si="1430"/>
        <v>2012</v>
      </c>
    </row>
    <row r="3029" spans="1:24" ht="12" customHeight="1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  <c r="V3029">
        <f t="shared" si="1431"/>
        <v>15</v>
      </c>
      <c r="W3029">
        <f t="shared" si="1429"/>
        <v>10</v>
      </c>
      <c r="X3029">
        <f t="shared" si="1430"/>
        <v>2010</v>
      </c>
    </row>
    <row r="3030" spans="1:24" ht="12" customHeight="1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  <c r="V3030">
        <f t="shared" si="1431"/>
        <v>28</v>
      </c>
      <c r="W3030">
        <f t="shared" si="1429"/>
        <v>2</v>
      </c>
      <c r="X3030">
        <f t="shared" si="1430"/>
        <v>2009</v>
      </c>
    </row>
    <row r="3031" spans="1:24" ht="12" customHeight="1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435">C3031+5</f>
        <v>41184</v>
      </c>
      <c r="V3031">
        <f t="shared" si="1431"/>
        <v>2</v>
      </c>
      <c r="W3031">
        <f t="shared" si="1429"/>
        <v>10</v>
      </c>
      <c r="X3031">
        <f t="shared" si="1430"/>
        <v>2012</v>
      </c>
    </row>
    <row r="3032" spans="1:24" ht="12" customHeight="1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435"/>
        <v>40452</v>
      </c>
      <c r="V3032">
        <f t="shared" si="1431"/>
        <v>1</v>
      </c>
      <c r="W3032">
        <f t="shared" si="1429"/>
        <v>10</v>
      </c>
      <c r="X3032">
        <f t="shared" si="1430"/>
        <v>2010</v>
      </c>
    </row>
    <row r="3033" spans="1:24" ht="12" customHeight="1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  <c r="V3033">
        <f t="shared" si="1431"/>
        <v>22</v>
      </c>
      <c r="W3033">
        <f t="shared" si="1429"/>
        <v>3</v>
      </c>
      <c r="X3033">
        <f t="shared" si="1430"/>
        <v>2011</v>
      </c>
    </row>
    <row r="3034" spans="1:24" ht="12" customHeight="1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  <c r="V3034">
        <f t="shared" si="1431"/>
        <v>13</v>
      </c>
      <c r="W3034">
        <f t="shared" si="1429"/>
        <v>5</v>
      </c>
      <c r="X3034">
        <f t="shared" si="1430"/>
        <v>2010</v>
      </c>
    </row>
    <row r="3035" spans="1:24" ht="12" customHeight="1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436">C3035+2</f>
        <v>39824</v>
      </c>
      <c r="V3035">
        <f t="shared" si="1431"/>
        <v>11</v>
      </c>
      <c r="W3035">
        <f t="shared" si="1429"/>
        <v>1</v>
      </c>
      <c r="X3035">
        <f t="shared" si="1430"/>
        <v>2009</v>
      </c>
    </row>
    <row r="3036" spans="1:24" ht="12" customHeight="1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436"/>
        <v>40025</v>
      </c>
      <c r="V3036">
        <f t="shared" si="1431"/>
        <v>31</v>
      </c>
      <c r="W3036">
        <f t="shared" si="1429"/>
        <v>7</v>
      </c>
      <c r="X3036">
        <f t="shared" si="1430"/>
        <v>2009</v>
      </c>
    </row>
    <row r="3037" spans="1:24" ht="12" customHeight="1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  <c r="V3037">
        <f t="shared" si="1431"/>
        <v>25</v>
      </c>
      <c r="W3037">
        <f t="shared" si="1429"/>
        <v>2</v>
      </c>
      <c r="X3037">
        <f t="shared" si="1430"/>
        <v>2011</v>
      </c>
    </row>
    <row r="3038" spans="1:24" ht="12" customHeight="1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  <c r="V3038">
        <f t="shared" si="1431"/>
        <v>2</v>
      </c>
      <c r="W3038">
        <f t="shared" si="1429"/>
        <v>12</v>
      </c>
      <c r="X3038">
        <f t="shared" si="1430"/>
        <v>2011</v>
      </c>
    </row>
    <row r="3039" spans="1:24" ht="12" customHeight="1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437">C3039+1</f>
        <v>40026</v>
      </c>
      <c r="V3039">
        <f t="shared" si="1431"/>
        <v>1</v>
      </c>
      <c r="W3039">
        <f t="shared" si="1429"/>
        <v>8</v>
      </c>
      <c r="X3039">
        <f t="shared" si="1430"/>
        <v>2009</v>
      </c>
    </row>
    <row r="3040" spans="1:24" ht="12" customHeight="1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437"/>
        <v>40386</v>
      </c>
      <c r="V3040">
        <f t="shared" si="1431"/>
        <v>27</v>
      </c>
      <c r="W3040">
        <f t="shared" si="1429"/>
        <v>7</v>
      </c>
      <c r="X3040">
        <f t="shared" si="1430"/>
        <v>2010</v>
      </c>
    </row>
    <row r="3041" spans="1:24" ht="12" customHeight="1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  <c r="V3041">
        <f t="shared" si="1431"/>
        <v>14</v>
      </c>
      <c r="W3041">
        <f t="shared" si="1429"/>
        <v>10</v>
      </c>
      <c r="X3041">
        <f t="shared" si="1430"/>
        <v>2012</v>
      </c>
    </row>
    <row r="3042" spans="1:24" ht="12" customHeight="1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  <c r="V3042">
        <f t="shared" si="1431"/>
        <v>12</v>
      </c>
      <c r="W3042">
        <f t="shared" si="1429"/>
        <v>7</v>
      </c>
      <c r="X3042">
        <f t="shared" si="1430"/>
        <v>2009</v>
      </c>
    </row>
    <row r="3043" spans="1:24" ht="12" customHeight="1">
      <c r="A3043" s="4">
        <v>5394</v>
      </c>
      <c r="B3043" s="4">
        <v>38341</v>
      </c>
      <c r="C3043" s="5">
        <f t="shared" ref="C3043:C3044" si="1438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  <c r="V3043">
        <f t="shared" si="1431"/>
        <v>19</v>
      </c>
      <c r="W3043">
        <f t="shared" si="1429"/>
        <v>5</v>
      </c>
      <c r="X3043">
        <f t="shared" si="1430"/>
        <v>2009</v>
      </c>
    </row>
    <row r="3044" spans="1:24" ht="12" customHeight="1">
      <c r="A3044" s="4">
        <v>5395</v>
      </c>
      <c r="B3044" s="4">
        <v>38341</v>
      </c>
      <c r="C3044" s="5">
        <f t="shared" si="1438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439">C3044+2</f>
        <v>39953</v>
      </c>
      <c r="V3044">
        <f t="shared" si="1431"/>
        <v>20</v>
      </c>
      <c r="W3044">
        <f t="shared" si="1429"/>
        <v>5</v>
      </c>
      <c r="X3044">
        <f t="shared" si="1430"/>
        <v>2009</v>
      </c>
    </row>
    <row r="3045" spans="1:24" ht="12" customHeight="1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439"/>
        <v>41174</v>
      </c>
      <c r="V3045">
        <f t="shared" si="1431"/>
        <v>22</v>
      </c>
      <c r="W3045">
        <f t="shared" si="1429"/>
        <v>9</v>
      </c>
      <c r="X3045">
        <f t="shared" si="1430"/>
        <v>2012</v>
      </c>
    </row>
    <row r="3046" spans="1:24" ht="12" customHeight="1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  <c r="V3046">
        <f t="shared" si="1431"/>
        <v>11</v>
      </c>
      <c r="W3046">
        <f t="shared" si="1429"/>
        <v>6</v>
      </c>
      <c r="X3046">
        <f t="shared" si="1430"/>
        <v>2012</v>
      </c>
    </row>
    <row r="3047" spans="1:24" ht="12" customHeight="1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  <c r="V3047">
        <f t="shared" si="1431"/>
        <v>14</v>
      </c>
      <c r="W3047">
        <f t="shared" si="1429"/>
        <v>12</v>
      </c>
      <c r="X3047">
        <f t="shared" si="1430"/>
        <v>2009</v>
      </c>
    </row>
    <row r="3048" spans="1:24" ht="12" customHeight="1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  <c r="V3048">
        <f t="shared" si="1431"/>
        <v>28</v>
      </c>
      <c r="W3048">
        <f t="shared" si="1429"/>
        <v>8</v>
      </c>
      <c r="X3048">
        <f t="shared" si="1430"/>
        <v>2012</v>
      </c>
    </row>
    <row r="3049" spans="1:24" ht="12" customHeight="1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  <c r="V3049">
        <f t="shared" si="1431"/>
        <v>9</v>
      </c>
      <c r="W3049">
        <f t="shared" si="1429"/>
        <v>6</v>
      </c>
      <c r="X3049">
        <f t="shared" si="1430"/>
        <v>2009</v>
      </c>
    </row>
    <row r="3050" spans="1:24" ht="12" customHeight="1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  <c r="V3050">
        <f t="shared" si="1431"/>
        <v>20</v>
      </c>
      <c r="W3050">
        <f t="shared" si="1429"/>
        <v>12</v>
      </c>
      <c r="X3050">
        <f t="shared" si="1430"/>
        <v>2010</v>
      </c>
    </row>
    <row r="3051" spans="1:24" ht="12" customHeight="1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  <c r="V3051">
        <f t="shared" si="1431"/>
        <v>28</v>
      </c>
      <c r="W3051">
        <f t="shared" si="1429"/>
        <v>7</v>
      </c>
      <c r="X3051">
        <f t="shared" si="1430"/>
        <v>2010</v>
      </c>
    </row>
    <row r="3052" spans="1:24" ht="12" customHeight="1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  <c r="V3052">
        <f t="shared" si="1431"/>
        <v>12</v>
      </c>
      <c r="W3052">
        <f t="shared" si="1429"/>
        <v>1</v>
      </c>
      <c r="X3052">
        <f t="shared" si="1430"/>
        <v>2009</v>
      </c>
    </row>
    <row r="3053" spans="1:24" ht="12" customHeight="1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  <c r="V3053">
        <f t="shared" si="1431"/>
        <v>19</v>
      </c>
      <c r="W3053">
        <f t="shared" si="1429"/>
        <v>5</v>
      </c>
      <c r="X3053">
        <f t="shared" si="1430"/>
        <v>2010</v>
      </c>
    </row>
    <row r="3054" spans="1:24" ht="12" customHeight="1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  <c r="V3054">
        <f t="shared" si="1431"/>
        <v>15</v>
      </c>
      <c r="W3054">
        <f t="shared" si="1429"/>
        <v>11</v>
      </c>
      <c r="X3054">
        <f t="shared" si="1430"/>
        <v>2009</v>
      </c>
    </row>
    <row r="3055" spans="1:24" ht="12" customHeight="1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  <c r="V3055">
        <f t="shared" si="1431"/>
        <v>22</v>
      </c>
      <c r="W3055">
        <f t="shared" si="1429"/>
        <v>8</v>
      </c>
      <c r="X3055">
        <f t="shared" si="1430"/>
        <v>2009</v>
      </c>
    </row>
    <row r="3056" spans="1:24" ht="12" customHeight="1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440">C3056+2</f>
        <v>40469</v>
      </c>
      <c r="V3056">
        <f t="shared" si="1431"/>
        <v>18</v>
      </c>
      <c r="W3056">
        <f t="shared" si="1429"/>
        <v>10</v>
      </c>
      <c r="X3056">
        <f t="shared" si="1430"/>
        <v>2010</v>
      </c>
    </row>
    <row r="3057" spans="1:24" ht="12" customHeight="1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440"/>
        <v>40625</v>
      </c>
      <c r="V3057">
        <f t="shared" si="1431"/>
        <v>23</v>
      </c>
      <c r="W3057">
        <f t="shared" si="1429"/>
        <v>3</v>
      </c>
      <c r="X3057">
        <f t="shared" si="1430"/>
        <v>2011</v>
      </c>
    </row>
    <row r="3058" spans="1:24" ht="12" customHeight="1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  <c r="V3058">
        <f t="shared" si="1431"/>
        <v>9</v>
      </c>
      <c r="W3058">
        <f t="shared" si="1429"/>
        <v>11</v>
      </c>
      <c r="X3058">
        <f t="shared" si="1430"/>
        <v>2012</v>
      </c>
    </row>
    <row r="3059" spans="1:24" ht="12" customHeight="1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  <c r="V3059">
        <f t="shared" si="1431"/>
        <v>1</v>
      </c>
      <c r="W3059">
        <f t="shared" si="1429"/>
        <v>9</v>
      </c>
      <c r="X3059">
        <f t="shared" si="1430"/>
        <v>2011</v>
      </c>
    </row>
    <row r="3060" spans="1:24" ht="12" customHeight="1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  <c r="V3060">
        <f t="shared" si="1431"/>
        <v>4</v>
      </c>
      <c r="W3060">
        <f t="shared" si="1429"/>
        <v>9</v>
      </c>
      <c r="X3060">
        <f t="shared" si="1430"/>
        <v>2012</v>
      </c>
    </row>
    <row r="3061" spans="1:24" ht="12" customHeight="1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  <c r="V3061">
        <f t="shared" si="1431"/>
        <v>4</v>
      </c>
      <c r="W3061">
        <f t="shared" si="1429"/>
        <v>10</v>
      </c>
      <c r="X3061">
        <f t="shared" si="1430"/>
        <v>2012</v>
      </c>
    </row>
    <row r="3062" spans="1:24" ht="12" customHeight="1">
      <c r="A3062" s="4">
        <v>6389</v>
      </c>
      <c r="B3062" s="4">
        <v>45381</v>
      </c>
      <c r="C3062" s="5">
        <f t="shared" ref="C3062:C3063" si="1441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  <c r="V3062">
        <f t="shared" si="1431"/>
        <v>22</v>
      </c>
      <c r="W3062">
        <f t="shared" si="1429"/>
        <v>8</v>
      </c>
      <c r="X3062">
        <f t="shared" si="1430"/>
        <v>2011</v>
      </c>
    </row>
    <row r="3063" spans="1:24" ht="12" customHeight="1">
      <c r="A3063" s="4">
        <v>6390</v>
      </c>
      <c r="B3063" s="4">
        <v>45381</v>
      </c>
      <c r="C3063" s="5">
        <f t="shared" si="1441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  <c r="V3063">
        <f t="shared" si="1431"/>
        <v>23</v>
      </c>
      <c r="W3063">
        <f t="shared" si="1429"/>
        <v>8</v>
      </c>
      <c r="X3063">
        <f t="shared" si="1430"/>
        <v>2011</v>
      </c>
    </row>
    <row r="3064" spans="1:24" ht="12" customHeight="1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  <c r="V3064">
        <f t="shared" si="1431"/>
        <v>22</v>
      </c>
      <c r="W3064">
        <f t="shared" si="1429"/>
        <v>6</v>
      </c>
      <c r="X3064">
        <f t="shared" si="1430"/>
        <v>2010</v>
      </c>
    </row>
    <row r="3065" spans="1:24" ht="12" customHeight="1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  <c r="V3065">
        <f t="shared" si="1431"/>
        <v>29</v>
      </c>
      <c r="W3065">
        <f t="shared" si="1429"/>
        <v>1</v>
      </c>
      <c r="X3065">
        <f t="shared" si="1430"/>
        <v>2012</v>
      </c>
    </row>
    <row r="3066" spans="1:24" ht="12" customHeight="1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  <c r="V3066">
        <f t="shared" si="1431"/>
        <v>2</v>
      </c>
      <c r="W3066">
        <f t="shared" si="1429"/>
        <v>9</v>
      </c>
      <c r="X3066">
        <f t="shared" si="1430"/>
        <v>2009</v>
      </c>
    </row>
    <row r="3067" spans="1:24" ht="12" customHeight="1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442">C3067+2</f>
        <v>40519</v>
      </c>
      <c r="V3067">
        <f t="shared" si="1431"/>
        <v>7</v>
      </c>
      <c r="W3067">
        <f t="shared" si="1429"/>
        <v>12</v>
      </c>
      <c r="X3067">
        <f t="shared" si="1430"/>
        <v>2010</v>
      </c>
    </row>
    <row r="3068" spans="1:24" ht="12" customHeight="1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442"/>
        <v>40843</v>
      </c>
      <c r="V3068">
        <f t="shared" si="1431"/>
        <v>27</v>
      </c>
      <c r="W3068">
        <f t="shared" si="1429"/>
        <v>10</v>
      </c>
      <c r="X3068">
        <f t="shared" si="1430"/>
        <v>2011</v>
      </c>
    </row>
    <row r="3069" spans="1:24" ht="12" customHeight="1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  <c r="V3069">
        <f t="shared" si="1431"/>
        <v>4</v>
      </c>
      <c r="W3069">
        <f t="shared" si="1429"/>
        <v>3</v>
      </c>
      <c r="X3069">
        <f t="shared" si="1430"/>
        <v>2010</v>
      </c>
    </row>
    <row r="3070" spans="1:24" ht="12" customHeight="1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  <c r="V3070">
        <f t="shared" si="1431"/>
        <v>12</v>
      </c>
      <c r="W3070">
        <f t="shared" si="1429"/>
        <v>3</v>
      </c>
      <c r="X3070">
        <f t="shared" si="1430"/>
        <v>2011</v>
      </c>
    </row>
    <row r="3071" spans="1:24" ht="12" customHeight="1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  <c r="V3071">
        <f t="shared" si="1431"/>
        <v>23</v>
      </c>
      <c r="W3071">
        <f t="shared" si="1429"/>
        <v>2</v>
      </c>
      <c r="X3071">
        <f t="shared" si="1430"/>
        <v>2011</v>
      </c>
    </row>
    <row r="3072" spans="1:24" ht="12" customHeight="1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  <c r="V3072">
        <f t="shared" si="1431"/>
        <v>21</v>
      </c>
      <c r="W3072">
        <f t="shared" si="1429"/>
        <v>7</v>
      </c>
      <c r="X3072">
        <f t="shared" si="1430"/>
        <v>2010</v>
      </c>
    </row>
    <row r="3073" spans="1:24" ht="12" customHeight="1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  <c r="V3073">
        <f t="shared" si="1431"/>
        <v>12</v>
      </c>
      <c r="W3073">
        <f t="shared" si="1429"/>
        <v>9</v>
      </c>
      <c r="X3073">
        <f t="shared" si="1430"/>
        <v>2009</v>
      </c>
    </row>
    <row r="3074" spans="1:24" ht="12" customHeight="1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443">C3074+1</f>
        <v>40589</v>
      </c>
      <c r="V3074">
        <f t="shared" si="1431"/>
        <v>15</v>
      </c>
      <c r="W3074">
        <f t="shared" si="1429"/>
        <v>2</v>
      </c>
      <c r="X3074">
        <f t="shared" si="1430"/>
        <v>2011</v>
      </c>
    </row>
    <row r="3075" spans="1:24" ht="12" customHeight="1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443"/>
        <v>41178</v>
      </c>
      <c r="V3075">
        <f t="shared" si="1431"/>
        <v>26</v>
      </c>
      <c r="W3075">
        <f t="shared" ref="W3075:W3138" si="1444">MONTH(U3075)</f>
        <v>9</v>
      </c>
      <c r="X3075">
        <f t="shared" ref="X3075:X3138" si="1445">YEAR(U3075)</f>
        <v>2012</v>
      </c>
    </row>
    <row r="3076" spans="1:24" ht="12" customHeight="1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446">C3076+2</f>
        <v>40860</v>
      </c>
      <c r="V3076">
        <f t="shared" ref="V3076:V3139" si="1447">DAY(U3076)</f>
        <v>13</v>
      </c>
      <c r="W3076">
        <f t="shared" si="1444"/>
        <v>11</v>
      </c>
      <c r="X3076">
        <f t="shared" si="1445"/>
        <v>2011</v>
      </c>
    </row>
    <row r="3077" spans="1:24" ht="12" customHeight="1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446"/>
        <v>39990</v>
      </c>
      <c r="V3077">
        <f t="shared" si="1447"/>
        <v>26</v>
      </c>
      <c r="W3077">
        <f t="shared" si="1444"/>
        <v>6</v>
      </c>
      <c r="X3077">
        <f t="shared" si="1445"/>
        <v>2009</v>
      </c>
    </row>
    <row r="3078" spans="1:24" ht="12" customHeight="1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448">C3078+1</f>
        <v>40752</v>
      </c>
      <c r="V3078">
        <f t="shared" si="1447"/>
        <v>28</v>
      </c>
      <c r="W3078">
        <f t="shared" si="1444"/>
        <v>7</v>
      </c>
      <c r="X3078">
        <f t="shared" si="1445"/>
        <v>2011</v>
      </c>
    </row>
    <row r="3079" spans="1:24" ht="12" customHeight="1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448"/>
        <v>40954</v>
      </c>
      <c r="V3079">
        <f t="shared" si="1447"/>
        <v>15</v>
      </c>
      <c r="W3079">
        <f t="shared" si="1444"/>
        <v>2</v>
      </c>
      <c r="X3079">
        <f t="shared" si="1445"/>
        <v>2012</v>
      </c>
    </row>
    <row r="3080" spans="1:24" ht="12" customHeight="1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448"/>
        <v>41247</v>
      </c>
      <c r="V3080">
        <f t="shared" si="1447"/>
        <v>4</v>
      </c>
      <c r="W3080">
        <f t="shared" si="1444"/>
        <v>12</v>
      </c>
      <c r="X3080">
        <f t="shared" si="1445"/>
        <v>2012</v>
      </c>
    </row>
    <row r="3081" spans="1:24" ht="12" customHeight="1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448"/>
        <v>40849</v>
      </c>
      <c r="V3081">
        <f t="shared" si="1447"/>
        <v>2</v>
      </c>
      <c r="W3081">
        <f t="shared" si="1444"/>
        <v>11</v>
      </c>
      <c r="X3081">
        <f t="shared" si="1445"/>
        <v>2011</v>
      </c>
    </row>
    <row r="3082" spans="1:24" ht="12" customHeight="1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  <c r="V3082">
        <f t="shared" si="1447"/>
        <v>29</v>
      </c>
      <c r="W3082">
        <f t="shared" si="1444"/>
        <v>5</v>
      </c>
      <c r="X3082">
        <f t="shared" si="1445"/>
        <v>2011</v>
      </c>
    </row>
    <row r="3083" spans="1:24" ht="12" customHeight="1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  <c r="V3083">
        <f t="shared" si="1447"/>
        <v>27</v>
      </c>
      <c r="W3083">
        <f t="shared" si="1444"/>
        <v>4</v>
      </c>
      <c r="X3083">
        <f t="shared" si="1445"/>
        <v>2012</v>
      </c>
    </row>
    <row r="3084" spans="1:24" ht="12" customHeight="1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  <c r="V3084">
        <f t="shared" si="1447"/>
        <v>15</v>
      </c>
      <c r="W3084">
        <f t="shared" si="1444"/>
        <v>1</v>
      </c>
      <c r="X3084">
        <f t="shared" si="1445"/>
        <v>2010</v>
      </c>
    </row>
    <row r="3085" spans="1:24" ht="12" customHeight="1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  <c r="V3085">
        <f t="shared" si="1447"/>
        <v>5</v>
      </c>
      <c r="W3085">
        <f t="shared" si="1444"/>
        <v>3</v>
      </c>
      <c r="X3085">
        <f t="shared" si="1445"/>
        <v>2012</v>
      </c>
    </row>
    <row r="3086" spans="1:24" ht="12" customHeight="1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  <c r="V3086">
        <f t="shared" si="1447"/>
        <v>13</v>
      </c>
      <c r="W3086">
        <f t="shared" si="1444"/>
        <v>1</v>
      </c>
      <c r="X3086">
        <f t="shared" si="1445"/>
        <v>2010</v>
      </c>
    </row>
    <row r="3087" spans="1:24" ht="12" customHeight="1">
      <c r="A3087" s="4">
        <v>58</v>
      </c>
      <c r="B3087" s="4">
        <v>326</v>
      </c>
      <c r="C3087" s="5">
        <f t="shared" ref="C3087:C3088" si="1449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450">C3087+1</f>
        <v>40698</v>
      </c>
      <c r="V3087">
        <f t="shared" si="1447"/>
        <v>4</v>
      </c>
      <c r="W3087">
        <f t="shared" si="1444"/>
        <v>6</v>
      </c>
      <c r="X3087">
        <f t="shared" si="1445"/>
        <v>2011</v>
      </c>
    </row>
    <row r="3088" spans="1:24" ht="12" customHeight="1">
      <c r="A3088" s="4">
        <v>59</v>
      </c>
      <c r="B3088" s="4">
        <v>326</v>
      </c>
      <c r="C3088" s="5">
        <f t="shared" si="1449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450"/>
        <v>40698</v>
      </c>
      <c r="V3088">
        <f t="shared" si="1447"/>
        <v>4</v>
      </c>
      <c r="W3088">
        <f t="shared" si="1444"/>
        <v>6</v>
      </c>
      <c r="X3088">
        <f t="shared" si="1445"/>
        <v>2011</v>
      </c>
    </row>
    <row r="3089" spans="1:24" ht="12" customHeight="1">
      <c r="A3089" s="4">
        <v>99</v>
      </c>
      <c r="B3089" s="4">
        <v>614</v>
      </c>
      <c r="C3089" s="5">
        <f t="shared" ref="C3089:C3090" si="1451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  <c r="V3089">
        <f t="shared" si="1447"/>
        <v>2</v>
      </c>
      <c r="W3089">
        <f t="shared" si="1444"/>
        <v>12</v>
      </c>
      <c r="X3089">
        <f t="shared" si="1445"/>
        <v>2012</v>
      </c>
    </row>
    <row r="3090" spans="1:24" ht="12" customHeight="1">
      <c r="A3090" s="4">
        <v>100</v>
      </c>
      <c r="B3090" s="4">
        <v>614</v>
      </c>
      <c r="C3090" s="5">
        <f t="shared" si="1451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  <c r="V3090">
        <f t="shared" si="1447"/>
        <v>1</v>
      </c>
      <c r="W3090">
        <f t="shared" si="1444"/>
        <v>12</v>
      </c>
      <c r="X3090">
        <f t="shared" si="1445"/>
        <v>2012</v>
      </c>
    </row>
    <row r="3091" spans="1:24" ht="12" customHeight="1">
      <c r="A3091" s="4">
        <v>139</v>
      </c>
      <c r="B3091" s="4">
        <v>898</v>
      </c>
      <c r="C3091" s="5">
        <f t="shared" ref="C3091:C3092" si="1452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  <c r="V3091">
        <f t="shared" si="1447"/>
        <v>4</v>
      </c>
      <c r="W3091">
        <f t="shared" si="1444"/>
        <v>6</v>
      </c>
      <c r="X3091">
        <f t="shared" si="1445"/>
        <v>2010</v>
      </c>
    </row>
    <row r="3092" spans="1:24" ht="12" customHeight="1">
      <c r="A3092" s="4">
        <v>140</v>
      </c>
      <c r="B3092" s="4">
        <v>898</v>
      </c>
      <c r="C3092" s="5">
        <f t="shared" si="1452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  <c r="V3092">
        <f t="shared" si="1447"/>
        <v>2</v>
      </c>
      <c r="W3092">
        <f t="shared" si="1444"/>
        <v>6</v>
      </c>
      <c r="X3092">
        <f t="shared" si="1445"/>
        <v>2010</v>
      </c>
    </row>
    <row r="3093" spans="1:24" ht="12" customHeight="1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  <c r="V3093">
        <f t="shared" si="1447"/>
        <v>2</v>
      </c>
      <c r="W3093">
        <f t="shared" si="1444"/>
        <v>9</v>
      </c>
      <c r="X3093">
        <f t="shared" si="1445"/>
        <v>2009</v>
      </c>
    </row>
    <row r="3094" spans="1:24" ht="12" customHeight="1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  <c r="V3094">
        <f t="shared" si="1447"/>
        <v>17</v>
      </c>
      <c r="W3094">
        <f t="shared" si="1444"/>
        <v>10</v>
      </c>
      <c r="X3094">
        <f t="shared" si="1445"/>
        <v>2012</v>
      </c>
    </row>
    <row r="3095" spans="1:24" ht="12" customHeight="1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  <c r="V3095">
        <f t="shared" si="1447"/>
        <v>4</v>
      </c>
      <c r="W3095">
        <f t="shared" si="1444"/>
        <v>6</v>
      </c>
      <c r="X3095">
        <f t="shared" si="1445"/>
        <v>2009</v>
      </c>
    </row>
    <row r="3096" spans="1:24" ht="12" customHeight="1">
      <c r="A3096" s="4">
        <v>320</v>
      </c>
      <c r="B3096" s="4">
        <v>2211</v>
      </c>
      <c r="C3096" s="5">
        <f t="shared" ref="C3096:C3098" si="1453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  <c r="V3096">
        <f t="shared" si="1447"/>
        <v>30</v>
      </c>
      <c r="W3096">
        <f t="shared" si="1444"/>
        <v>6</v>
      </c>
      <c r="X3096">
        <f t="shared" si="1445"/>
        <v>2009</v>
      </c>
    </row>
    <row r="3097" spans="1:24" ht="12" customHeight="1">
      <c r="A3097" s="4">
        <v>321</v>
      </c>
      <c r="B3097" s="4">
        <v>2211</v>
      </c>
      <c r="C3097" s="5">
        <f t="shared" si="1453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454">C3097+2</f>
        <v>39995</v>
      </c>
      <c r="V3097">
        <f t="shared" si="1447"/>
        <v>1</v>
      </c>
      <c r="W3097">
        <f t="shared" si="1444"/>
        <v>7</v>
      </c>
      <c r="X3097">
        <f t="shared" si="1445"/>
        <v>2009</v>
      </c>
    </row>
    <row r="3098" spans="1:24" ht="12" customHeight="1">
      <c r="A3098" s="4">
        <v>322</v>
      </c>
      <c r="B3098" s="4">
        <v>2211</v>
      </c>
      <c r="C3098" s="5">
        <f t="shared" si="1453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454"/>
        <v>39995</v>
      </c>
      <c r="V3098">
        <f t="shared" si="1447"/>
        <v>1</v>
      </c>
      <c r="W3098">
        <f t="shared" si="1444"/>
        <v>7</v>
      </c>
      <c r="X3098">
        <f t="shared" si="1445"/>
        <v>2009</v>
      </c>
    </row>
    <row r="3099" spans="1:24" ht="12" customHeight="1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  <c r="V3099">
        <f t="shared" si="1447"/>
        <v>28</v>
      </c>
      <c r="W3099">
        <f t="shared" si="1444"/>
        <v>6</v>
      </c>
      <c r="X3099">
        <f t="shared" si="1445"/>
        <v>2010</v>
      </c>
    </row>
    <row r="3100" spans="1:24" ht="12" customHeight="1">
      <c r="A3100" s="4">
        <v>345</v>
      </c>
      <c r="B3100" s="4">
        <v>2370</v>
      </c>
      <c r="C3100" s="5">
        <f t="shared" ref="C3100:C3101" si="1455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456">C3100+2</f>
        <v>39831</v>
      </c>
      <c r="V3100">
        <f t="shared" si="1447"/>
        <v>18</v>
      </c>
      <c r="W3100">
        <f t="shared" si="1444"/>
        <v>1</v>
      </c>
      <c r="X3100">
        <f t="shared" si="1445"/>
        <v>2009</v>
      </c>
    </row>
    <row r="3101" spans="1:24" ht="12" customHeight="1">
      <c r="A3101" s="4">
        <v>346</v>
      </c>
      <c r="B3101" s="4">
        <v>2370</v>
      </c>
      <c r="C3101" s="5">
        <f t="shared" si="1455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456"/>
        <v>39831</v>
      </c>
      <c r="V3101">
        <f t="shared" si="1447"/>
        <v>18</v>
      </c>
      <c r="W3101">
        <f t="shared" si="1444"/>
        <v>1</v>
      </c>
      <c r="X3101">
        <f t="shared" si="1445"/>
        <v>2009</v>
      </c>
    </row>
    <row r="3102" spans="1:24" ht="12" customHeight="1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456"/>
        <v>40481</v>
      </c>
      <c r="V3102">
        <f t="shared" si="1447"/>
        <v>30</v>
      </c>
      <c r="W3102">
        <f t="shared" si="1444"/>
        <v>10</v>
      </c>
      <c r="X3102">
        <f t="shared" si="1445"/>
        <v>2010</v>
      </c>
    </row>
    <row r="3103" spans="1:24" ht="12" customHeight="1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  <c r="V3103">
        <f t="shared" si="1447"/>
        <v>8</v>
      </c>
      <c r="W3103">
        <f t="shared" si="1444"/>
        <v>2</v>
      </c>
      <c r="X3103">
        <f t="shared" si="1445"/>
        <v>2009</v>
      </c>
    </row>
    <row r="3104" spans="1:24" ht="12" customHeight="1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  <c r="V3104">
        <f t="shared" si="1447"/>
        <v>11</v>
      </c>
      <c r="W3104">
        <f t="shared" si="1444"/>
        <v>11</v>
      </c>
      <c r="X3104">
        <f t="shared" si="1445"/>
        <v>2011</v>
      </c>
    </row>
    <row r="3105" spans="1:24" ht="12" customHeight="1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  <c r="V3105">
        <f t="shared" si="1447"/>
        <v>17</v>
      </c>
      <c r="W3105">
        <f t="shared" si="1444"/>
        <v>3</v>
      </c>
      <c r="X3105">
        <f t="shared" si="1445"/>
        <v>2012</v>
      </c>
    </row>
    <row r="3106" spans="1:24" ht="12" customHeight="1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  <c r="V3106">
        <f t="shared" si="1447"/>
        <v>2</v>
      </c>
      <c r="W3106">
        <f t="shared" si="1444"/>
        <v>10</v>
      </c>
      <c r="X3106">
        <f t="shared" si="1445"/>
        <v>2009</v>
      </c>
    </row>
    <row r="3107" spans="1:24" ht="12" customHeight="1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  <c r="V3107">
        <f t="shared" si="1447"/>
        <v>12</v>
      </c>
      <c r="W3107">
        <f t="shared" si="1444"/>
        <v>6</v>
      </c>
      <c r="X3107">
        <f t="shared" si="1445"/>
        <v>2009</v>
      </c>
    </row>
    <row r="3108" spans="1:24" ht="12" customHeight="1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  <c r="V3108">
        <f t="shared" si="1447"/>
        <v>19</v>
      </c>
      <c r="W3108">
        <f t="shared" si="1444"/>
        <v>1</v>
      </c>
      <c r="X3108">
        <f t="shared" si="1445"/>
        <v>2012</v>
      </c>
    </row>
    <row r="3109" spans="1:24" ht="12" customHeight="1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457">C3109+1</f>
        <v>40262</v>
      </c>
      <c r="V3109">
        <f t="shared" si="1447"/>
        <v>25</v>
      </c>
      <c r="W3109">
        <f t="shared" si="1444"/>
        <v>3</v>
      </c>
      <c r="X3109">
        <f t="shared" si="1445"/>
        <v>2010</v>
      </c>
    </row>
    <row r="3110" spans="1:24" ht="12" customHeight="1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457"/>
        <v>40870</v>
      </c>
      <c r="V3110">
        <f t="shared" si="1447"/>
        <v>23</v>
      </c>
      <c r="W3110">
        <f t="shared" si="1444"/>
        <v>11</v>
      </c>
      <c r="X3110">
        <f t="shared" si="1445"/>
        <v>2011</v>
      </c>
    </row>
    <row r="3111" spans="1:24" ht="12" customHeight="1">
      <c r="A3111" s="4">
        <v>898</v>
      </c>
      <c r="B3111" s="4">
        <v>6464</v>
      </c>
      <c r="C3111" s="5">
        <f t="shared" ref="C3111:C3112" si="1458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459">C3111+2</f>
        <v>39963</v>
      </c>
      <c r="V3111">
        <f t="shared" si="1447"/>
        <v>30</v>
      </c>
      <c r="W3111">
        <f t="shared" si="1444"/>
        <v>5</v>
      </c>
      <c r="X3111">
        <f t="shared" si="1445"/>
        <v>2009</v>
      </c>
    </row>
    <row r="3112" spans="1:24" ht="12" customHeight="1">
      <c r="A3112" s="4">
        <v>899</v>
      </c>
      <c r="B3112" s="4">
        <v>6464</v>
      </c>
      <c r="C3112" s="5">
        <f t="shared" si="1458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459"/>
        <v>39963</v>
      </c>
      <c r="V3112">
        <f t="shared" si="1447"/>
        <v>30</v>
      </c>
      <c r="W3112">
        <f t="shared" si="1444"/>
        <v>5</v>
      </c>
      <c r="X3112">
        <f t="shared" si="1445"/>
        <v>2009</v>
      </c>
    </row>
    <row r="3113" spans="1:24" ht="12" customHeight="1">
      <c r="A3113" s="4">
        <v>1064</v>
      </c>
      <c r="B3113" s="4">
        <v>7846</v>
      </c>
      <c r="C3113" s="5">
        <f t="shared" ref="C3113:C3116" si="1460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461">C3113+5</f>
        <v>40724</v>
      </c>
      <c r="V3113">
        <f t="shared" si="1447"/>
        <v>30</v>
      </c>
      <c r="W3113">
        <f t="shared" si="1444"/>
        <v>6</v>
      </c>
      <c r="X3113">
        <f t="shared" si="1445"/>
        <v>2011</v>
      </c>
    </row>
    <row r="3114" spans="1:24" ht="12" customHeight="1">
      <c r="A3114" s="4">
        <v>1065</v>
      </c>
      <c r="B3114" s="4">
        <v>7846</v>
      </c>
      <c r="C3114" s="5">
        <f t="shared" si="1460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461"/>
        <v>40724</v>
      </c>
      <c r="V3114">
        <f t="shared" si="1447"/>
        <v>30</v>
      </c>
      <c r="W3114">
        <f t="shared" si="1444"/>
        <v>6</v>
      </c>
      <c r="X3114">
        <f t="shared" si="1445"/>
        <v>2011</v>
      </c>
    </row>
    <row r="3115" spans="1:24" ht="12" customHeight="1">
      <c r="A3115" s="4">
        <v>1066</v>
      </c>
      <c r="B3115" s="4">
        <v>7846</v>
      </c>
      <c r="C3115" s="5">
        <f t="shared" si="1460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  <c r="V3115">
        <f t="shared" si="1447"/>
        <v>2</v>
      </c>
      <c r="W3115">
        <f t="shared" si="1444"/>
        <v>7</v>
      </c>
      <c r="X3115">
        <f t="shared" si="1445"/>
        <v>2011</v>
      </c>
    </row>
    <row r="3116" spans="1:24" ht="12" customHeight="1">
      <c r="A3116" s="4">
        <v>1067</v>
      </c>
      <c r="B3116" s="4">
        <v>7846</v>
      </c>
      <c r="C3116" s="5">
        <f t="shared" si="1460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462">C3116+0</f>
        <v>40719</v>
      </c>
      <c r="V3116">
        <f t="shared" si="1447"/>
        <v>25</v>
      </c>
      <c r="W3116">
        <f t="shared" si="1444"/>
        <v>6</v>
      </c>
      <c r="X3116">
        <f t="shared" si="1445"/>
        <v>2011</v>
      </c>
    </row>
    <row r="3117" spans="1:24" ht="12" customHeight="1">
      <c r="A3117" s="4">
        <v>1077</v>
      </c>
      <c r="B3117" s="4">
        <v>7936</v>
      </c>
      <c r="C3117" s="5">
        <f t="shared" ref="C3117:C3118" si="1463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462"/>
        <v>40273</v>
      </c>
      <c r="V3117">
        <f t="shared" si="1447"/>
        <v>5</v>
      </c>
      <c r="W3117">
        <f t="shared" si="1444"/>
        <v>4</v>
      </c>
      <c r="X3117">
        <f t="shared" si="1445"/>
        <v>2010</v>
      </c>
    </row>
    <row r="3118" spans="1:24" ht="12" customHeight="1">
      <c r="A3118" s="4">
        <v>1078</v>
      </c>
      <c r="B3118" s="4">
        <v>7936</v>
      </c>
      <c r="C3118" s="5">
        <f t="shared" si="1463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  <c r="V3118">
        <f t="shared" si="1447"/>
        <v>10</v>
      </c>
      <c r="W3118">
        <f t="shared" si="1444"/>
        <v>4</v>
      </c>
      <c r="X3118">
        <f t="shared" si="1445"/>
        <v>2010</v>
      </c>
    </row>
    <row r="3119" spans="1:24" ht="12" customHeight="1">
      <c r="A3119" s="4">
        <v>1118</v>
      </c>
      <c r="B3119" s="4">
        <v>8195</v>
      </c>
      <c r="C3119" s="5">
        <f t="shared" ref="C3119:C3121" si="1464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  <c r="V3119">
        <f t="shared" si="1447"/>
        <v>7</v>
      </c>
      <c r="W3119">
        <f t="shared" si="1444"/>
        <v>1</v>
      </c>
      <c r="X3119">
        <f t="shared" si="1445"/>
        <v>2011</v>
      </c>
    </row>
    <row r="3120" spans="1:24" ht="12" customHeight="1">
      <c r="A3120" s="4">
        <v>1119</v>
      </c>
      <c r="B3120" s="4">
        <v>8195</v>
      </c>
      <c r="C3120" s="5">
        <f t="shared" si="1464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  <c r="V3120">
        <f t="shared" si="1447"/>
        <v>8</v>
      </c>
      <c r="W3120">
        <f t="shared" si="1444"/>
        <v>1</v>
      </c>
      <c r="X3120">
        <f t="shared" si="1445"/>
        <v>2011</v>
      </c>
    </row>
    <row r="3121" spans="1:24" ht="12" customHeight="1">
      <c r="A3121" s="4">
        <v>1120</v>
      </c>
      <c r="B3121" s="4">
        <v>8195</v>
      </c>
      <c r="C3121" s="5">
        <f t="shared" si="1464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  <c r="V3121">
        <f t="shared" si="1447"/>
        <v>7</v>
      </c>
      <c r="W3121">
        <f t="shared" si="1444"/>
        <v>1</v>
      </c>
      <c r="X3121">
        <f t="shared" si="1445"/>
        <v>2011</v>
      </c>
    </row>
    <row r="3122" spans="1:24" ht="12" customHeight="1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  <c r="V3122">
        <f t="shared" si="1447"/>
        <v>15</v>
      </c>
      <c r="W3122">
        <f t="shared" si="1444"/>
        <v>8</v>
      </c>
      <c r="X3122">
        <f t="shared" si="1445"/>
        <v>2012</v>
      </c>
    </row>
    <row r="3123" spans="1:24" ht="12" customHeight="1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  <c r="V3123">
        <f t="shared" si="1447"/>
        <v>24</v>
      </c>
      <c r="W3123">
        <f t="shared" si="1444"/>
        <v>12</v>
      </c>
      <c r="X3123">
        <f t="shared" si="1445"/>
        <v>2009</v>
      </c>
    </row>
    <row r="3124" spans="1:24" ht="12" customHeight="1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  <c r="V3124">
        <f t="shared" si="1447"/>
        <v>18</v>
      </c>
      <c r="W3124">
        <f t="shared" si="1444"/>
        <v>8</v>
      </c>
      <c r="X3124">
        <f t="shared" si="1445"/>
        <v>2012</v>
      </c>
    </row>
    <row r="3125" spans="1:24" ht="12" customHeight="1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  <c r="V3125">
        <f t="shared" si="1447"/>
        <v>19</v>
      </c>
      <c r="W3125">
        <f t="shared" si="1444"/>
        <v>6</v>
      </c>
      <c r="X3125">
        <f t="shared" si="1445"/>
        <v>2011</v>
      </c>
    </row>
    <row r="3126" spans="1:24" ht="12" customHeight="1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  <c r="V3126">
        <f t="shared" si="1447"/>
        <v>17</v>
      </c>
      <c r="W3126">
        <f t="shared" si="1444"/>
        <v>3</v>
      </c>
      <c r="X3126">
        <f t="shared" si="1445"/>
        <v>2009</v>
      </c>
    </row>
    <row r="3127" spans="1:24" ht="12" customHeight="1">
      <c r="A3127" s="4">
        <v>1388</v>
      </c>
      <c r="B3127" s="4">
        <v>10054</v>
      </c>
      <c r="C3127" s="5">
        <f t="shared" ref="C3127:C3128" si="1465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  <c r="V3127">
        <f t="shared" si="1447"/>
        <v>30</v>
      </c>
      <c r="W3127">
        <f t="shared" si="1444"/>
        <v>4</v>
      </c>
      <c r="X3127">
        <f t="shared" si="1445"/>
        <v>2011</v>
      </c>
    </row>
    <row r="3128" spans="1:24" ht="12" customHeight="1">
      <c r="A3128" s="4">
        <v>1389</v>
      </c>
      <c r="B3128" s="4">
        <v>10054</v>
      </c>
      <c r="C3128" s="5">
        <f t="shared" si="1465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  <c r="V3128">
        <f t="shared" si="1447"/>
        <v>28</v>
      </c>
      <c r="W3128">
        <f t="shared" si="1444"/>
        <v>4</v>
      </c>
      <c r="X3128">
        <f t="shared" si="1445"/>
        <v>2011</v>
      </c>
    </row>
    <row r="3129" spans="1:24" ht="12" customHeight="1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  <c r="V3129">
        <f t="shared" si="1447"/>
        <v>1</v>
      </c>
      <c r="W3129">
        <f t="shared" si="1444"/>
        <v>3</v>
      </c>
      <c r="X3129">
        <f t="shared" si="1445"/>
        <v>2010</v>
      </c>
    </row>
    <row r="3130" spans="1:24" ht="12" customHeight="1">
      <c r="A3130" s="4">
        <v>1472</v>
      </c>
      <c r="B3130" s="4">
        <v>10629</v>
      </c>
      <c r="C3130" s="5">
        <f t="shared" ref="C3130:C3131" si="1466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467">C3130+2</f>
        <v>40069</v>
      </c>
      <c r="V3130">
        <f t="shared" si="1447"/>
        <v>13</v>
      </c>
      <c r="W3130">
        <f t="shared" si="1444"/>
        <v>9</v>
      </c>
      <c r="X3130">
        <f t="shared" si="1445"/>
        <v>2009</v>
      </c>
    </row>
    <row r="3131" spans="1:24" ht="12" customHeight="1">
      <c r="A3131" s="4">
        <v>1473</v>
      </c>
      <c r="B3131" s="4">
        <v>10629</v>
      </c>
      <c r="C3131" s="5">
        <f t="shared" si="1466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467"/>
        <v>40069</v>
      </c>
      <c r="V3131">
        <f t="shared" si="1447"/>
        <v>13</v>
      </c>
      <c r="W3131">
        <f t="shared" si="1444"/>
        <v>9</v>
      </c>
      <c r="X3131">
        <f t="shared" si="1445"/>
        <v>2009</v>
      </c>
    </row>
    <row r="3132" spans="1:24" ht="12" customHeight="1">
      <c r="A3132" s="4">
        <v>1493</v>
      </c>
      <c r="B3132" s="4">
        <v>10784</v>
      </c>
      <c r="C3132" s="5">
        <f t="shared" ref="C3132:C3133" si="1468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  <c r="V3132">
        <f t="shared" si="1447"/>
        <v>6</v>
      </c>
      <c r="W3132">
        <f t="shared" si="1444"/>
        <v>7</v>
      </c>
      <c r="X3132">
        <f t="shared" si="1445"/>
        <v>2010</v>
      </c>
    </row>
    <row r="3133" spans="1:24" ht="12" customHeight="1">
      <c r="A3133" s="4">
        <v>1494</v>
      </c>
      <c r="B3133" s="4">
        <v>10784</v>
      </c>
      <c r="C3133" s="5">
        <f t="shared" si="1468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  <c r="V3133">
        <f t="shared" si="1447"/>
        <v>7</v>
      </c>
      <c r="W3133">
        <f t="shared" si="1444"/>
        <v>7</v>
      </c>
      <c r="X3133">
        <f t="shared" si="1445"/>
        <v>2010</v>
      </c>
    </row>
    <row r="3134" spans="1:24" ht="12" customHeight="1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469">C3134+0</f>
        <v>41072</v>
      </c>
      <c r="V3134">
        <f t="shared" si="1447"/>
        <v>12</v>
      </c>
      <c r="W3134">
        <f t="shared" si="1444"/>
        <v>6</v>
      </c>
      <c r="X3134">
        <f t="shared" si="1445"/>
        <v>2012</v>
      </c>
    </row>
    <row r="3135" spans="1:24" ht="12" customHeight="1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469"/>
        <v>40264</v>
      </c>
      <c r="V3135">
        <f t="shared" si="1447"/>
        <v>27</v>
      </c>
      <c r="W3135">
        <f t="shared" si="1444"/>
        <v>3</v>
      </c>
      <c r="X3135">
        <f t="shared" si="1445"/>
        <v>2010</v>
      </c>
    </row>
    <row r="3136" spans="1:24" ht="12" customHeight="1">
      <c r="A3136" s="4">
        <v>1585</v>
      </c>
      <c r="B3136" s="4">
        <v>11429</v>
      </c>
      <c r="C3136" s="5">
        <f t="shared" ref="C3136:C3137" si="1470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  <c r="V3136">
        <f t="shared" si="1447"/>
        <v>7</v>
      </c>
      <c r="W3136">
        <f t="shared" si="1444"/>
        <v>3</v>
      </c>
      <c r="X3136">
        <f t="shared" si="1445"/>
        <v>2010</v>
      </c>
    </row>
    <row r="3137" spans="1:24" ht="12" customHeight="1">
      <c r="A3137" s="4">
        <v>1586</v>
      </c>
      <c r="B3137" s="4">
        <v>11429</v>
      </c>
      <c r="C3137" s="5">
        <f t="shared" si="1470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471">C3137+2</f>
        <v>40242</v>
      </c>
      <c r="V3137">
        <f t="shared" si="1447"/>
        <v>5</v>
      </c>
      <c r="W3137">
        <f t="shared" si="1444"/>
        <v>3</v>
      </c>
      <c r="X3137">
        <f t="shared" si="1445"/>
        <v>2010</v>
      </c>
    </row>
    <row r="3138" spans="1:24" ht="12" customHeight="1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471"/>
        <v>41178</v>
      </c>
      <c r="V3138">
        <f t="shared" si="1447"/>
        <v>26</v>
      </c>
      <c r="W3138">
        <f t="shared" si="1444"/>
        <v>9</v>
      </c>
      <c r="X3138">
        <f t="shared" si="1445"/>
        <v>2012</v>
      </c>
    </row>
    <row r="3139" spans="1:24" ht="12" customHeight="1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  <c r="V3139">
        <f t="shared" si="1447"/>
        <v>2</v>
      </c>
      <c r="W3139">
        <f t="shared" ref="W3139:W3202" si="1472">MONTH(U3139)</f>
        <v>12</v>
      </c>
      <c r="X3139">
        <f t="shared" ref="X3139:X3202" si="1473">YEAR(U3139)</f>
        <v>2012</v>
      </c>
    </row>
    <row r="3140" spans="1:24" ht="12" customHeight="1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  <c r="V3140">
        <f t="shared" ref="V3140:V3203" si="1474">DAY(U3140)</f>
        <v>24</v>
      </c>
      <c r="W3140">
        <f t="shared" si="1472"/>
        <v>4</v>
      </c>
      <c r="X3140">
        <f t="shared" si="1473"/>
        <v>2010</v>
      </c>
    </row>
    <row r="3141" spans="1:24" ht="12" customHeight="1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475">C3141+0</f>
        <v>40772</v>
      </c>
      <c r="V3141">
        <f t="shared" si="1474"/>
        <v>17</v>
      </c>
      <c r="W3141">
        <f t="shared" si="1472"/>
        <v>8</v>
      </c>
      <c r="X3141">
        <f t="shared" si="1473"/>
        <v>2011</v>
      </c>
    </row>
    <row r="3142" spans="1:24" ht="12" customHeight="1">
      <c r="A3142" s="4">
        <v>1905</v>
      </c>
      <c r="B3142" s="4">
        <v>13634</v>
      </c>
      <c r="C3142" s="5">
        <f t="shared" ref="C3142:C3143" si="147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475"/>
        <v>40651</v>
      </c>
      <c r="V3142">
        <f t="shared" si="1474"/>
        <v>18</v>
      </c>
      <c r="W3142">
        <f t="shared" si="1472"/>
        <v>4</v>
      </c>
      <c r="X3142">
        <f t="shared" si="1473"/>
        <v>2011</v>
      </c>
    </row>
    <row r="3143" spans="1:24" ht="12" customHeight="1">
      <c r="A3143" s="4">
        <v>1906</v>
      </c>
      <c r="B3143" s="4">
        <v>13634</v>
      </c>
      <c r="C3143" s="5">
        <f t="shared" si="147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  <c r="V3143">
        <f t="shared" si="1474"/>
        <v>19</v>
      </c>
      <c r="W3143">
        <f t="shared" si="1472"/>
        <v>4</v>
      </c>
      <c r="X3143">
        <f t="shared" si="1473"/>
        <v>2011</v>
      </c>
    </row>
    <row r="3144" spans="1:24" ht="12" customHeight="1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477">C3144+2</f>
        <v>39816</v>
      </c>
      <c r="V3144">
        <f t="shared" si="1474"/>
        <v>3</v>
      </c>
      <c r="W3144">
        <f t="shared" si="1472"/>
        <v>1</v>
      </c>
      <c r="X3144">
        <f t="shared" si="1473"/>
        <v>2009</v>
      </c>
    </row>
    <row r="3145" spans="1:24" ht="12" customHeight="1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477"/>
        <v>40674</v>
      </c>
      <c r="V3145">
        <f t="shared" si="1474"/>
        <v>11</v>
      </c>
      <c r="W3145">
        <f t="shared" si="1472"/>
        <v>5</v>
      </c>
      <c r="X3145">
        <f t="shared" si="1473"/>
        <v>2011</v>
      </c>
    </row>
    <row r="3146" spans="1:24" ht="12" customHeight="1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477"/>
        <v>40761</v>
      </c>
      <c r="V3146">
        <f t="shared" si="1474"/>
        <v>6</v>
      </c>
      <c r="W3146">
        <f t="shared" si="1472"/>
        <v>8</v>
      </c>
      <c r="X3146">
        <f t="shared" si="1473"/>
        <v>2011</v>
      </c>
    </row>
    <row r="3147" spans="1:24" ht="12" customHeight="1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477"/>
        <v>41088</v>
      </c>
      <c r="V3147">
        <f t="shared" si="1474"/>
        <v>28</v>
      </c>
      <c r="W3147">
        <f t="shared" si="1472"/>
        <v>6</v>
      </c>
      <c r="X3147">
        <f t="shared" si="1473"/>
        <v>2012</v>
      </c>
    </row>
    <row r="3148" spans="1:24" ht="12" customHeight="1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477"/>
        <v>40953</v>
      </c>
      <c r="V3148">
        <f t="shared" si="1474"/>
        <v>14</v>
      </c>
      <c r="W3148">
        <f t="shared" si="1472"/>
        <v>2</v>
      </c>
      <c r="X3148">
        <f t="shared" si="1473"/>
        <v>2012</v>
      </c>
    </row>
    <row r="3149" spans="1:24" ht="12" customHeight="1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477"/>
        <v>40761</v>
      </c>
      <c r="V3149">
        <f t="shared" si="1474"/>
        <v>6</v>
      </c>
      <c r="W3149">
        <f t="shared" si="1472"/>
        <v>8</v>
      </c>
      <c r="X3149">
        <f t="shared" si="1473"/>
        <v>2011</v>
      </c>
    </row>
    <row r="3150" spans="1:24" ht="12" customHeight="1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477"/>
        <v>40889</v>
      </c>
      <c r="V3150">
        <f t="shared" si="1474"/>
        <v>12</v>
      </c>
      <c r="W3150">
        <f t="shared" si="1472"/>
        <v>12</v>
      </c>
      <c r="X3150">
        <f t="shared" si="1473"/>
        <v>2011</v>
      </c>
    </row>
    <row r="3151" spans="1:24" ht="12" customHeight="1">
      <c r="A3151" s="4">
        <v>2479</v>
      </c>
      <c r="B3151" s="4">
        <v>18023</v>
      </c>
      <c r="C3151" s="5">
        <f t="shared" ref="C3151:C3152" si="147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479">C3151+1</f>
        <v>40599</v>
      </c>
      <c r="V3151">
        <f t="shared" si="1474"/>
        <v>25</v>
      </c>
      <c r="W3151">
        <f t="shared" si="1472"/>
        <v>2</v>
      </c>
      <c r="X3151">
        <f t="shared" si="1473"/>
        <v>2011</v>
      </c>
    </row>
    <row r="3152" spans="1:24" ht="12" customHeight="1">
      <c r="A3152" s="4">
        <v>2480</v>
      </c>
      <c r="B3152" s="4">
        <v>18023</v>
      </c>
      <c r="C3152" s="5">
        <f t="shared" si="147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479"/>
        <v>40599</v>
      </c>
      <c r="V3152">
        <f t="shared" si="1474"/>
        <v>25</v>
      </c>
      <c r="W3152">
        <f t="shared" si="1472"/>
        <v>2</v>
      </c>
      <c r="X3152">
        <f t="shared" si="1473"/>
        <v>2011</v>
      </c>
    </row>
    <row r="3153" spans="1:24" ht="12" customHeight="1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  <c r="V3153">
        <f t="shared" si="1474"/>
        <v>18</v>
      </c>
      <c r="W3153">
        <f t="shared" si="1472"/>
        <v>7</v>
      </c>
      <c r="X3153">
        <f t="shared" si="1473"/>
        <v>2010</v>
      </c>
    </row>
    <row r="3154" spans="1:24" ht="12" customHeight="1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  <c r="V3154">
        <f t="shared" si="1474"/>
        <v>7</v>
      </c>
      <c r="W3154">
        <f t="shared" si="1472"/>
        <v>12</v>
      </c>
      <c r="X3154">
        <f t="shared" si="1473"/>
        <v>2011</v>
      </c>
    </row>
    <row r="3155" spans="1:24" ht="12" customHeight="1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  <c r="V3155">
        <f t="shared" si="1474"/>
        <v>4</v>
      </c>
      <c r="W3155">
        <f t="shared" si="1472"/>
        <v>3</v>
      </c>
      <c r="X3155">
        <f t="shared" si="1473"/>
        <v>2012</v>
      </c>
    </row>
    <row r="3156" spans="1:24" ht="12" customHeight="1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  <c r="V3156">
        <f t="shared" si="1474"/>
        <v>9</v>
      </c>
      <c r="W3156">
        <f t="shared" si="1472"/>
        <v>10</v>
      </c>
      <c r="X3156">
        <f t="shared" si="1473"/>
        <v>2009</v>
      </c>
    </row>
    <row r="3157" spans="1:24" ht="12" customHeight="1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  <c r="V3157">
        <f t="shared" si="1474"/>
        <v>4</v>
      </c>
      <c r="W3157">
        <f t="shared" si="1472"/>
        <v>12</v>
      </c>
      <c r="X3157">
        <f t="shared" si="1473"/>
        <v>2010</v>
      </c>
    </row>
    <row r="3158" spans="1:24" ht="12" customHeight="1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  <c r="V3158">
        <f t="shared" si="1474"/>
        <v>29</v>
      </c>
      <c r="W3158">
        <f t="shared" si="1472"/>
        <v>2</v>
      </c>
      <c r="X3158">
        <f t="shared" si="1473"/>
        <v>2012</v>
      </c>
    </row>
    <row r="3159" spans="1:24" ht="12" customHeight="1">
      <c r="A3159" s="4">
        <v>2904</v>
      </c>
      <c r="B3159" s="4">
        <v>20965</v>
      </c>
      <c r="C3159" s="5">
        <f t="shared" ref="C3159:C3160" si="148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481">C3159+3</f>
        <v>40170</v>
      </c>
      <c r="V3159">
        <f t="shared" si="1474"/>
        <v>23</v>
      </c>
      <c r="W3159">
        <f t="shared" si="1472"/>
        <v>12</v>
      </c>
      <c r="X3159">
        <f t="shared" si="1473"/>
        <v>2009</v>
      </c>
    </row>
    <row r="3160" spans="1:24" ht="12" customHeight="1">
      <c r="A3160" s="4">
        <v>2905</v>
      </c>
      <c r="B3160" s="4">
        <v>20965</v>
      </c>
      <c r="C3160" s="5">
        <f t="shared" si="148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481"/>
        <v>40170</v>
      </c>
      <c r="V3160">
        <f t="shared" si="1474"/>
        <v>23</v>
      </c>
      <c r="W3160">
        <f t="shared" si="1472"/>
        <v>12</v>
      </c>
      <c r="X3160">
        <f t="shared" si="1473"/>
        <v>2009</v>
      </c>
    </row>
    <row r="3161" spans="1:24" ht="12" customHeight="1">
      <c r="A3161" s="4">
        <v>2932</v>
      </c>
      <c r="B3161" s="4">
        <v>21249</v>
      </c>
      <c r="C3161" s="5">
        <f t="shared" ref="C3161:C3162" si="148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483">C3161+2</f>
        <v>40442</v>
      </c>
      <c r="V3161">
        <f t="shared" si="1474"/>
        <v>21</v>
      </c>
      <c r="W3161">
        <f t="shared" si="1472"/>
        <v>9</v>
      </c>
      <c r="X3161">
        <f t="shared" si="1473"/>
        <v>2010</v>
      </c>
    </row>
    <row r="3162" spans="1:24" ht="12" customHeight="1">
      <c r="A3162" s="4">
        <v>2933</v>
      </c>
      <c r="B3162" s="4">
        <v>21249</v>
      </c>
      <c r="C3162" s="5">
        <f t="shared" si="148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483"/>
        <v>40442</v>
      </c>
      <c r="V3162">
        <f t="shared" si="1474"/>
        <v>21</v>
      </c>
      <c r="W3162">
        <f t="shared" si="1472"/>
        <v>9</v>
      </c>
      <c r="X3162">
        <f t="shared" si="1473"/>
        <v>2010</v>
      </c>
    </row>
    <row r="3163" spans="1:24" ht="12" customHeight="1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  <c r="V3163">
        <f t="shared" si="1474"/>
        <v>7</v>
      </c>
      <c r="W3163">
        <f t="shared" si="1472"/>
        <v>5</v>
      </c>
      <c r="X3163">
        <f t="shared" si="1473"/>
        <v>2010</v>
      </c>
    </row>
    <row r="3164" spans="1:24" ht="12" customHeight="1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  <c r="V3164">
        <f t="shared" si="1474"/>
        <v>22</v>
      </c>
      <c r="W3164">
        <f t="shared" si="1472"/>
        <v>6</v>
      </c>
      <c r="X3164">
        <f t="shared" si="1473"/>
        <v>2009</v>
      </c>
    </row>
    <row r="3165" spans="1:24" ht="12" customHeight="1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  <c r="V3165">
        <f t="shared" si="1474"/>
        <v>14</v>
      </c>
      <c r="W3165">
        <f t="shared" si="1472"/>
        <v>3</v>
      </c>
      <c r="X3165">
        <f t="shared" si="1473"/>
        <v>2009</v>
      </c>
    </row>
    <row r="3166" spans="1:24" ht="12" customHeight="1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484">C3166+2</f>
        <v>40311</v>
      </c>
      <c r="V3166">
        <f t="shared" si="1474"/>
        <v>13</v>
      </c>
      <c r="W3166">
        <f t="shared" si="1472"/>
        <v>5</v>
      </c>
      <c r="X3166">
        <f t="shared" si="1473"/>
        <v>2010</v>
      </c>
    </row>
    <row r="3167" spans="1:24" ht="12" customHeight="1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484"/>
        <v>40548</v>
      </c>
      <c r="V3167">
        <f t="shared" si="1474"/>
        <v>5</v>
      </c>
      <c r="W3167">
        <f t="shared" si="1472"/>
        <v>1</v>
      </c>
      <c r="X3167">
        <f t="shared" si="1473"/>
        <v>2011</v>
      </c>
    </row>
    <row r="3168" spans="1:24" ht="12" customHeight="1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484"/>
        <v>41221</v>
      </c>
      <c r="V3168">
        <f t="shared" si="1474"/>
        <v>8</v>
      </c>
      <c r="W3168">
        <f t="shared" si="1472"/>
        <v>11</v>
      </c>
      <c r="X3168">
        <f t="shared" si="1473"/>
        <v>2012</v>
      </c>
    </row>
    <row r="3169" spans="1:24" ht="12" customHeight="1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  <c r="V3169">
        <f t="shared" si="1474"/>
        <v>23</v>
      </c>
      <c r="W3169">
        <f t="shared" si="1472"/>
        <v>11</v>
      </c>
      <c r="X3169">
        <f t="shared" si="1473"/>
        <v>2011</v>
      </c>
    </row>
    <row r="3170" spans="1:24" ht="12" customHeight="1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  <c r="V3170">
        <f t="shared" si="1474"/>
        <v>20</v>
      </c>
      <c r="W3170">
        <f t="shared" si="1472"/>
        <v>8</v>
      </c>
      <c r="X3170">
        <f t="shared" si="1473"/>
        <v>2010</v>
      </c>
    </row>
    <row r="3171" spans="1:24" ht="12" customHeight="1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  <c r="V3171">
        <f t="shared" si="1474"/>
        <v>7</v>
      </c>
      <c r="W3171">
        <f t="shared" si="1472"/>
        <v>2</v>
      </c>
      <c r="X3171">
        <f t="shared" si="1473"/>
        <v>2011</v>
      </c>
    </row>
    <row r="3172" spans="1:24" ht="12" customHeight="1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485">C3172+2</f>
        <v>40098</v>
      </c>
      <c r="V3172">
        <f t="shared" si="1474"/>
        <v>12</v>
      </c>
      <c r="W3172">
        <f t="shared" si="1472"/>
        <v>10</v>
      </c>
      <c r="X3172">
        <f t="shared" si="1473"/>
        <v>2009</v>
      </c>
    </row>
    <row r="3173" spans="1:24" ht="12" customHeight="1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485"/>
        <v>40948</v>
      </c>
      <c r="V3173">
        <f t="shared" si="1474"/>
        <v>9</v>
      </c>
      <c r="W3173">
        <f t="shared" si="1472"/>
        <v>2</v>
      </c>
      <c r="X3173">
        <f t="shared" si="1473"/>
        <v>2012</v>
      </c>
    </row>
    <row r="3174" spans="1:24" ht="12" customHeight="1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485"/>
        <v>40930</v>
      </c>
      <c r="V3174">
        <f t="shared" si="1474"/>
        <v>22</v>
      </c>
      <c r="W3174">
        <f t="shared" si="1472"/>
        <v>1</v>
      </c>
      <c r="X3174">
        <f t="shared" si="1473"/>
        <v>2012</v>
      </c>
    </row>
    <row r="3175" spans="1:24" ht="12" customHeight="1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485"/>
        <v>40821</v>
      </c>
      <c r="V3175">
        <f t="shared" si="1474"/>
        <v>5</v>
      </c>
      <c r="W3175">
        <f t="shared" si="1472"/>
        <v>10</v>
      </c>
      <c r="X3175">
        <f t="shared" si="1473"/>
        <v>2011</v>
      </c>
    </row>
    <row r="3176" spans="1:24" ht="12" customHeight="1">
      <c r="A3176" s="4">
        <v>4160</v>
      </c>
      <c r="B3176" s="4">
        <v>29506</v>
      </c>
      <c r="C3176" s="5">
        <f t="shared" ref="C3176:C3177" si="148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485"/>
        <v>40710</v>
      </c>
      <c r="V3176">
        <f t="shared" si="1474"/>
        <v>16</v>
      </c>
      <c r="W3176">
        <f t="shared" si="1472"/>
        <v>6</v>
      </c>
      <c r="X3176">
        <f t="shared" si="1473"/>
        <v>2011</v>
      </c>
    </row>
    <row r="3177" spans="1:24" ht="12" customHeight="1">
      <c r="A3177" s="4">
        <v>4161</v>
      </c>
      <c r="B3177" s="4">
        <v>29506</v>
      </c>
      <c r="C3177" s="5">
        <f t="shared" si="148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487">C3177+1</f>
        <v>40709</v>
      </c>
      <c r="V3177">
        <f t="shared" si="1474"/>
        <v>15</v>
      </c>
      <c r="W3177">
        <f t="shared" si="1472"/>
        <v>6</v>
      </c>
      <c r="X3177">
        <f t="shared" si="1473"/>
        <v>2011</v>
      </c>
    </row>
    <row r="3178" spans="1:24" ht="12" customHeight="1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487"/>
        <v>39987</v>
      </c>
      <c r="V3178">
        <f t="shared" si="1474"/>
        <v>23</v>
      </c>
      <c r="W3178">
        <f t="shared" si="1472"/>
        <v>6</v>
      </c>
      <c r="X3178">
        <f t="shared" si="1473"/>
        <v>2009</v>
      </c>
    </row>
    <row r="3179" spans="1:24" ht="12" customHeight="1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487"/>
        <v>41113</v>
      </c>
      <c r="V3179">
        <f t="shared" si="1474"/>
        <v>23</v>
      </c>
      <c r="W3179">
        <f t="shared" si="1472"/>
        <v>7</v>
      </c>
      <c r="X3179">
        <f t="shared" si="1473"/>
        <v>2012</v>
      </c>
    </row>
    <row r="3180" spans="1:24" ht="12" customHeight="1">
      <c r="A3180" s="4">
        <v>4216</v>
      </c>
      <c r="B3180" s="4">
        <v>29958</v>
      </c>
      <c r="C3180" s="5">
        <f t="shared" ref="C3180:C3181" si="148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487"/>
        <v>40550</v>
      </c>
      <c r="V3180">
        <f t="shared" si="1474"/>
        <v>7</v>
      </c>
      <c r="W3180">
        <f t="shared" si="1472"/>
        <v>1</v>
      </c>
      <c r="X3180">
        <f t="shared" si="1473"/>
        <v>2011</v>
      </c>
    </row>
    <row r="3181" spans="1:24" ht="12" customHeight="1">
      <c r="A3181" s="4">
        <v>4217</v>
      </c>
      <c r="B3181" s="4">
        <v>29958</v>
      </c>
      <c r="C3181" s="5">
        <f t="shared" si="148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  <c r="V3181">
        <f t="shared" si="1474"/>
        <v>8</v>
      </c>
      <c r="W3181">
        <f t="shared" si="1472"/>
        <v>1</v>
      </c>
      <c r="X3181">
        <f t="shared" si="1473"/>
        <v>2011</v>
      </c>
    </row>
    <row r="3182" spans="1:24" ht="12" customHeight="1">
      <c r="A3182" s="4">
        <v>4435</v>
      </c>
      <c r="B3182" s="4">
        <v>31616</v>
      </c>
      <c r="C3182" s="5">
        <f t="shared" ref="C3182:C3183" si="148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490">C3182+1</f>
        <v>40419</v>
      </c>
      <c r="V3182">
        <f t="shared" si="1474"/>
        <v>29</v>
      </c>
      <c r="W3182">
        <f t="shared" si="1472"/>
        <v>8</v>
      </c>
      <c r="X3182">
        <f t="shared" si="1473"/>
        <v>2010</v>
      </c>
    </row>
    <row r="3183" spans="1:24" ht="12" customHeight="1">
      <c r="A3183" s="4">
        <v>4436</v>
      </c>
      <c r="B3183" s="4">
        <v>31616</v>
      </c>
      <c r="C3183" s="5">
        <f t="shared" si="148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490"/>
        <v>40419</v>
      </c>
      <c r="V3183">
        <f t="shared" si="1474"/>
        <v>29</v>
      </c>
      <c r="W3183">
        <f t="shared" si="1472"/>
        <v>8</v>
      </c>
      <c r="X3183">
        <f t="shared" si="1473"/>
        <v>2010</v>
      </c>
    </row>
    <row r="3184" spans="1:24" ht="12" customHeight="1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491">C3184+5</f>
        <v>40321</v>
      </c>
      <c r="V3184">
        <f t="shared" si="1474"/>
        <v>23</v>
      </c>
      <c r="W3184">
        <f t="shared" si="1472"/>
        <v>5</v>
      </c>
      <c r="X3184">
        <f t="shared" si="1473"/>
        <v>2010</v>
      </c>
    </row>
    <row r="3185" spans="1:24" ht="12" customHeight="1">
      <c r="A3185" s="4">
        <v>4494</v>
      </c>
      <c r="B3185" s="4">
        <v>32001</v>
      </c>
      <c r="C3185" s="5">
        <f t="shared" ref="C3185:C3186" si="149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491"/>
        <v>40849</v>
      </c>
      <c r="V3185">
        <f t="shared" si="1474"/>
        <v>2</v>
      </c>
      <c r="W3185">
        <f t="shared" si="1472"/>
        <v>11</v>
      </c>
      <c r="X3185">
        <f t="shared" si="1473"/>
        <v>2011</v>
      </c>
    </row>
    <row r="3186" spans="1:24" ht="12" customHeight="1">
      <c r="A3186" s="4">
        <v>4495</v>
      </c>
      <c r="B3186" s="4">
        <v>32001</v>
      </c>
      <c r="C3186" s="5">
        <f t="shared" si="149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  <c r="V3186">
        <f t="shared" si="1474"/>
        <v>30</v>
      </c>
      <c r="W3186">
        <f t="shared" si="1472"/>
        <v>10</v>
      </c>
      <c r="X3186">
        <f t="shared" si="1473"/>
        <v>2011</v>
      </c>
    </row>
    <row r="3187" spans="1:24" ht="12" customHeight="1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  <c r="V3187">
        <f t="shared" si="1474"/>
        <v>19</v>
      </c>
      <c r="W3187">
        <f t="shared" si="1472"/>
        <v>11</v>
      </c>
      <c r="X3187">
        <f t="shared" si="1473"/>
        <v>2011</v>
      </c>
    </row>
    <row r="3188" spans="1:24" ht="12" customHeight="1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  <c r="V3188">
        <f t="shared" si="1474"/>
        <v>16</v>
      </c>
      <c r="W3188">
        <f t="shared" si="1472"/>
        <v>12</v>
      </c>
      <c r="X3188">
        <f t="shared" si="1473"/>
        <v>2012</v>
      </c>
    </row>
    <row r="3189" spans="1:24" ht="12" customHeight="1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  <c r="V3189">
        <f t="shared" si="1474"/>
        <v>19</v>
      </c>
      <c r="W3189">
        <f t="shared" si="1472"/>
        <v>12</v>
      </c>
      <c r="X3189">
        <f t="shared" si="1473"/>
        <v>2011</v>
      </c>
    </row>
    <row r="3190" spans="1:24" ht="12" customHeight="1">
      <c r="A3190" s="4">
        <v>4572</v>
      </c>
      <c r="B3190" s="4">
        <v>32546</v>
      </c>
      <c r="C3190" s="5">
        <f t="shared" ref="C3190:C3191" si="149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  <c r="V3190">
        <f t="shared" si="1474"/>
        <v>20</v>
      </c>
      <c r="W3190">
        <f t="shared" si="1472"/>
        <v>3</v>
      </c>
      <c r="X3190">
        <f t="shared" si="1473"/>
        <v>2011</v>
      </c>
    </row>
    <row r="3191" spans="1:24" ht="12" customHeight="1">
      <c r="A3191" s="4">
        <v>4573</v>
      </c>
      <c r="B3191" s="4">
        <v>32546</v>
      </c>
      <c r="C3191" s="5">
        <f t="shared" si="149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  <c r="V3191">
        <f t="shared" si="1474"/>
        <v>19</v>
      </c>
      <c r="W3191">
        <f t="shared" si="1472"/>
        <v>3</v>
      </c>
      <c r="X3191">
        <f t="shared" si="1473"/>
        <v>2011</v>
      </c>
    </row>
    <row r="3192" spans="1:24" ht="12" customHeight="1">
      <c r="A3192" s="4">
        <v>4640</v>
      </c>
      <c r="B3192" s="4">
        <v>33029</v>
      </c>
      <c r="C3192" s="5">
        <f t="shared" ref="C3192:C3193" si="149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  <c r="V3192">
        <f t="shared" si="1474"/>
        <v>2</v>
      </c>
      <c r="W3192">
        <f t="shared" si="1472"/>
        <v>6</v>
      </c>
      <c r="X3192">
        <f t="shared" si="1473"/>
        <v>2012</v>
      </c>
    </row>
    <row r="3193" spans="1:24" ht="12" customHeight="1">
      <c r="A3193" s="4">
        <v>4641</v>
      </c>
      <c r="B3193" s="4">
        <v>33029</v>
      </c>
      <c r="C3193" s="5">
        <f t="shared" si="149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  <c r="V3193">
        <f t="shared" si="1474"/>
        <v>1</v>
      </c>
      <c r="W3193">
        <f t="shared" si="1472"/>
        <v>6</v>
      </c>
      <c r="X3193">
        <f t="shared" si="1473"/>
        <v>2012</v>
      </c>
    </row>
    <row r="3194" spans="1:24" ht="12" customHeight="1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495">C3194+2</f>
        <v>40741</v>
      </c>
      <c r="V3194">
        <f t="shared" si="1474"/>
        <v>17</v>
      </c>
      <c r="W3194">
        <f t="shared" si="1472"/>
        <v>7</v>
      </c>
      <c r="X3194">
        <f t="shared" si="1473"/>
        <v>2011</v>
      </c>
    </row>
    <row r="3195" spans="1:24" ht="12" customHeight="1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495"/>
        <v>40345</v>
      </c>
      <c r="V3195">
        <f t="shared" si="1474"/>
        <v>16</v>
      </c>
      <c r="W3195">
        <f t="shared" si="1472"/>
        <v>6</v>
      </c>
      <c r="X3195">
        <f t="shared" si="1473"/>
        <v>2010</v>
      </c>
    </row>
    <row r="3196" spans="1:24" ht="12" customHeight="1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  <c r="V3196">
        <f t="shared" si="1474"/>
        <v>10</v>
      </c>
      <c r="W3196">
        <f t="shared" si="1472"/>
        <v>6</v>
      </c>
      <c r="X3196">
        <f t="shared" si="1473"/>
        <v>2011</v>
      </c>
    </row>
    <row r="3197" spans="1:24" ht="12" customHeight="1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496">C3197+1</f>
        <v>40352</v>
      </c>
      <c r="V3197">
        <f t="shared" si="1474"/>
        <v>23</v>
      </c>
      <c r="W3197">
        <f t="shared" si="1472"/>
        <v>6</v>
      </c>
      <c r="X3197">
        <f t="shared" si="1473"/>
        <v>2010</v>
      </c>
    </row>
    <row r="3198" spans="1:24" ht="12" customHeight="1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496"/>
        <v>40941</v>
      </c>
      <c r="V3198">
        <f t="shared" si="1474"/>
        <v>2</v>
      </c>
      <c r="W3198">
        <f t="shared" si="1472"/>
        <v>2</v>
      </c>
      <c r="X3198">
        <f t="shared" si="1473"/>
        <v>2012</v>
      </c>
    </row>
    <row r="3199" spans="1:24" ht="12" customHeight="1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496"/>
        <v>40195</v>
      </c>
      <c r="V3199">
        <f t="shared" si="1474"/>
        <v>17</v>
      </c>
      <c r="W3199">
        <f t="shared" si="1472"/>
        <v>1</v>
      </c>
      <c r="X3199">
        <f t="shared" si="1473"/>
        <v>2010</v>
      </c>
    </row>
    <row r="3200" spans="1:24" ht="12" customHeight="1">
      <c r="A3200" s="4">
        <v>5302</v>
      </c>
      <c r="B3200" s="4">
        <v>37760</v>
      </c>
      <c r="C3200" s="5">
        <f t="shared" ref="C3200:C3201" si="149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496"/>
        <v>40040</v>
      </c>
      <c r="V3200">
        <f t="shared" si="1474"/>
        <v>15</v>
      </c>
      <c r="W3200">
        <f t="shared" si="1472"/>
        <v>8</v>
      </c>
      <c r="X3200">
        <f t="shared" si="1473"/>
        <v>2009</v>
      </c>
    </row>
    <row r="3201" spans="1:24" ht="12" customHeight="1">
      <c r="A3201" s="4">
        <v>5303</v>
      </c>
      <c r="B3201" s="4">
        <v>37760</v>
      </c>
      <c r="C3201" s="5">
        <f t="shared" si="149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  <c r="V3201">
        <f t="shared" si="1474"/>
        <v>16</v>
      </c>
      <c r="W3201">
        <f t="shared" si="1472"/>
        <v>8</v>
      </c>
      <c r="X3201">
        <f t="shared" si="1473"/>
        <v>2009</v>
      </c>
    </row>
    <row r="3202" spans="1:24" ht="12" customHeight="1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  <c r="V3202">
        <f t="shared" si="1474"/>
        <v>2</v>
      </c>
      <c r="W3202">
        <f t="shared" si="1472"/>
        <v>4</v>
      </c>
      <c r="X3202">
        <f t="shared" si="1473"/>
        <v>2012</v>
      </c>
    </row>
    <row r="3203" spans="1:24" ht="12" customHeight="1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  <c r="V3203">
        <f t="shared" si="1474"/>
        <v>25</v>
      </c>
      <c r="W3203">
        <f t="shared" ref="W3203:W3266" si="1498">MONTH(U3203)</f>
        <v>5</v>
      </c>
      <c r="X3203">
        <f t="shared" ref="X3203:X3266" si="1499">YEAR(U3203)</f>
        <v>2011</v>
      </c>
    </row>
    <row r="3204" spans="1:24" ht="12" customHeight="1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  <c r="V3204">
        <f t="shared" ref="V3204:V3267" si="1500">DAY(U3204)</f>
        <v>18</v>
      </c>
      <c r="W3204">
        <f t="shared" si="1498"/>
        <v>4</v>
      </c>
      <c r="X3204">
        <f t="shared" si="1499"/>
        <v>2010</v>
      </c>
    </row>
    <row r="3205" spans="1:24" ht="12" customHeight="1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  <c r="V3205">
        <f t="shared" si="1500"/>
        <v>5</v>
      </c>
      <c r="W3205">
        <f t="shared" si="1498"/>
        <v>3</v>
      </c>
      <c r="X3205">
        <f t="shared" si="1499"/>
        <v>2011</v>
      </c>
    </row>
    <row r="3206" spans="1:24" ht="12" customHeight="1">
      <c r="A3206" s="4">
        <v>5686</v>
      </c>
      <c r="B3206" s="4">
        <v>40194</v>
      </c>
      <c r="C3206" s="5">
        <f t="shared" ref="C3206:C3208" si="1501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  <c r="V3206">
        <f t="shared" si="1500"/>
        <v>7</v>
      </c>
      <c r="W3206">
        <f t="shared" si="1498"/>
        <v>10</v>
      </c>
      <c r="X3206">
        <f t="shared" si="1499"/>
        <v>2010</v>
      </c>
    </row>
    <row r="3207" spans="1:24" ht="12" customHeight="1">
      <c r="A3207" s="4">
        <v>5687</v>
      </c>
      <c r="B3207" s="4">
        <v>40194</v>
      </c>
      <c r="C3207" s="5">
        <f t="shared" si="1501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502">C3207+2</f>
        <v>40459</v>
      </c>
      <c r="V3207">
        <f t="shared" si="1500"/>
        <v>8</v>
      </c>
      <c r="W3207">
        <f t="shared" si="1498"/>
        <v>10</v>
      </c>
      <c r="X3207">
        <f t="shared" si="1499"/>
        <v>2010</v>
      </c>
    </row>
    <row r="3208" spans="1:24" ht="12" customHeight="1">
      <c r="A3208" s="4">
        <v>5688</v>
      </c>
      <c r="B3208" s="4">
        <v>40194</v>
      </c>
      <c r="C3208" s="5">
        <f t="shared" si="1501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502"/>
        <v>40459</v>
      </c>
      <c r="V3208">
        <f t="shared" si="1500"/>
        <v>8</v>
      </c>
      <c r="W3208">
        <f t="shared" si="1498"/>
        <v>10</v>
      </c>
      <c r="X3208">
        <f t="shared" si="1499"/>
        <v>2010</v>
      </c>
    </row>
    <row r="3209" spans="1:24" ht="12" customHeight="1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  <c r="V3209">
        <f t="shared" si="1500"/>
        <v>24</v>
      </c>
      <c r="W3209">
        <f t="shared" si="1498"/>
        <v>4</v>
      </c>
      <c r="X3209">
        <f t="shared" si="1499"/>
        <v>2011</v>
      </c>
    </row>
    <row r="3210" spans="1:24" ht="12" customHeight="1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  <c r="V3210">
        <f t="shared" si="1500"/>
        <v>31</v>
      </c>
      <c r="W3210">
        <f t="shared" si="1498"/>
        <v>10</v>
      </c>
      <c r="X3210">
        <f t="shared" si="1499"/>
        <v>2012</v>
      </c>
    </row>
    <row r="3211" spans="1:24" ht="12" customHeight="1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  <c r="V3211">
        <f t="shared" si="1500"/>
        <v>24</v>
      </c>
      <c r="W3211">
        <f t="shared" si="1498"/>
        <v>7</v>
      </c>
      <c r="X3211">
        <f t="shared" si="1499"/>
        <v>2010</v>
      </c>
    </row>
    <row r="3212" spans="1:24" ht="12" customHeight="1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  <c r="V3212">
        <f t="shared" si="1500"/>
        <v>24</v>
      </c>
      <c r="W3212">
        <f t="shared" si="1498"/>
        <v>1</v>
      </c>
      <c r="X3212">
        <f t="shared" si="1499"/>
        <v>2012</v>
      </c>
    </row>
    <row r="3213" spans="1:24" ht="12" customHeight="1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  <c r="V3213">
        <f t="shared" si="1500"/>
        <v>16</v>
      </c>
      <c r="W3213">
        <f t="shared" si="1498"/>
        <v>6</v>
      </c>
      <c r="X3213">
        <f t="shared" si="1499"/>
        <v>2010</v>
      </c>
    </row>
    <row r="3214" spans="1:24" ht="12" customHeight="1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  <c r="V3214">
        <f t="shared" si="1500"/>
        <v>21</v>
      </c>
      <c r="W3214">
        <f t="shared" si="1498"/>
        <v>6</v>
      </c>
      <c r="X3214">
        <f t="shared" si="1499"/>
        <v>2010</v>
      </c>
    </row>
    <row r="3215" spans="1:24" ht="12" customHeight="1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  <c r="V3215">
        <f t="shared" si="1500"/>
        <v>10</v>
      </c>
      <c r="W3215">
        <f t="shared" si="1498"/>
        <v>9</v>
      </c>
      <c r="X3215">
        <f t="shared" si="1499"/>
        <v>2012</v>
      </c>
    </row>
    <row r="3216" spans="1:24" ht="12" customHeight="1">
      <c r="A3216" s="4">
        <v>6122</v>
      </c>
      <c r="B3216" s="4">
        <v>43362</v>
      </c>
      <c r="C3216" s="5">
        <f t="shared" ref="C3216:C3217" si="1503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  <c r="V3216">
        <f t="shared" si="1500"/>
        <v>15</v>
      </c>
      <c r="W3216">
        <f t="shared" si="1498"/>
        <v>1</v>
      </c>
      <c r="X3216">
        <f t="shared" si="1499"/>
        <v>2009</v>
      </c>
    </row>
    <row r="3217" spans="1:24" ht="12" customHeight="1">
      <c r="A3217" s="4">
        <v>6123</v>
      </c>
      <c r="B3217" s="4">
        <v>43362</v>
      </c>
      <c r="C3217" s="5">
        <f t="shared" si="1503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  <c r="V3217">
        <f t="shared" si="1500"/>
        <v>14</v>
      </c>
      <c r="W3217">
        <f t="shared" si="1498"/>
        <v>1</v>
      </c>
      <c r="X3217">
        <f t="shared" si="1499"/>
        <v>2009</v>
      </c>
    </row>
    <row r="3218" spans="1:24" ht="12" customHeight="1">
      <c r="A3218" s="4">
        <v>6138</v>
      </c>
      <c r="B3218" s="4">
        <v>43488</v>
      </c>
      <c r="C3218" s="5">
        <f t="shared" ref="C3218:C3222" si="1504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505">C3218+1</f>
        <v>41079</v>
      </c>
      <c r="V3218">
        <f t="shared" si="1500"/>
        <v>19</v>
      </c>
      <c r="W3218">
        <f t="shared" si="1498"/>
        <v>6</v>
      </c>
      <c r="X3218">
        <f t="shared" si="1499"/>
        <v>2012</v>
      </c>
    </row>
    <row r="3219" spans="1:24" ht="12" customHeight="1">
      <c r="A3219" s="4">
        <v>6139</v>
      </c>
      <c r="B3219" s="4">
        <v>43488</v>
      </c>
      <c r="C3219" s="5">
        <f t="shared" si="1504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505"/>
        <v>41079</v>
      </c>
      <c r="V3219">
        <f t="shared" si="1500"/>
        <v>19</v>
      </c>
      <c r="W3219">
        <f t="shared" si="1498"/>
        <v>6</v>
      </c>
      <c r="X3219">
        <f t="shared" si="1499"/>
        <v>2012</v>
      </c>
    </row>
    <row r="3220" spans="1:24" ht="12" customHeight="1">
      <c r="A3220" s="4">
        <v>6140</v>
      </c>
      <c r="B3220" s="4">
        <v>43488</v>
      </c>
      <c r="C3220" s="5">
        <f t="shared" si="1504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505"/>
        <v>41079</v>
      </c>
      <c r="V3220">
        <f t="shared" si="1500"/>
        <v>19</v>
      </c>
      <c r="W3220">
        <f t="shared" si="1498"/>
        <v>6</v>
      </c>
      <c r="X3220">
        <f t="shared" si="1499"/>
        <v>2012</v>
      </c>
    </row>
    <row r="3221" spans="1:24" ht="12" customHeight="1">
      <c r="A3221" s="4">
        <v>6141</v>
      </c>
      <c r="B3221" s="4">
        <v>43488</v>
      </c>
      <c r="C3221" s="5">
        <f t="shared" si="1504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506">C3221+2</f>
        <v>41080</v>
      </c>
      <c r="V3221">
        <f t="shared" si="1500"/>
        <v>20</v>
      </c>
      <c r="W3221">
        <f t="shared" si="1498"/>
        <v>6</v>
      </c>
      <c r="X3221">
        <f t="shared" si="1499"/>
        <v>2012</v>
      </c>
    </row>
    <row r="3222" spans="1:24" ht="12" customHeight="1">
      <c r="A3222" s="4">
        <v>6142</v>
      </c>
      <c r="B3222" s="4">
        <v>43488</v>
      </c>
      <c r="C3222" s="5">
        <f t="shared" si="1504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506"/>
        <v>41080</v>
      </c>
      <c r="V3222">
        <f t="shared" si="1500"/>
        <v>20</v>
      </c>
      <c r="W3222">
        <f t="shared" si="1498"/>
        <v>6</v>
      </c>
      <c r="X3222">
        <f t="shared" si="1499"/>
        <v>2012</v>
      </c>
    </row>
    <row r="3223" spans="1:24" ht="12" customHeight="1">
      <c r="A3223" s="4">
        <v>6148</v>
      </c>
      <c r="B3223" s="4">
        <v>43526</v>
      </c>
      <c r="C3223" s="5">
        <f t="shared" ref="C3223:C3224" si="1507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  <c r="V3223">
        <f t="shared" si="1500"/>
        <v>26</v>
      </c>
      <c r="W3223">
        <f t="shared" si="1498"/>
        <v>5</v>
      </c>
      <c r="X3223">
        <f t="shared" si="1499"/>
        <v>2010</v>
      </c>
    </row>
    <row r="3224" spans="1:24" ht="12" customHeight="1">
      <c r="A3224" s="4">
        <v>6149</v>
      </c>
      <c r="B3224" s="4">
        <v>43526</v>
      </c>
      <c r="C3224" s="5">
        <f t="shared" si="1507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  <c r="V3224">
        <f t="shared" si="1500"/>
        <v>27</v>
      </c>
      <c r="W3224">
        <f t="shared" si="1498"/>
        <v>5</v>
      </c>
      <c r="X3224">
        <f t="shared" si="1499"/>
        <v>2010</v>
      </c>
    </row>
    <row r="3225" spans="1:24" ht="12" customHeight="1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  <c r="V3225">
        <f t="shared" si="1500"/>
        <v>1</v>
      </c>
      <c r="W3225">
        <f t="shared" si="1498"/>
        <v>11</v>
      </c>
      <c r="X3225">
        <f t="shared" si="1499"/>
        <v>2009</v>
      </c>
    </row>
    <row r="3226" spans="1:24" ht="12" customHeight="1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  <c r="V3226">
        <f t="shared" si="1500"/>
        <v>23</v>
      </c>
      <c r="W3226">
        <f t="shared" si="1498"/>
        <v>8</v>
      </c>
      <c r="X3226">
        <f t="shared" si="1499"/>
        <v>2009</v>
      </c>
    </row>
    <row r="3227" spans="1:24" ht="12" customHeight="1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508">C3227+2</f>
        <v>40271</v>
      </c>
      <c r="V3227">
        <f t="shared" si="1500"/>
        <v>3</v>
      </c>
      <c r="W3227">
        <f t="shared" si="1498"/>
        <v>4</v>
      </c>
      <c r="X3227">
        <f t="shared" si="1499"/>
        <v>2010</v>
      </c>
    </row>
    <row r="3228" spans="1:24" ht="12" customHeight="1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508"/>
        <v>40312</v>
      </c>
      <c r="V3228">
        <f t="shared" si="1500"/>
        <v>14</v>
      </c>
      <c r="W3228">
        <f t="shared" si="1498"/>
        <v>5</v>
      </c>
      <c r="X3228">
        <f t="shared" si="1499"/>
        <v>2010</v>
      </c>
    </row>
    <row r="3229" spans="1:24" ht="12" customHeight="1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  <c r="V3229">
        <f t="shared" si="1500"/>
        <v>25</v>
      </c>
      <c r="W3229">
        <f t="shared" si="1498"/>
        <v>3</v>
      </c>
      <c r="X3229">
        <f t="shared" si="1499"/>
        <v>2010</v>
      </c>
    </row>
    <row r="3230" spans="1:24" ht="12" customHeight="1">
      <c r="A3230" s="4">
        <v>6311</v>
      </c>
      <c r="B3230" s="4">
        <v>44647</v>
      </c>
      <c r="C3230" s="5">
        <f t="shared" ref="C3230:C3231" si="1509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  <c r="V3230">
        <f t="shared" si="1500"/>
        <v>24</v>
      </c>
      <c r="W3230">
        <f t="shared" si="1498"/>
        <v>1</v>
      </c>
      <c r="X3230">
        <f t="shared" si="1499"/>
        <v>2012</v>
      </c>
    </row>
    <row r="3231" spans="1:24" ht="12" customHeight="1">
      <c r="A3231" s="4">
        <v>6312</v>
      </c>
      <c r="B3231" s="4">
        <v>44647</v>
      </c>
      <c r="C3231" s="5">
        <f t="shared" si="1509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  <c r="V3231">
        <f t="shared" si="1500"/>
        <v>28</v>
      </c>
      <c r="W3231">
        <f t="shared" si="1498"/>
        <v>1</v>
      </c>
      <c r="X3231">
        <f t="shared" si="1499"/>
        <v>2012</v>
      </c>
    </row>
    <row r="3232" spans="1:24" ht="12" customHeight="1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  <c r="V3232">
        <f t="shared" si="1500"/>
        <v>3</v>
      </c>
      <c r="W3232">
        <f t="shared" si="1498"/>
        <v>12</v>
      </c>
      <c r="X3232">
        <f t="shared" si="1499"/>
        <v>2011</v>
      </c>
    </row>
    <row r="3233" spans="1:24" ht="12" customHeight="1">
      <c r="A3233" s="4">
        <v>6477</v>
      </c>
      <c r="B3233" s="4">
        <v>46115</v>
      </c>
      <c r="C3233" s="5">
        <f t="shared" ref="C3233:C3234" si="1510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  <c r="V3233">
        <f t="shared" si="1500"/>
        <v>4</v>
      </c>
      <c r="W3233">
        <f t="shared" si="1498"/>
        <v>3</v>
      </c>
      <c r="X3233">
        <f t="shared" si="1499"/>
        <v>2011</v>
      </c>
    </row>
    <row r="3234" spans="1:24" ht="12" customHeight="1">
      <c r="A3234" s="4">
        <v>6478</v>
      </c>
      <c r="B3234" s="4">
        <v>46115</v>
      </c>
      <c r="C3234" s="5">
        <f t="shared" si="1510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  <c r="V3234">
        <f t="shared" si="1500"/>
        <v>2</v>
      </c>
      <c r="W3234">
        <f t="shared" si="1498"/>
        <v>3</v>
      </c>
      <c r="X3234">
        <f t="shared" si="1499"/>
        <v>2011</v>
      </c>
    </row>
    <row r="3235" spans="1:24" ht="12" customHeight="1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511">C3235+2</f>
        <v>40799</v>
      </c>
      <c r="V3235">
        <f t="shared" si="1500"/>
        <v>13</v>
      </c>
      <c r="W3235">
        <f t="shared" si="1498"/>
        <v>9</v>
      </c>
      <c r="X3235">
        <f t="shared" si="1499"/>
        <v>2011</v>
      </c>
    </row>
    <row r="3236" spans="1:24" ht="12" customHeight="1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511"/>
        <v>40386</v>
      </c>
      <c r="V3236">
        <f t="shared" si="1500"/>
        <v>27</v>
      </c>
      <c r="W3236">
        <f t="shared" si="1498"/>
        <v>7</v>
      </c>
      <c r="X3236">
        <f t="shared" si="1499"/>
        <v>2010</v>
      </c>
    </row>
    <row r="3237" spans="1:24" ht="12" customHeight="1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  <c r="V3237">
        <f t="shared" si="1500"/>
        <v>18</v>
      </c>
      <c r="W3237">
        <f t="shared" si="1498"/>
        <v>7</v>
      </c>
      <c r="X3237">
        <f t="shared" si="1499"/>
        <v>2010</v>
      </c>
    </row>
    <row r="3238" spans="1:24" ht="12" customHeight="1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512">C3238+2</f>
        <v>39924</v>
      </c>
      <c r="V3238">
        <f t="shared" si="1500"/>
        <v>21</v>
      </c>
      <c r="W3238">
        <f t="shared" si="1498"/>
        <v>4</v>
      </c>
      <c r="X3238">
        <f t="shared" si="1499"/>
        <v>2009</v>
      </c>
    </row>
    <row r="3239" spans="1:24" ht="12" customHeight="1">
      <c r="A3239" s="4">
        <v>6758</v>
      </c>
      <c r="B3239" s="4">
        <v>48161</v>
      </c>
      <c r="C3239" s="5">
        <f t="shared" ref="C3239:C3240" si="1513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512"/>
        <v>40688</v>
      </c>
      <c r="V3239">
        <f t="shared" si="1500"/>
        <v>25</v>
      </c>
      <c r="W3239">
        <f t="shared" si="1498"/>
        <v>5</v>
      </c>
      <c r="X3239">
        <f t="shared" si="1499"/>
        <v>2011</v>
      </c>
    </row>
    <row r="3240" spans="1:24" ht="12" customHeight="1">
      <c r="A3240" s="4">
        <v>6759</v>
      </c>
      <c r="B3240" s="4">
        <v>48161</v>
      </c>
      <c r="C3240" s="5">
        <f t="shared" si="1513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  <c r="V3240">
        <f t="shared" si="1500"/>
        <v>24</v>
      </c>
      <c r="W3240">
        <f t="shared" si="1498"/>
        <v>5</v>
      </c>
      <c r="X3240">
        <f t="shared" si="1499"/>
        <v>2011</v>
      </c>
    </row>
    <row r="3241" spans="1:24" ht="12" customHeight="1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514">C3241+0</f>
        <v>40897</v>
      </c>
      <c r="V3241">
        <f t="shared" si="1500"/>
        <v>20</v>
      </c>
      <c r="W3241">
        <f t="shared" si="1498"/>
        <v>12</v>
      </c>
      <c r="X3241">
        <f t="shared" si="1499"/>
        <v>2011</v>
      </c>
    </row>
    <row r="3242" spans="1:24" ht="12" customHeight="1">
      <c r="A3242" s="4">
        <v>6829</v>
      </c>
      <c r="B3242" s="4">
        <v>48642</v>
      </c>
      <c r="C3242" s="5">
        <f t="shared" ref="C3242:C3243" si="1515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514"/>
        <v>40210</v>
      </c>
      <c r="V3242">
        <f t="shared" si="1500"/>
        <v>1</v>
      </c>
      <c r="W3242">
        <f t="shared" si="1498"/>
        <v>2</v>
      </c>
      <c r="X3242">
        <f t="shared" si="1499"/>
        <v>2010</v>
      </c>
    </row>
    <row r="3243" spans="1:24" ht="12" customHeight="1">
      <c r="A3243" s="4">
        <v>6830</v>
      </c>
      <c r="B3243" s="4">
        <v>48642</v>
      </c>
      <c r="C3243" s="5">
        <f t="shared" si="1515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514"/>
        <v>40210</v>
      </c>
      <c r="V3243">
        <f t="shared" si="1500"/>
        <v>1</v>
      </c>
      <c r="W3243">
        <f t="shared" si="1498"/>
        <v>2</v>
      </c>
      <c r="X3243">
        <f t="shared" si="1499"/>
        <v>2010</v>
      </c>
    </row>
    <row r="3244" spans="1:24" ht="12" customHeight="1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  <c r="V3244">
        <f t="shared" si="1500"/>
        <v>6</v>
      </c>
      <c r="W3244">
        <f t="shared" si="1498"/>
        <v>2</v>
      </c>
      <c r="X3244">
        <f t="shared" si="1499"/>
        <v>2012</v>
      </c>
    </row>
    <row r="3245" spans="1:24" ht="12" customHeight="1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  <c r="V3245">
        <f t="shared" si="1500"/>
        <v>13</v>
      </c>
      <c r="W3245">
        <f t="shared" si="1498"/>
        <v>1</v>
      </c>
      <c r="X3245">
        <f t="shared" si="1499"/>
        <v>2009</v>
      </c>
    </row>
    <row r="3246" spans="1:24" ht="12" customHeight="1">
      <c r="A3246" s="4">
        <v>7320</v>
      </c>
      <c r="B3246" s="4">
        <v>52194</v>
      </c>
      <c r="C3246" s="5">
        <f t="shared" ref="C3246:C3247" si="1516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517">C3246+1</f>
        <v>40524</v>
      </c>
      <c r="V3246">
        <f t="shared" si="1500"/>
        <v>12</v>
      </c>
      <c r="W3246">
        <f t="shared" si="1498"/>
        <v>12</v>
      </c>
      <c r="X3246">
        <f t="shared" si="1499"/>
        <v>2010</v>
      </c>
    </row>
    <row r="3247" spans="1:24" ht="12" customHeight="1">
      <c r="A3247" s="4">
        <v>7321</v>
      </c>
      <c r="B3247" s="4">
        <v>52194</v>
      </c>
      <c r="C3247" s="5">
        <f t="shared" si="1516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517"/>
        <v>40524</v>
      </c>
      <c r="V3247">
        <f t="shared" si="1500"/>
        <v>12</v>
      </c>
      <c r="W3247">
        <f t="shared" si="1498"/>
        <v>12</v>
      </c>
      <c r="X3247">
        <f t="shared" si="1499"/>
        <v>2010</v>
      </c>
    </row>
    <row r="3248" spans="1:24" ht="12" customHeight="1">
      <c r="A3248" s="4">
        <v>7338</v>
      </c>
      <c r="B3248" s="4">
        <v>52291</v>
      </c>
      <c r="C3248" s="5">
        <f t="shared" ref="C3248:C3249" si="1518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  <c r="V3248">
        <f t="shared" si="1500"/>
        <v>31</v>
      </c>
      <c r="W3248">
        <f t="shared" si="1498"/>
        <v>10</v>
      </c>
      <c r="X3248">
        <f t="shared" si="1499"/>
        <v>2009</v>
      </c>
    </row>
    <row r="3249" spans="1:24" ht="12" customHeight="1">
      <c r="A3249" s="4">
        <v>7339</v>
      </c>
      <c r="B3249" s="4">
        <v>52291</v>
      </c>
      <c r="C3249" s="5">
        <f t="shared" si="1518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  <c r="V3249">
        <f t="shared" si="1500"/>
        <v>30</v>
      </c>
      <c r="W3249">
        <f t="shared" si="1498"/>
        <v>10</v>
      </c>
      <c r="X3249">
        <f t="shared" si="1499"/>
        <v>2009</v>
      </c>
    </row>
    <row r="3250" spans="1:24" ht="12" customHeight="1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  <c r="V3250">
        <f t="shared" si="1500"/>
        <v>8</v>
      </c>
      <c r="W3250">
        <f t="shared" si="1498"/>
        <v>4</v>
      </c>
      <c r="X3250">
        <f t="shared" si="1499"/>
        <v>2012</v>
      </c>
    </row>
    <row r="3251" spans="1:24" ht="12" customHeight="1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  <c r="V3251">
        <f t="shared" si="1500"/>
        <v>5</v>
      </c>
      <c r="W3251">
        <f t="shared" si="1498"/>
        <v>1</v>
      </c>
      <c r="X3251">
        <f t="shared" si="1499"/>
        <v>2011</v>
      </c>
    </row>
    <row r="3252" spans="1:24" ht="12" customHeight="1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  <c r="V3252">
        <f t="shared" si="1500"/>
        <v>15</v>
      </c>
      <c r="W3252">
        <f t="shared" si="1498"/>
        <v>8</v>
      </c>
      <c r="X3252">
        <f t="shared" si="1499"/>
        <v>2011</v>
      </c>
    </row>
    <row r="3253" spans="1:24" ht="12" customHeight="1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519">C3253+1</f>
        <v>40951</v>
      </c>
      <c r="V3253">
        <f t="shared" si="1500"/>
        <v>12</v>
      </c>
      <c r="W3253">
        <f t="shared" si="1498"/>
        <v>2</v>
      </c>
      <c r="X3253">
        <f t="shared" si="1499"/>
        <v>2012</v>
      </c>
    </row>
    <row r="3254" spans="1:24" ht="12" customHeight="1">
      <c r="A3254" s="4">
        <v>7726</v>
      </c>
      <c r="B3254" s="4">
        <v>55361</v>
      </c>
      <c r="C3254" s="5">
        <f t="shared" ref="C3254:C3255" si="1520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519"/>
        <v>40626</v>
      </c>
      <c r="V3254">
        <f t="shared" si="1500"/>
        <v>24</v>
      </c>
      <c r="W3254">
        <f t="shared" si="1498"/>
        <v>3</v>
      </c>
      <c r="X3254">
        <f t="shared" si="1499"/>
        <v>2011</v>
      </c>
    </row>
    <row r="3255" spans="1:24" ht="12" customHeight="1">
      <c r="A3255" s="4">
        <v>7727</v>
      </c>
      <c r="B3255" s="4">
        <v>55361</v>
      </c>
      <c r="C3255" s="5">
        <f t="shared" si="1520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519"/>
        <v>40626</v>
      </c>
      <c r="V3255">
        <f t="shared" si="1500"/>
        <v>24</v>
      </c>
      <c r="W3255">
        <f t="shared" si="1498"/>
        <v>3</v>
      </c>
      <c r="X3255">
        <f t="shared" si="1499"/>
        <v>2011</v>
      </c>
    </row>
    <row r="3256" spans="1:24" ht="12" customHeight="1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519"/>
        <v>39957</v>
      </c>
      <c r="V3256">
        <f t="shared" si="1500"/>
        <v>24</v>
      </c>
      <c r="W3256">
        <f t="shared" si="1498"/>
        <v>5</v>
      </c>
      <c r="X3256">
        <f t="shared" si="1499"/>
        <v>2009</v>
      </c>
    </row>
    <row r="3257" spans="1:24" ht="12" customHeight="1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519"/>
        <v>40796</v>
      </c>
      <c r="V3257">
        <f t="shared" si="1500"/>
        <v>10</v>
      </c>
      <c r="W3257">
        <f t="shared" si="1498"/>
        <v>9</v>
      </c>
      <c r="X3257">
        <f t="shared" si="1499"/>
        <v>2011</v>
      </c>
    </row>
    <row r="3258" spans="1:24" ht="12" customHeight="1">
      <c r="A3258" s="4">
        <v>7972</v>
      </c>
      <c r="B3258" s="4">
        <v>57029</v>
      </c>
      <c r="C3258" s="5">
        <f t="shared" ref="C3258:C3259" si="1521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519"/>
        <v>40611</v>
      </c>
      <c r="V3258">
        <f t="shared" si="1500"/>
        <v>9</v>
      </c>
      <c r="W3258">
        <f t="shared" si="1498"/>
        <v>3</v>
      </c>
      <c r="X3258">
        <f t="shared" si="1499"/>
        <v>2011</v>
      </c>
    </row>
    <row r="3259" spans="1:24" ht="12" customHeight="1">
      <c r="A3259" s="4">
        <v>7973</v>
      </c>
      <c r="B3259" s="4">
        <v>57029</v>
      </c>
      <c r="C3259" s="5">
        <f t="shared" si="1521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519"/>
        <v>40611</v>
      </c>
      <c r="V3259">
        <f t="shared" si="1500"/>
        <v>9</v>
      </c>
      <c r="W3259">
        <f t="shared" si="1498"/>
        <v>3</v>
      </c>
      <c r="X3259">
        <f t="shared" si="1499"/>
        <v>2011</v>
      </c>
    </row>
    <row r="3260" spans="1:24" ht="12" customHeight="1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522">C3260+0</f>
        <v>41045</v>
      </c>
      <c r="V3260">
        <f t="shared" si="1500"/>
        <v>16</v>
      </c>
      <c r="W3260">
        <f t="shared" si="1498"/>
        <v>5</v>
      </c>
      <c r="X3260">
        <f t="shared" si="1499"/>
        <v>2012</v>
      </c>
    </row>
    <row r="3261" spans="1:24" ht="12" customHeight="1">
      <c r="A3261" s="4">
        <v>8137</v>
      </c>
      <c r="B3261" s="4">
        <v>58151</v>
      </c>
      <c r="C3261" s="5">
        <f t="shared" ref="C3261:C3262" si="1523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522"/>
        <v>40085</v>
      </c>
      <c r="V3261">
        <f t="shared" si="1500"/>
        <v>29</v>
      </c>
      <c r="W3261">
        <f t="shared" si="1498"/>
        <v>9</v>
      </c>
      <c r="X3261">
        <f t="shared" si="1499"/>
        <v>2009</v>
      </c>
    </row>
    <row r="3262" spans="1:24" ht="12" customHeight="1">
      <c r="A3262" s="4">
        <v>8138</v>
      </c>
      <c r="B3262" s="4">
        <v>58151</v>
      </c>
      <c r="C3262" s="5">
        <f t="shared" si="1523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522"/>
        <v>40085</v>
      </c>
      <c r="V3262">
        <f t="shared" si="1500"/>
        <v>29</v>
      </c>
      <c r="W3262">
        <f t="shared" si="1498"/>
        <v>9</v>
      </c>
      <c r="X3262">
        <f t="shared" si="1499"/>
        <v>2009</v>
      </c>
    </row>
    <row r="3263" spans="1:24" ht="12" customHeight="1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  <c r="V3263">
        <f t="shared" si="1500"/>
        <v>26</v>
      </c>
      <c r="W3263">
        <f t="shared" si="1498"/>
        <v>10</v>
      </c>
      <c r="X3263">
        <f t="shared" si="1499"/>
        <v>2010</v>
      </c>
    </row>
    <row r="3264" spans="1:24" ht="12" customHeight="1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  <c r="V3264">
        <f t="shared" si="1500"/>
        <v>7</v>
      </c>
      <c r="W3264">
        <f t="shared" si="1498"/>
        <v>7</v>
      </c>
      <c r="X3264">
        <f t="shared" si="1499"/>
        <v>2009</v>
      </c>
    </row>
    <row r="3265" spans="1:24" ht="12" customHeight="1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524">C3265+2</f>
        <v>40542</v>
      </c>
      <c r="V3265">
        <f t="shared" si="1500"/>
        <v>30</v>
      </c>
      <c r="W3265">
        <f t="shared" si="1498"/>
        <v>12</v>
      </c>
      <c r="X3265">
        <f t="shared" si="1499"/>
        <v>2010</v>
      </c>
    </row>
    <row r="3266" spans="1:24" ht="12" customHeight="1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524"/>
        <v>40684</v>
      </c>
      <c r="V3266">
        <f t="shared" si="1500"/>
        <v>21</v>
      </c>
      <c r="W3266">
        <f t="shared" si="1498"/>
        <v>5</v>
      </c>
      <c r="X3266">
        <f t="shared" si="1499"/>
        <v>2011</v>
      </c>
    </row>
    <row r="3267" spans="1:24" ht="12" customHeight="1">
      <c r="A3267" s="4">
        <v>177</v>
      </c>
      <c r="B3267" s="4">
        <v>1154</v>
      </c>
      <c r="C3267" s="5">
        <f t="shared" ref="C3267:C3268" si="1525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524"/>
        <v>40955</v>
      </c>
      <c r="V3267">
        <f t="shared" si="1500"/>
        <v>16</v>
      </c>
      <c r="W3267">
        <f t="shared" ref="W3267:W3330" si="1526">MONTH(U3267)</f>
        <v>2</v>
      </c>
      <c r="X3267">
        <f t="shared" ref="X3267:X3330" si="1527">YEAR(U3267)</f>
        <v>2012</v>
      </c>
    </row>
    <row r="3268" spans="1:24" ht="12" customHeight="1">
      <c r="A3268" s="4">
        <v>227</v>
      </c>
      <c r="B3268" s="4">
        <v>1537</v>
      </c>
      <c r="C3268" s="5">
        <f t="shared" si="1525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  <c r="V3268">
        <f t="shared" ref="V3268:V3331" si="1528">DAY(U3268)</f>
        <v>14</v>
      </c>
      <c r="W3268">
        <f t="shared" si="1526"/>
        <v>2</v>
      </c>
      <c r="X3268">
        <f t="shared" si="1527"/>
        <v>2012</v>
      </c>
    </row>
    <row r="3269" spans="1:24" ht="12" customHeight="1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529">C3269+1</f>
        <v>40497</v>
      </c>
      <c r="V3269">
        <f t="shared" si="1528"/>
        <v>15</v>
      </c>
      <c r="W3269">
        <f t="shared" si="1526"/>
        <v>11</v>
      </c>
      <c r="X3269">
        <f t="shared" si="1527"/>
        <v>2010</v>
      </c>
    </row>
    <row r="3270" spans="1:24" ht="12" customHeight="1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529"/>
        <v>39947</v>
      </c>
      <c r="V3270">
        <f t="shared" si="1528"/>
        <v>14</v>
      </c>
      <c r="W3270">
        <f t="shared" si="1526"/>
        <v>5</v>
      </c>
      <c r="X3270">
        <f t="shared" si="1527"/>
        <v>2009</v>
      </c>
    </row>
    <row r="3271" spans="1:24" ht="12" customHeight="1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530">C3271+2</f>
        <v>40523</v>
      </c>
      <c r="V3271">
        <f t="shared" si="1528"/>
        <v>11</v>
      </c>
      <c r="W3271">
        <f t="shared" si="1526"/>
        <v>12</v>
      </c>
      <c r="X3271">
        <f t="shared" si="1527"/>
        <v>2010</v>
      </c>
    </row>
    <row r="3272" spans="1:24" ht="12" customHeight="1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530"/>
        <v>39919</v>
      </c>
      <c r="V3272">
        <f t="shared" si="1528"/>
        <v>16</v>
      </c>
      <c r="W3272">
        <f t="shared" si="1526"/>
        <v>4</v>
      </c>
      <c r="X3272">
        <f t="shared" si="1527"/>
        <v>2009</v>
      </c>
    </row>
    <row r="3273" spans="1:24" ht="12" customHeight="1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530"/>
        <v>41191</v>
      </c>
      <c r="V3273">
        <f t="shared" si="1528"/>
        <v>9</v>
      </c>
      <c r="W3273">
        <f t="shared" si="1526"/>
        <v>10</v>
      </c>
      <c r="X3273">
        <f t="shared" si="1527"/>
        <v>2012</v>
      </c>
    </row>
    <row r="3274" spans="1:24" ht="12" customHeight="1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  <c r="V3274">
        <f t="shared" si="1528"/>
        <v>3</v>
      </c>
      <c r="W3274">
        <f t="shared" si="1526"/>
        <v>6</v>
      </c>
      <c r="X3274">
        <f t="shared" si="1527"/>
        <v>2012</v>
      </c>
    </row>
    <row r="3275" spans="1:24" ht="12" customHeight="1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531">C3275+2</f>
        <v>40219</v>
      </c>
      <c r="V3275">
        <f t="shared" si="1528"/>
        <v>10</v>
      </c>
      <c r="W3275">
        <f t="shared" si="1526"/>
        <v>2</v>
      </c>
      <c r="X3275">
        <f t="shared" si="1527"/>
        <v>2010</v>
      </c>
    </row>
    <row r="3276" spans="1:24" ht="12" customHeight="1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531"/>
        <v>40483</v>
      </c>
      <c r="V3276">
        <f t="shared" si="1528"/>
        <v>1</v>
      </c>
      <c r="W3276">
        <f t="shared" si="1526"/>
        <v>11</v>
      </c>
      <c r="X3276">
        <f t="shared" si="1527"/>
        <v>2010</v>
      </c>
    </row>
    <row r="3277" spans="1:24" ht="12" customHeight="1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  <c r="V3277">
        <f t="shared" si="1528"/>
        <v>25</v>
      </c>
      <c r="W3277">
        <f t="shared" si="1526"/>
        <v>12</v>
      </c>
      <c r="X3277">
        <f t="shared" si="1527"/>
        <v>2011</v>
      </c>
    </row>
    <row r="3278" spans="1:24" ht="12" customHeight="1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  <c r="V3278">
        <f t="shared" si="1528"/>
        <v>21</v>
      </c>
      <c r="W3278">
        <f t="shared" si="1526"/>
        <v>3</v>
      </c>
      <c r="X3278">
        <f t="shared" si="1527"/>
        <v>2010</v>
      </c>
    </row>
    <row r="3279" spans="1:24" ht="12" customHeight="1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  <c r="V3279">
        <f t="shared" si="1528"/>
        <v>17</v>
      </c>
      <c r="W3279">
        <f t="shared" si="1526"/>
        <v>12</v>
      </c>
      <c r="X3279">
        <f t="shared" si="1527"/>
        <v>2011</v>
      </c>
    </row>
    <row r="3280" spans="1:24" ht="12" customHeight="1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  <c r="V3280">
        <f t="shared" si="1528"/>
        <v>26</v>
      </c>
      <c r="W3280">
        <f t="shared" si="1526"/>
        <v>9</v>
      </c>
      <c r="X3280">
        <f t="shared" si="1527"/>
        <v>2009</v>
      </c>
    </row>
    <row r="3281" spans="1:24" ht="12" customHeight="1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  <c r="V3281">
        <f t="shared" si="1528"/>
        <v>3</v>
      </c>
      <c r="W3281">
        <f t="shared" si="1526"/>
        <v>1</v>
      </c>
      <c r="X3281">
        <f t="shared" si="1527"/>
        <v>2010</v>
      </c>
    </row>
    <row r="3282" spans="1:24" ht="12" customHeight="1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  <c r="V3282">
        <f t="shared" si="1528"/>
        <v>22</v>
      </c>
      <c r="W3282">
        <f t="shared" si="1526"/>
        <v>12</v>
      </c>
      <c r="X3282">
        <f t="shared" si="1527"/>
        <v>2011</v>
      </c>
    </row>
    <row r="3283" spans="1:24" ht="12" customHeight="1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  <c r="V3283">
        <f t="shared" si="1528"/>
        <v>26</v>
      </c>
      <c r="W3283">
        <f t="shared" si="1526"/>
        <v>12</v>
      </c>
      <c r="X3283">
        <f t="shared" si="1527"/>
        <v>2011</v>
      </c>
    </row>
    <row r="3284" spans="1:24" ht="12" customHeight="1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  <c r="V3284">
        <f t="shared" si="1528"/>
        <v>26</v>
      </c>
      <c r="W3284">
        <f t="shared" si="1526"/>
        <v>11</v>
      </c>
      <c r="X3284">
        <f t="shared" si="1527"/>
        <v>2010</v>
      </c>
    </row>
    <row r="3285" spans="1:24" ht="12" customHeight="1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  <c r="V3285">
        <f t="shared" si="1528"/>
        <v>22</v>
      </c>
      <c r="W3285">
        <f t="shared" si="1526"/>
        <v>12</v>
      </c>
      <c r="X3285">
        <f t="shared" si="1527"/>
        <v>2011</v>
      </c>
    </row>
    <row r="3286" spans="1:24" ht="12" customHeight="1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  <c r="V3286">
        <f t="shared" si="1528"/>
        <v>15</v>
      </c>
      <c r="W3286">
        <f t="shared" si="1526"/>
        <v>9</v>
      </c>
      <c r="X3286">
        <f t="shared" si="1527"/>
        <v>2011</v>
      </c>
    </row>
    <row r="3287" spans="1:24" ht="12" customHeight="1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532">C3287+2</f>
        <v>39980</v>
      </c>
      <c r="V3287">
        <f t="shared" si="1528"/>
        <v>16</v>
      </c>
      <c r="W3287">
        <f t="shared" si="1526"/>
        <v>6</v>
      </c>
      <c r="X3287">
        <f t="shared" si="1527"/>
        <v>2009</v>
      </c>
    </row>
    <row r="3288" spans="1:24" ht="12" customHeight="1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532"/>
        <v>39981</v>
      </c>
      <c r="V3288">
        <f t="shared" si="1528"/>
        <v>17</v>
      </c>
      <c r="W3288">
        <f t="shared" si="1526"/>
        <v>6</v>
      </c>
      <c r="X3288">
        <f t="shared" si="1527"/>
        <v>2009</v>
      </c>
    </row>
    <row r="3289" spans="1:24" ht="12" customHeight="1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  <c r="V3289">
        <f t="shared" si="1528"/>
        <v>29</v>
      </c>
      <c r="W3289">
        <f t="shared" si="1526"/>
        <v>3</v>
      </c>
      <c r="X3289">
        <f t="shared" si="1527"/>
        <v>2012</v>
      </c>
    </row>
    <row r="3290" spans="1:24" ht="12" customHeight="1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  <c r="V3290">
        <f t="shared" si="1528"/>
        <v>28</v>
      </c>
      <c r="W3290">
        <f t="shared" si="1526"/>
        <v>8</v>
      </c>
      <c r="X3290">
        <f t="shared" si="1527"/>
        <v>2009</v>
      </c>
    </row>
    <row r="3291" spans="1:24" ht="12" customHeight="1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533">C3291+1</f>
        <v>40908</v>
      </c>
      <c r="V3291">
        <f t="shared" si="1528"/>
        <v>31</v>
      </c>
      <c r="W3291">
        <f t="shared" si="1526"/>
        <v>12</v>
      </c>
      <c r="X3291">
        <f t="shared" si="1527"/>
        <v>2011</v>
      </c>
    </row>
    <row r="3292" spans="1:24" ht="12" customHeight="1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533"/>
        <v>40275</v>
      </c>
      <c r="V3292">
        <f t="shared" si="1528"/>
        <v>7</v>
      </c>
      <c r="W3292">
        <f t="shared" si="1526"/>
        <v>4</v>
      </c>
      <c r="X3292">
        <f t="shared" si="1527"/>
        <v>2010</v>
      </c>
    </row>
    <row r="3293" spans="1:24" ht="12" customHeight="1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  <c r="V3293">
        <f t="shared" si="1528"/>
        <v>29</v>
      </c>
      <c r="W3293">
        <f t="shared" si="1526"/>
        <v>11</v>
      </c>
      <c r="X3293">
        <f t="shared" si="1527"/>
        <v>2010</v>
      </c>
    </row>
    <row r="3294" spans="1:24" ht="12" customHeight="1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  <c r="V3294">
        <f t="shared" si="1528"/>
        <v>12</v>
      </c>
      <c r="W3294">
        <f t="shared" si="1526"/>
        <v>8</v>
      </c>
      <c r="X3294">
        <f t="shared" si="1527"/>
        <v>2010</v>
      </c>
    </row>
    <row r="3295" spans="1:24" ht="12" customHeight="1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534">C3295+7</f>
        <v>40961</v>
      </c>
      <c r="V3295">
        <f t="shared" si="1528"/>
        <v>22</v>
      </c>
      <c r="W3295">
        <f t="shared" si="1526"/>
        <v>2</v>
      </c>
      <c r="X3295">
        <f t="shared" si="1527"/>
        <v>2012</v>
      </c>
    </row>
    <row r="3296" spans="1:24" ht="12" customHeight="1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534"/>
        <v>40340</v>
      </c>
      <c r="V3296">
        <f t="shared" si="1528"/>
        <v>11</v>
      </c>
      <c r="W3296">
        <f t="shared" si="1526"/>
        <v>6</v>
      </c>
      <c r="X3296">
        <f t="shared" si="1527"/>
        <v>2010</v>
      </c>
    </row>
    <row r="3297" spans="1:24" ht="12" customHeight="1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535">C3297+2</f>
        <v>40653</v>
      </c>
      <c r="V3297">
        <f t="shared" si="1528"/>
        <v>20</v>
      </c>
      <c r="W3297">
        <f t="shared" si="1526"/>
        <v>4</v>
      </c>
      <c r="X3297">
        <f t="shared" si="1527"/>
        <v>2011</v>
      </c>
    </row>
    <row r="3298" spans="1:24" ht="12" customHeight="1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535"/>
        <v>40951</v>
      </c>
      <c r="V3298">
        <f t="shared" si="1528"/>
        <v>12</v>
      </c>
      <c r="W3298">
        <f t="shared" si="1526"/>
        <v>2</v>
      </c>
      <c r="X3298">
        <f t="shared" si="1527"/>
        <v>2012</v>
      </c>
    </row>
    <row r="3299" spans="1:24" ht="12" customHeight="1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536">C3299+0</f>
        <v>40087</v>
      </c>
      <c r="V3299">
        <f t="shared" si="1528"/>
        <v>1</v>
      </c>
      <c r="W3299">
        <f t="shared" si="1526"/>
        <v>10</v>
      </c>
      <c r="X3299">
        <f t="shared" si="1527"/>
        <v>2009</v>
      </c>
    </row>
    <row r="3300" spans="1:24" ht="12" customHeight="1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536"/>
        <v>40793</v>
      </c>
      <c r="V3300">
        <f t="shared" si="1528"/>
        <v>7</v>
      </c>
      <c r="W3300">
        <f t="shared" si="1526"/>
        <v>9</v>
      </c>
      <c r="X3300">
        <f t="shared" si="1527"/>
        <v>2011</v>
      </c>
    </row>
    <row r="3301" spans="1:24" ht="12" customHeight="1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537">C3301+2</f>
        <v>41150</v>
      </c>
      <c r="V3301">
        <f t="shared" si="1528"/>
        <v>29</v>
      </c>
      <c r="W3301">
        <f t="shared" si="1526"/>
        <v>8</v>
      </c>
      <c r="X3301">
        <f t="shared" si="1527"/>
        <v>2012</v>
      </c>
    </row>
    <row r="3302" spans="1:24" ht="12" customHeight="1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537"/>
        <v>40168</v>
      </c>
      <c r="V3302">
        <f t="shared" si="1528"/>
        <v>21</v>
      </c>
      <c r="W3302">
        <f t="shared" si="1526"/>
        <v>12</v>
      </c>
      <c r="X3302">
        <f t="shared" si="1527"/>
        <v>2009</v>
      </c>
    </row>
    <row r="3303" spans="1:24" ht="12" customHeight="1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  <c r="V3303">
        <f t="shared" si="1528"/>
        <v>7</v>
      </c>
      <c r="W3303">
        <f t="shared" si="1526"/>
        <v>4</v>
      </c>
      <c r="X3303">
        <f t="shared" si="1527"/>
        <v>2009</v>
      </c>
    </row>
    <row r="3304" spans="1:24" ht="12" customHeight="1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  <c r="V3304">
        <f t="shared" si="1528"/>
        <v>11</v>
      </c>
      <c r="W3304">
        <f t="shared" si="1526"/>
        <v>8</v>
      </c>
      <c r="X3304">
        <f t="shared" si="1527"/>
        <v>2012</v>
      </c>
    </row>
    <row r="3305" spans="1:24" ht="12" customHeight="1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  <c r="V3305">
        <f t="shared" si="1528"/>
        <v>21</v>
      </c>
      <c r="W3305">
        <f t="shared" si="1526"/>
        <v>8</v>
      </c>
      <c r="X3305">
        <f t="shared" si="1527"/>
        <v>2011</v>
      </c>
    </row>
    <row r="3306" spans="1:24" ht="12" customHeight="1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  <c r="V3306">
        <f t="shared" si="1528"/>
        <v>9</v>
      </c>
      <c r="W3306">
        <f t="shared" si="1526"/>
        <v>12</v>
      </c>
      <c r="X3306">
        <f t="shared" si="1527"/>
        <v>2009</v>
      </c>
    </row>
    <row r="3307" spans="1:24" ht="12" customHeight="1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  <c r="V3307">
        <f t="shared" si="1528"/>
        <v>12</v>
      </c>
      <c r="W3307">
        <f t="shared" si="1526"/>
        <v>5</v>
      </c>
      <c r="X3307">
        <f t="shared" si="1527"/>
        <v>2010</v>
      </c>
    </row>
    <row r="3308" spans="1:24" ht="12" customHeight="1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  <c r="V3308">
        <f t="shared" si="1528"/>
        <v>27</v>
      </c>
      <c r="W3308">
        <f t="shared" si="1526"/>
        <v>3</v>
      </c>
      <c r="X3308">
        <f t="shared" si="1527"/>
        <v>2011</v>
      </c>
    </row>
    <row r="3309" spans="1:24" ht="12" customHeight="1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  <c r="V3309">
        <f t="shared" si="1528"/>
        <v>3</v>
      </c>
      <c r="W3309">
        <f t="shared" si="1526"/>
        <v>10</v>
      </c>
      <c r="X3309">
        <f t="shared" si="1527"/>
        <v>2009</v>
      </c>
    </row>
    <row r="3310" spans="1:24" ht="12" customHeight="1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  <c r="V3310">
        <f t="shared" si="1528"/>
        <v>24</v>
      </c>
      <c r="W3310">
        <f t="shared" si="1526"/>
        <v>3</v>
      </c>
      <c r="X3310">
        <f t="shared" si="1527"/>
        <v>2010</v>
      </c>
    </row>
    <row r="3311" spans="1:24" ht="12" customHeight="1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  <c r="V3311">
        <f t="shared" si="1528"/>
        <v>29</v>
      </c>
      <c r="W3311">
        <f t="shared" si="1526"/>
        <v>10</v>
      </c>
      <c r="X3311">
        <f t="shared" si="1527"/>
        <v>2012</v>
      </c>
    </row>
    <row r="3312" spans="1:24" ht="12" customHeight="1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  <c r="V3312">
        <f t="shared" si="1528"/>
        <v>9</v>
      </c>
      <c r="W3312">
        <f t="shared" si="1526"/>
        <v>3</v>
      </c>
      <c r="X3312">
        <f t="shared" si="1527"/>
        <v>2012</v>
      </c>
    </row>
    <row r="3313" spans="1:24" ht="12" customHeight="1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  <c r="V3313">
        <f t="shared" si="1528"/>
        <v>20</v>
      </c>
      <c r="W3313">
        <f t="shared" si="1526"/>
        <v>1</v>
      </c>
      <c r="X3313">
        <f t="shared" si="1527"/>
        <v>2012</v>
      </c>
    </row>
    <row r="3314" spans="1:24" ht="12" customHeight="1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  <c r="V3314">
        <f t="shared" si="1528"/>
        <v>16</v>
      </c>
      <c r="W3314">
        <f t="shared" si="1526"/>
        <v>6</v>
      </c>
      <c r="X3314">
        <f t="shared" si="1527"/>
        <v>2011</v>
      </c>
    </row>
    <row r="3315" spans="1:24" ht="12" customHeight="1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  <c r="V3315">
        <f t="shared" si="1528"/>
        <v>26</v>
      </c>
      <c r="W3315">
        <f t="shared" si="1526"/>
        <v>8</v>
      </c>
      <c r="X3315">
        <f t="shared" si="1527"/>
        <v>2011</v>
      </c>
    </row>
    <row r="3316" spans="1:24" ht="12" customHeight="1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  <c r="V3316">
        <f t="shared" si="1528"/>
        <v>3</v>
      </c>
      <c r="W3316">
        <f t="shared" si="1526"/>
        <v>12</v>
      </c>
      <c r="X3316">
        <f t="shared" si="1527"/>
        <v>2012</v>
      </c>
    </row>
    <row r="3317" spans="1:24" ht="12" customHeight="1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  <c r="V3317">
        <f t="shared" si="1528"/>
        <v>5</v>
      </c>
      <c r="W3317">
        <f t="shared" si="1526"/>
        <v>4</v>
      </c>
      <c r="X3317">
        <f t="shared" si="1527"/>
        <v>2012</v>
      </c>
    </row>
    <row r="3318" spans="1:24" ht="12" customHeight="1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538">C3318+1</f>
        <v>40193</v>
      </c>
      <c r="V3318">
        <f t="shared" si="1528"/>
        <v>15</v>
      </c>
      <c r="W3318">
        <f t="shared" si="1526"/>
        <v>1</v>
      </c>
      <c r="X3318">
        <f t="shared" si="1527"/>
        <v>2010</v>
      </c>
    </row>
    <row r="3319" spans="1:24" ht="12" customHeight="1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538"/>
        <v>40340</v>
      </c>
      <c r="V3319">
        <f t="shared" si="1528"/>
        <v>11</v>
      </c>
      <c r="W3319">
        <f t="shared" si="1526"/>
        <v>6</v>
      </c>
      <c r="X3319">
        <f t="shared" si="1527"/>
        <v>2010</v>
      </c>
    </row>
    <row r="3320" spans="1:24" ht="12" customHeight="1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538"/>
        <v>40854</v>
      </c>
      <c r="V3320">
        <f t="shared" si="1528"/>
        <v>7</v>
      </c>
      <c r="W3320">
        <f t="shared" si="1526"/>
        <v>11</v>
      </c>
      <c r="X3320">
        <f t="shared" si="1527"/>
        <v>2011</v>
      </c>
    </row>
    <row r="3321" spans="1:24" ht="12" customHeight="1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539">C3321+2</f>
        <v>40154</v>
      </c>
      <c r="V3321">
        <f t="shared" si="1528"/>
        <v>7</v>
      </c>
      <c r="W3321">
        <f t="shared" si="1526"/>
        <v>12</v>
      </c>
      <c r="X3321">
        <f t="shared" si="1527"/>
        <v>2009</v>
      </c>
    </row>
    <row r="3322" spans="1:24" ht="12" customHeight="1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539"/>
        <v>40059</v>
      </c>
      <c r="V3322">
        <f t="shared" si="1528"/>
        <v>3</v>
      </c>
      <c r="W3322">
        <f t="shared" si="1526"/>
        <v>9</v>
      </c>
      <c r="X3322">
        <f t="shared" si="1527"/>
        <v>2009</v>
      </c>
    </row>
    <row r="3323" spans="1:24" ht="12" customHeight="1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539"/>
        <v>40823</v>
      </c>
      <c r="V3323">
        <f t="shared" si="1528"/>
        <v>7</v>
      </c>
      <c r="W3323">
        <f t="shared" si="1526"/>
        <v>10</v>
      </c>
      <c r="X3323">
        <f t="shared" si="1527"/>
        <v>2011</v>
      </c>
    </row>
    <row r="3324" spans="1:24" ht="12" customHeight="1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  <c r="V3324">
        <f t="shared" si="1528"/>
        <v>25</v>
      </c>
      <c r="W3324">
        <f t="shared" si="1526"/>
        <v>1</v>
      </c>
      <c r="X3324">
        <f t="shared" si="1527"/>
        <v>2010</v>
      </c>
    </row>
    <row r="3325" spans="1:24" ht="12" customHeight="1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  <c r="V3325">
        <f t="shared" si="1528"/>
        <v>23</v>
      </c>
      <c r="W3325">
        <f t="shared" si="1526"/>
        <v>6</v>
      </c>
      <c r="X3325">
        <f t="shared" si="1527"/>
        <v>2009</v>
      </c>
    </row>
    <row r="3326" spans="1:24" ht="12" customHeight="1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  <c r="V3326">
        <f t="shared" si="1528"/>
        <v>11</v>
      </c>
      <c r="W3326">
        <f t="shared" si="1526"/>
        <v>12</v>
      </c>
      <c r="X3326">
        <f t="shared" si="1527"/>
        <v>2012</v>
      </c>
    </row>
    <row r="3327" spans="1:24" ht="12" customHeight="1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  <c r="V3327">
        <f t="shared" si="1528"/>
        <v>20</v>
      </c>
      <c r="W3327">
        <f t="shared" si="1526"/>
        <v>5</v>
      </c>
      <c r="X3327">
        <f t="shared" si="1527"/>
        <v>2010</v>
      </c>
    </row>
    <row r="3328" spans="1:24" ht="12" customHeight="1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  <c r="V3328">
        <f t="shared" si="1528"/>
        <v>3</v>
      </c>
      <c r="W3328">
        <f t="shared" si="1526"/>
        <v>6</v>
      </c>
      <c r="X3328">
        <f t="shared" si="1527"/>
        <v>2010</v>
      </c>
    </row>
    <row r="3329" spans="1:24" ht="12" customHeight="1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  <c r="V3329">
        <f t="shared" si="1528"/>
        <v>6</v>
      </c>
      <c r="W3329">
        <f t="shared" si="1526"/>
        <v>7</v>
      </c>
      <c r="X3329">
        <f t="shared" si="1527"/>
        <v>2012</v>
      </c>
    </row>
    <row r="3330" spans="1:24" ht="12" customHeight="1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540">C3330+2</f>
        <v>40463</v>
      </c>
      <c r="V3330">
        <f t="shared" si="1528"/>
        <v>12</v>
      </c>
      <c r="W3330">
        <f t="shared" si="1526"/>
        <v>10</v>
      </c>
      <c r="X3330">
        <f t="shared" si="1527"/>
        <v>2010</v>
      </c>
    </row>
    <row r="3331" spans="1:24" ht="12" customHeight="1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540"/>
        <v>41144</v>
      </c>
      <c r="V3331">
        <f t="shared" si="1528"/>
        <v>23</v>
      </c>
      <c r="W3331">
        <f t="shared" ref="W3331:W3394" si="1541">MONTH(U3331)</f>
        <v>8</v>
      </c>
      <c r="X3331">
        <f t="shared" ref="X3331:X3394" si="1542">YEAR(U3331)</f>
        <v>2012</v>
      </c>
    </row>
    <row r="3332" spans="1:24" ht="12" customHeight="1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540"/>
        <v>40601</v>
      </c>
      <c r="V3332">
        <f t="shared" ref="V3332:V3395" si="1543">DAY(U3332)</f>
        <v>27</v>
      </c>
      <c r="W3332">
        <f t="shared" si="1541"/>
        <v>2</v>
      </c>
      <c r="X3332">
        <f t="shared" si="1542"/>
        <v>2011</v>
      </c>
    </row>
    <row r="3333" spans="1:24" ht="12" customHeight="1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540"/>
        <v>40509</v>
      </c>
      <c r="V3333">
        <f t="shared" si="1543"/>
        <v>27</v>
      </c>
      <c r="W3333">
        <f t="shared" si="1541"/>
        <v>11</v>
      </c>
      <c r="X3333">
        <f t="shared" si="1542"/>
        <v>2010</v>
      </c>
    </row>
    <row r="3334" spans="1:24" ht="12" customHeight="1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540"/>
        <v>40810</v>
      </c>
      <c r="V3334">
        <f t="shared" si="1543"/>
        <v>24</v>
      </c>
      <c r="W3334">
        <f t="shared" si="1541"/>
        <v>9</v>
      </c>
      <c r="X3334">
        <f t="shared" si="1542"/>
        <v>2011</v>
      </c>
    </row>
    <row r="3335" spans="1:24" ht="12" customHeight="1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540"/>
        <v>40889</v>
      </c>
      <c r="V3335">
        <f t="shared" si="1543"/>
        <v>12</v>
      </c>
      <c r="W3335">
        <f t="shared" si="1541"/>
        <v>12</v>
      </c>
      <c r="X3335">
        <f t="shared" si="1542"/>
        <v>2011</v>
      </c>
    </row>
    <row r="3336" spans="1:24" ht="12" customHeight="1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540"/>
        <v>40996</v>
      </c>
      <c r="V3336">
        <f t="shared" si="1543"/>
        <v>28</v>
      </c>
      <c r="W3336">
        <f t="shared" si="1541"/>
        <v>3</v>
      </c>
      <c r="X3336">
        <f t="shared" si="1542"/>
        <v>2012</v>
      </c>
    </row>
    <row r="3337" spans="1:24" ht="12" customHeight="1">
      <c r="A3337" s="4">
        <v>972</v>
      </c>
      <c r="B3337" s="4">
        <v>7075</v>
      </c>
      <c r="C3337" s="5">
        <f t="shared" ref="C3337:C3338" si="1544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540"/>
        <v>40828</v>
      </c>
      <c r="V3337">
        <f t="shared" si="1543"/>
        <v>12</v>
      </c>
      <c r="W3337">
        <f t="shared" si="1541"/>
        <v>10</v>
      </c>
      <c r="X3337">
        <f t="shared" si="1542"/>
        <v>2011</v>
      </c>
    </row>
    <row r="3338" spans="1:24" ht="12" customHeight="1">
      <c r="A3338" s="4">
        <v>973</v>
      </c>
      <c r="B3338" s="4">
        <v>7075</v>
      </c>
      <c r="C3338" s="5">
        <f t="shared" si="1544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  <c r="V3338">
        <f t="shared" si="1543"/>
        <v>14</v>
      </c>
      <c r="W3338">
        <f t="shared" si="1541"/>
        <v>10</v>
      </c>
      <c r="X3338">
        <f t="shared" si="1542"/>
        <v>2011</v>
      </c>
    </row>
    <row r="3339" spans="1:24" ht="12" customHeight="1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  <c r="V3339">
        <f t="shared" si="1543"/>
        <v>15</v>
      </c>
      <c r="W3339">
        <f t="shared" si="1541"/>
        <v>9</v>
      </c>
      <c r="X3339">
        <f t="shared" si="1542"/>
        <v>2009</v>
      </c>
    </row>
    <row r="3340" spans="1:24" ht="12" customHeight="1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545">C3340+2</f>
        <v>40252</v>
      </c>
      <c r="V3340">
        <f t="shared" si="1543"/>
        <v>15</v>
      </c>
      <c r="W3340">
        <f t="shared" si="1541"/>
        <v>3</v>
      </c>
      <c r="X3340">
        <f t="shared" si="1542"/>
        <v>2010</v>
      </c>
    </row>
    <row r="3341" spans="1:24" ht="12" customHeight="1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545"/>
        <v>41205</v>
      </c>
      <c r="V3341">
        <f t="shared" si="1543"/>
        <v>23</v>
      </c>
      <c r="W3341">
        <f t="shared" si="1541"/>
        <v>10</v>
      </c>
      <c r="X3341">
        <f t="shared" si="1542"/>
        <v>2012</v>
      </c>
    </row>
    <row r="3342" spans="1:24" ht="12" customHeight="1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  <c r="V3342">
        <f t="shared" si="1543"/>
        <v>2</v>
      </c>
      <c r="W3342">
        <f t="shared" si="1541"/>
        <v>2</v>
      </c>
      <c r="X3342">
        <f t="shared" si="1542"/>
        <v>2010</v>
      </c>
    </row>
    <row r="3343" spans="1:24" ht="12" customHeight="1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  <c r="V3343">
        <f t="shared" si="1543"/>
        <v>22</v>
      </c>
      <c r="W3343">
        <f t="shared" si="1541"/>
        <v>7</v>
      </c>
      <c r="X3343">
        <f t="shared" si="1542"/>
        <v>2011</v>
      </c>
    </row>
    <row r="3344" spans="1:24" ht="12" customHeight="1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546">C3344+2</f>
        <v>41064</v>
      </c>
      <c r="V3344">
        <f t="shared" si="1543"/>
        <v>4</v>
      </c>
      <c r="W3344">
        <f t="shared" si="1541"/>
        <v>6</v>
      </c>
      <c r="X3344">
        <f t="shared" si="1542"/>
        <v>2012</v>
      </c>
    </row>
    <row r="3345" spans="1:24" ht="12" customHeight="1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546"/>
        <v>39918</v>
      </c>
      <c r="V3345">
        <f t="shared" si="1543"/>
        <v>15</v>
      </c>
      <c r="W3345">
        <f t="shared" si="1541"/>
        <v>4</v>
      </c>
      <c r="X3345">
        <f t="shared" si="1542"/>
        <v>2009</v>
      </c>
    </row>
    <row r="3346" spans="1:24" ht="12" customHeight="1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  <c r="V3346">
        <f t="shared" si="1543"/>
        <v>9</v>
      </c>
      <c r="W3346">
        <f t="shared" si="1541"/>
        <v>1</v>
      </c>
      <c r="X3346">
        <f t="shared" si="1542"/>
        <v>2011</v>
      </c>
    </row>
    <row r="3347" spans="1:24" ht="12" customHeight="1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547">C3347+1</f>
        <v>40797</v>
      </c>
      <c r="V3347">
        <f t="shared" si="1543"/>
        <v>11</v>
      </c>
      <c r="W3347">
        <f t="shared" si="1541"/>
        <v>9</v>
      </c>
      <c r="X3347">
        <f t="shared" si="1542"/>
        <v>2011</v>
      </c>
    </row>
    <row r="3348" spans="1:24" ht="12" customHeight="1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547"/>
        <v>41043</v>
      </c>
      <c r="V3348">
        <f t="shared" si="1543"/>
        <v>14</v>
      </c>
      <c r="W3348">
        <f t="shared" si="1541"/>
        <v>5</v>
      </c>
      <c r="X3348">
        <f t="shared" si="1542"/>
        <v>2012</v>
      </c>
    </row>
    <row r="3349" spans="1:24" ht="12" customHeight="1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547"/>
        <v>40482</v>
      </c>
      <c r="V3349">
        <f t="shared" si="1543"/>
        <v>31</v>
      </c>
      <c r="W3349">
        <f t="shared" si="1541"/>
        <v>10</v>
      </c>
      <c r="X3349">
        <f t="shared" si="1542"/>
        <v>2010</v>
      </c>
    </row>
    <row r="3350" spans="1:24" ht="12" customHeight="1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547"/>
        <v>41177</v>
      </c>
      <c r="V3350">
        <f t="shared" si="1543"/>
        <v>25</v>
      </c>
      <c r="W3350">
        <f t="shared" si="1541"/>
        <v>9</v>
      </c>
      <c r="X3350">
        <f t="shared" si="1542"/>
        <v>2012</v>
      </c>
    </row>
    <row r="3351" spans="1:24" ht="12" customHeight="1">
      <c r="A3351" s="4">
        <v>1628</v>
      </c>
      <c r="B3351" s="4">
        <v>11779</v>
      </c>
      <c r="C3351" s="5">
        <f t="shared" ref="C3351:C3352" si="1548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  <c r="V3351">
        <f t="shared" si="1543"/>
        <v>1</v>
      </c>
      <c r="W3351">
        <f t="shared" si="1541"/>
        <v>7</v>
      </c>
      <c r="X3351">
        <f t="shared" si="1542"/>
        <v>2010</v>
      </c>
    </row>
    <row r="3352" spans="1:24" ht="12" customHeight="1">
      <c r="A3352" s="4">
        <v>1629</v>
      </c>
      <c r="B3352" s="4">
        <v>11779</v>
      </c>
      <c r="C3352" s="5">
        <f t="shared" si="1548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  <c r="V3352">
        <f t="shared" si="1543"/>
        <v>30</v>
      </c>
      <c r="W3352">
        <f t="shared" si="1541"/>
        <v>6</v>
      </c>
      <c r="X3352">
        <f t="shared" si="1542"/>
        <v>2010</v>
      </c>
    </row>
    <row r="3353" spans="1:24" ht="12" customHeight="1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  <c r="V3353">
        <f t="shared" si="1543"/>
        <v>16</v>
      </c>
      <c r="W3353">
        <f t="shared" si="1541"/>
        <v>5</v>
      </c>
      <c r="X3353">
        <f t="shared" si="1542"/>
        <v>2010</v>
      </c>
    </row>
    <row r="3354" spans="1:24" ht="12" customHeight="1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  <c r="V3354">
        <f t="shared" si="1543"/>
        <v>15</v>
      </c>
      <c r="W3354">
        <f t="shared" si="1541"/>
        <v>1</v>
      </c>
      <c r="X3354">
        <f t="shared" si="1542"/>
        <v>2010</v>
      </c>
    </row>
    <row r="3355" spans="1:24" ht="12" customHeight="1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549">C3355+1</f>
        <v>40604</v>
      </c>
      <c r="V3355">
        <f t="shared" si="1543"/>
        <v>2</v>
      </c>
      <c r="W3355">
        <f t="shared" si="1541"/>
        <v>3</v>
      </c>
      <c r="X3355">
        <f t="shared" si="1542"/>
        <v>2011</v>
      </c>
    </row>
    <row r="3356" spans="1:24" ht="12" customHeight="1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549"/>
        <v>41024</v>
      </c>
      <c r="V3356">
        <f t="shared" si="1543"/>
        <v>25</v>
      </c>
      <c r="W3356">
        <f t="shared" si="1541"/>
        <v>4</v>
      </c>
      <c r="X3356">
        <f t="shared" si="1542"/>
        <v>2012</v>
      </c>
    </row>
    <row r="3357" spans="1:24" ht="12" customHeight="1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550">C3357+2</f>
        <v>40925</v>
      </c>
      <c r="V3357">
        <f t="shared" si="1543"/>
        <v>17</v>
      </c>
      <c r="W3357">
        <f t="shared" si="1541"/>
        <v>1</v>
      </c>
      <c r="X3357">
        <f t="shared" si="1542"/>
        <v>2012</v>
      </c>
    </row>
    <row r="3358" spans="1:24" ht="12" customHeight="1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550"/>
        <v>40469</v>
      </c>
      <c r="V3358">
        <f t="shared" si="1543"/>
        <v>18</v>
      </c>
      <c r="W3358">
        <f t="shared" si="1541"/>
        <v>10</v>
      </c>
      <c r="X3358">
        <f t="shared" si="1542"/>
        <v>2010</v>
      </c>
    </row>
    <row r="3359" spans="1:24" ht="12" customHeight="1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  <c r="V3359">
        <f t="shared" si="1543"/>
        <v>18</v>
      </c>
      <c r="W3359">
        <f t="shared" si="1541"/>
        <v>5</v>
      </c>
      <c r="X3359">
        <f t="shared" si="1542"/>
        <v>2012</v>
      </c>
    </row>
    <row r="3360" spans="1:24" ht="12" customHeight="1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  <c r="V3360">
        <f t="shared" si="1543"/>
        <v>12</v>
      </c>
      <c r="W3360">
        <f t="shared" si="1541"/>
        <v>5</v>
      </c>
      <c r="X3360">
        <f t="shared" si="1542"/>
        <v>2010</v>
      </c>
    </row>
    <row r="3361" spans="1:24" ht="12" customHeight="1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  <c r="V3361">
        <f t="shared" si="1543"/>
        <v>24</v>
      </c>
      <c r="W3361">
        <f t="shared" si="1541"/>
        <v>7</v>
      </c>
      <c r="X3361">
        <f t="shared" si="1542"/>
        <v>2009</v>
      </c>
    </row>
    <row r="3362" spans="1:24" ht="12" customHeight="1">
      <c r="A3362" s="4">
        <v>1974</v>
      </c>
      <c r="B3362" s="4">
        <v>14114</v>
      </c>
      <c r="C3362" s="5">
        <f t="shared" ref="C3362:C3363" si="1551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  <c r="V3362">
        <f t="shared" si="1543"/>
        <v>8</v>
      </c>
      <c r="W3362">
        <f t="shared" si="1541"/>
        <v>4</v>
      </c>
      <c r="X3362">
        <f t="shared" si="1542"/>
        <v>2009</v>
      </c>
    </row>
    <row r="3363" spans="1:24" ht="12" customHeight="1">
      <c r="A3363" s="4">
        <v>1975</v>
      </c>
      <c r="B3363" s="4">
        <v>14114</v>
      </c>
      <c r="C3363" s="5">
        <f t="shared" si="1551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  <c r="V3363">
        <f t="shared" si="1543"/>
        <v>6</v>
      </c>
      <c r="W3363">
        <f t="shared" si="1541"/>
        <v>4</v>
      </c>
      <c r="X3363">
        <f t="shared" si="1542"/>
        <v>2009</v>
      </c>
    </row>
    <row r="3364" spans="1:24" ht="12" customHeight="1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552">C3364+2</f>
        <v>40900</v>
      </c>
      <c r="V3364">
        <f t="shared" si="1543"/>
        <v>23</v>
      </c>
      <c r="W3364">
        <f t="shared" si="1541"/>
        <v>12</v>
      </c>
      <c r="X3364">
        <f t="shared" si="1542"/>
        <v>2011</v>
      </c>
    </row>
    <row r="3365" spans="1:24" ht="12" customHeight="1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552"/>
        <v>41044</v>
      </c>
      <c r="V3365">
        <f t="shared" si="1543"/>
        <v>15</v>
      </c>
      <c r="W3365">
        <f t="shared" si="1541"/>
        <v>5</v>
      </c>
      <c r="X3365">
        <f t="shared" si="1542"/>
        <v>2012</v>
      </c>
    </row>
    <row r="3366" spans="1:24" ht="12" customHeight="1">
      <c r="A3366" s="4">
        <v>2218</v>
      </c>
      <c r="B3366" s="4">
        <v>16036</v>
      </c>
      <c r="C3366" s="5">
        <f t="shared" ref="C3366:C3368" si="1553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552"/>
        <v>40915</v>
      </c>
      <c r="V3366">
        <f t="shared" si="1543"/>
        <v>7</v>
      </c>
      <c r="W3366">
        <f t="shared" si="1541"/>
        <v>1</v>
      </c>
      <c r="X3366">
        <f t="shared" si="1542"/>
        <v>2012</v>
      </c>
    </row>
    <row r="3367" spans="1:24" ht="12" customHeight="1">
      <c r="A3367" s="4">
        <v>2219</v>
      </c>
      <c r="B3367" s="4">
        <v>16036</v>
      </c>
      <c r="C3367" s="5">
        <f t="shared" si="1553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554">C3367+1</f>
        <v>40914</v>
      </c>
      <c r="V3367">
        <f t="shared" si="1543"/>
        <v>6</v>
      </c>
      <c r="W3367">
        <f t="shared" si="1541"/>
        <v>1</v>
      </c>
      <c r="X3367">
        <f t="shared" si="1542"/>
        <v>2012</v>
      </c>
    </row>
    <row r="3368" spans="1:24" ht="12" customHeight="1">
      <c r="A3368" s="4">
        <v>2220</v>
      </c>
      <c r="B3368" s="4">
        <v>16036</v>
      </c>
      <c r="C3368" s="5">
        <f t="shared" si="1553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554"/>
        <v>40914</v>
      </c>
      <c r="V3368">
        <f t="shared" si="1543"/>
        <v>6</v>
      </c>
      <c r="W3368">
        <f t="shared" si="1541"/>
        <v>1</v>
      </c>
      <c r="X3368">
        <f t="shared" si="1542"/>
        <v>2012</v>
      </c>
    </row>
    <row r="3369" spans="1:24" ht="12" customHeight="1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554"/>
        <v>41057</v>
      </c>
      <c r="V3369">
        <f t="shared" si="1543"/>
        <v>28</v>
      </c>
      <c r="W3369">
        <f t="shared" si="1541"/>
        <v>5</v>
      </c>
      <c r="X3369">
        <f t="shared" si="1542"/>
        <v>2012</v>
      </c>
    </row>
    <row r="3370" spans="1:24" ht="12" customHeight="1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555">C3370+2</f>
        <v>41044</v>
      </c>
      <c r="V3370">
        <f t="shared" si="1543"/>
        <v>15</v>
      </c>
      <c r="W3370">
        <f t="shared" si="1541"/>
        <v>5</v>
      </c>
      <c r="X3370">
        <f t="shared" si="1542"/>
        <v>2012</v>
      </c>
    </row>
    <row r="3371" spans="1:24" ht="12" customHeight="1">
      <c r="A3371" s="4">
        <v>2467</v>
      </c>
      <c r="B3371" s="4">
        <v>17953</v>
      </c>
      <c r="C3371" s="5">
        <f t="shared" ref="C3371:C3372" si="1556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555"/>
        <v>41143</v>
      </c>
      <c r="V3371">
        <f t="shared" si="1543"/>
        <v>22</v>
      </c>
      <c r="W3371">
        <f t="shared" si="1541"/>
        <v>8</v>
      </c>
      <c r="X3371">
        <f t="shared" si="1542"/>
        <v>2012</v>
      </c>
    </row>
    <row r="3372" spans="1:24" ht="12" customHeight="1">
      <c r="A3372" s="4">
        <v>2468</v>
      </c>
      <c r="B3372" s="4">
        <v>17953</v>
      </c>
      <c r="C3372" s="5">
        <f t="shared" si="1556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555"/>
        <v>41143</v>
      </c>
      <c r="V3372">
        <f t="shared" si="1543"/>
        <v>22</v>
      </c>
      <c r="W3372">
        <f t="shared" si="1541"/>
        <v>8</v>
      </c>
      <c r="X3372">
        <f t="shared" si="1542"/>
        <v>2012</v>
      </c>
    </row>
    <row r="3373" spans="1:24" ht="12" customHeight="1">
      <c r="A3373" s="4">
        <v>2472</v>
      </c>
      <c r="B3373" s="4">
        <v>17959</v>
      </c>
      <c r="C3373" s="5">
        <f t="shared" ref="C3373:C3374" si="1557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558">C3373+3</f>
        <v>41164</v>
      </c>
      <c r="V3373">
        <f t="shared" si="1543"/>
        <v>12</v>
      </c>
      <c r="W3373">
        <f t="shared" si="1541"/>
        <v>9</v>
      </c>
      <c r="X3373">
        <f t="shared" si="1542"/>
        <v>2012</v>
      </c>
    </row>
    <row r="3374" spans="1:24" ht="12" customHeight="1">
      <c r="A3374" s="4">
        <v>2473</v>
      </c>
      <c r="B3374" s="4">
        <v>17959</v>
      </c>
      <c r="C3374" s="5">
        <f t="shared" si="1557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558"/>
        <v>41164</v>
      </c>
      <c r="V3374">
        <f t="shared" si="1543"/>
        <v>12</v>
      </c>
      <c r="W3374">
        <f t="shared" si="1541"/>
        <v>9</v>
      </c>
      <c r="X3374">
        <f t="shared" si="1542"/>
        <v>2012</v>
      </c>
    </row>
    <row r="3375" spans="1:24" ht="12" customHeight="1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  <c r="V3375">
        <f t="shared" si="1543"/>
        <v>27</v>
      </c>
      <c r="W3375">
        <f t="shared" si="1541"/>
        <v>3</v>
      </c>
      <c r="X3375">
        <f t="shared" si="1542"/>
        <v>2010</v>
      </c>
    </row>
    <row r="3376" spans="1:24" ht="12" customHeight="1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  <c r="V3376">
        <f t="shared" si="1543"/>
        <v>12</v>
      </c>
      <c r="W3376">
        <f t="shared" si="1541"/>
        <v>4</v>
      </c>
      <c r="X3376">
        <f t="shared" si="1542"/>
        <v>2012</v>
      </c>
    </row>
    <row r="3377" spans="1:24" ht="12" customHeight="1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  <c r="V3377">
        <f t="shared" si="1543"/>
        <v>28</v>
      </c>
      <c r="W3377">
        <f t="shared" si="1541"/>
        <v>2</v>
      </c>
      <c r="X3377">
        <f t="shared" si="1542"/>
        <v>2011</v>
      </c>
    </row>
    <row r="3378" spans="1:24" ht="12" customHeight="1">
      <c r="A3378" s="4">
        <v>2849</v>
      </c>
      <c r="B3378" s="4">
        <v>20518</v>
      </c>
      <c r="C3378" s="5">
        <f t="shared" ref="C3378:C3379" si="1559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560">C3378+1</f>
        <v>40092</v>
      </c>
      <c r="V3378">
        <f t="shared" si="1543"/>
        <v>6</v>
      </c>
      <c r="W3378">
        <f t="shared" si="1541"/>
        <v>10</v>
      </c>
      <c r="X3378">
        <f t="shared" si="1542"/>
        <v>2009</v>
      </c>
    </row>
    <row r="3379" spans="1:24" ht="12" customHeight="1">
      <c r="A3379" s="4">
        <v>2850</v>
      </c>
      <c r="B3379" s="4">
        <v>20518</v>
      </c>
      <c r="C3379" s="5">
        <f t="shared" si="1559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560"/>
        <v>40092</v>
      </c>
      <c r="V3379">
        <f t="shared" si="1543"/>
        <v>6</v>
      </c>
      <c r="W3379">
        <f t="shared" si="1541"/>
        <v>10</v>
      </c>
      <c r="X3379">
        <f t="shared" si="1542"/>
        <v>2009</v>
      </c>
    </row>
    <row r="3380" spans="1:24" ht="12" customHeight="1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  <c r="V3380">
        <f t="shared" si="1543"/>
        <v>27</v>
      </c>
      <c r="W3380">
        <f t="shared" si="1541"/>
        <v>12</v>
      </c>
      <c r="X3380">
        <f t="shared" si="1542"/>
        <v>2011</v>
      </c>
    </row>
    <row r="3381" spans="1:24" ht="12" customHeight="1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  <c r="V3381">
        <f t="shared" si="1543"/>
        <v>21</v>
      </c>
      <c r="W3381">
        <f t="shared" si="1541"/>
        <v>5</v>
      </c>
      <c r="X3381">
        <f t="shared" si="1542"/>
        <v>2009</v>
      </c>
    </row>
    <row r="3382" spans="1:24" ht="12" customHeight="1">
      <c r="A3382" s="4">
        <v>2945</v>
      </c>
      <c r="B3382" s="4">
        <v>21344</v>
      </c>
      <c r="C3382" s="5">
        <f t="shared" ref="C3382:C3383" si="1561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  <c r="V3382">
        <f t="shared" si="1543"/>
        <v>13</v>
      </c>
      <c r="W3382">
        <f t="shared" si="1541"/>
        <v>12</v>
      </c>
      <c r="X3382">
        <f t="shared" si="1542"/>
        <v>2012</v>
      </c>
    </row>
    <row r="3383" spans="1:24" ht="12" customHeight="1">
      <c r="A3383" s="4">
        <v>2946</v>
      </c>
      <c r="B3383" s="4">
        <v>21344</v>
      </c>
      <c r="C3383" s="5">
        <f t="shared" si="1561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  <c r="V3383">
        <f t="shared" si="1543"/>
        <v>18</v>
      </c>
      <c r="W3383">
        <f t="shared" si="1541"/>
        <v>12</v>
      </c>
      <c r="X3383">
        <f t="shared" si="1542"/>
        <v>2012</v>
      </c>
    </row>
    <row r="3384" spans="1:24" ht="12" customHeight="1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562">C3384+1</f>
        <v>40566</v>
      </c>
      <c r="V3384">
        <f t="shared" si="1543"/>
        <v>23</v>
      </c>
      <c r="W3384">
        <f t="shared" si="1541"/>
        <v>1</v>
      </c>
      <c r="X3384">
        <f t="shared" si="1542"/>
        <v>2011</v>
      </c>
    </row>
    <row r="3385" spans="1:24" ht="12" customHeight="1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562"/>
        <v>41023</v>
      </c>
      <c r="V3385">
        <f t="shared" si="1543"/>
        <v>24</v>
      </c>
      <c r="W3385">
        <f t="shared" si="1541"/>
        <v>4</v>
      </c>
      <c r="X3385">
        <f t="shared" si="1542"/>
        <v>2012</v>
      </c>
    </row>
    <row r="3386" spans="1:24" ht="12" customHeight="1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562"/>
        <v>40313</v>
      </c>
      <c r="V3386">
        <f t="shared" si="1543"/>
        <v>15</v>
      </c>
      <c r="W3386">
        <f t="shared" si="1541"/>
        <v>5</v>
      </c>
      <c r="X3386">
        <f t="shared" si="1542"/>
        <v>2010</v>
      </c>
    </row>
    <row r="3387" spans="1:24" ht="12" customHeight="1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563">C3387+2</f>
        <v>40926</v>
      </c>
      <c r="V3387">
        <f t="shared" si="1543"/>
        <v>18</v>
      </c>
      <c r="W3387">
        <f t="shared" si="1541"/>
        <v>1</v>
      </c>
      <c r="X3387">
        <f t="shared" si="1542"/>
        <v>2012</v>
      </c>
    </row>
    <row r="3388" spans="1:24" ht="12" customHeight="1">
      <c r="A3388" s="4">
        <v>3287</v>
      </c>
      <c r="B3388" s="4">
        <v>23522</v>
      </c>
      <c r="C3388" s="5">
        <f t="shared" ref="C3388:C3390" si="1564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563"/>
        <v>40646</v>
      </c>
      <c r="V3388">
        <f t="shared" si="1543"/>
        <v>13</v>
      </c>
      <c r="W3388">
        <f t="shared" si="1541"/>
        <v>4</v>
      </c>
      <c r="X3388">
        <f t="shared" si="1542"/>
        <v>2011</v>
      </c>
    </row>
    <row r="3389" spans="1:24" ht="12" customHeight="1">
      <c r="A3389" s="4">
        <v>3288</v>
      </c>
      <c r="B3389" s="4">
        <v>23522</v>
      </c>
      <c r="C3389" s="5">
        <f t="shared" si="1564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  <c r="V3389">
        <f t="shared" si="1543"/>
        <v>12</v>
      </c>
      <c r="W3389">
        <f t="shared" si="1541"/>
        <v>4</v>
      </c>
      <c r="X3389">
        <f t="shared" si="1542"/>
        <v>2011</v>
      </c>
    </row>
    <row r="3390" spans="1:24" ht="12" customHeight="1">
      <c r="A3390" s="4">
        <v>3289</v>
      </c>
      <c r="B3390" s="4">
        <v>23522</v>
      </c>
      <c r="C3390" s="5">
        <f t="shared" si="1564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  <c r="V3390">
        <f t="shared" si="1543"/>
        <v>13</v>
      </c>
      <c r="W3390">
        <f t="shared" si="1541"/>
        <v>4</v>
      </c>
      <c r="X3390">
        <f t="shared" si="1542"/>
        <v>2011</v>
      </c>
    </row>
    <row r="3391" spans="1:24" ht="12" customHeight="1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  <c r="V3391">
        <f t="shared" si="1543"/>
        <v>7</v>
      </c>
      <c r="W3391">
        <f t="shared" si="1541"/>
        <v>3</v>
      </c>
      <c r="X3391">
        <f t="shared" si="1542"/>
        <v>2011</v>
      </c>
    </row>
    <row r="3392" spans="1:24" ht="12" customHeight="1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  <c r="V3392">
        <f t="shared" si="1543"/>
        <v>30</v>
      </c>
      <c r="W3392">
        <f t="shared" si="1541"/>
        <v>7</v>
      </c>
      <c r="X3392">
        <f t="shared" si="1542"/>
        <v>2009</v>
      </c>
    </row>
    <row r="3393" spans="1:24" ht="12" customHeight="1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  <c r="V3393">
        <f t="shared" si="1543"/>
        <v>22</v>
      </c>
      <c r="W3393">
        <f t="shared" si="1541"/>
        <v>5</v>
      </c>
      <c r="X3393">
        <f t="shared" si="1542"/>
        <v>2009</v>
      </c>
    </row>
    <row r="3394" spans="1:24" ht="12" customHeight="1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  <c r="V3394">
        <f t="shared" si="1543"/>
        <v>22</v>
      </c>
      <c r="W3394">
        <f t="shared" si="1541"/>
        <v>4</v>
      </c>
      <c r="X3394">
        <f t="shared" si="1542"/>
        <v>2009</v>
      </c>
    </row>
    <row r="3395" spans="1:24" ht="12" customHeight="1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  <c r="V3395">
        <f t="shared" si="1543"/>
        <v>6</v>
      </c>
      <c r="W3395">
        <f t="shared" ref="W3395:W3458" si="1565">MONTH(U3395)</f>
        <v>5</v>
      </c>
      <c r="X3395">
        <f t="shared" ref="X3395:X3458" si="1566">YEAR(U3395)</f>
        <v>2011</v>
      </c>
    </row>
    <row r="3396" spans="1:24" ht="12" customHeight="1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  <c r="V3396">
        <f t="shared" ref="V3396:V3459" si="1567">DAY(U3396)</f>
        <v>16</v>
      </c>
      <c r="W3396">
        <f t="shared" si="1565"/>
        <v>9</v>
      </c>
      <c r="X3396">
        <f t="shared" si="1566"/>
        <v>2010</v>
      </c>
    </row>
    <row r="3397" spans="1:24" ht="12" customHeight="1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  <c r="V3397">
        <f t="shared" si="1567"/>
        <v>4</v>
      </c>
      <c r="W3397">
        <f t="shared" si="1565"/>
        <v>11</v>
      </c>
      <c r="X3397">
        <f t="shared" si="1566"/>
        <v>2012</v>
      </c>
    </row>
    <row r="3398" spans="1:24" ht="12" customHeight="1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  <c r="V3398">
        <f t="shared" si="1567"/>
        <v>8</v>
      </c>
      <c r="W3398">
        <f t="shared" si="1565"/>
        <v>2</v>
      </c>
      <c r="X3398">
        <f t="shared" si="1566"/>
        <v>2009</v>
      </c>
    </row>
    <row r="3399" spans="1:24" ht="12" customHeight="1">
      <c r="A3399" s="4">
        <v>3749</v>
      </c>
      <c r="B3399" s="4">
        <v>26784</v>
      </c>
      <c r="C3399" s="5">
        <f t="shared" ref="C3399:C3400" si="1568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569">C3399+1</f>
        <v>40383</v>
      </c>
      <c r="V3399">
        <f t="shared" si="1567"/>
        <v>24</v>
      </c>
      <c r="W3399">
        <f t="shared" si="1565"/>
        <v>7</v>
      </c>
      <c r="X3399">
        <f t="shared" si="1566"/>
        <v>2010</v>
      </c>
    </row>
    <row r="3400" spans="1:24" ht="12" customHeight="1">
      <c r="A3400" s="4">
        <v>3750</v>
      </c>
      <c r="B3400" s="4">
        <v>26784</v>
      </c>
      <c r="C3400" s="5">
        <f t="shared" si="1568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569"/>
        <v>40383</v>
      </c>
      <c r="V3400">
        <f t="shared" si="1567"/>
        <v>24</v>
      </c>
      <c r="W3400">
        <f t="shared" si="1565"/>
        <v>7</v>
      </c>
      <c r="X3400">
        <f t="shared" si="1566"/>
        <v>2010</v>
      </c>
    </row>
    <row r="3401" spans="1:24" ht="12" customHeight="1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  <c r="V3401">
        <f t="shared" si="1567"/>
        <v>1</v>
      </c>
      <c r="W3401">
        <f t="shared" si="1565"/>
        <v>5</v>
      </c>
      <c r="X3401">
        <f t="shared" si="1566"/>
        <v>2012</v>
      </c>
    </row>
    <row r="3402" spans="1:24" ht="12" customHeight="1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  <c r="V3402">
        <f t="shared" si="1567"/>
        <v>17</v>
      </c>
      <c r="W3402">
        <f t="shared" si="1565"/>
        <v>8</v>
      </c>
      <c r="X3402">
        <f t="shared" si="1566"/>
        <v>2009</v>
      </c>
    </row>
    <row r="3403" spans="1:24" ht="12" customHeight="1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570">C3403+1</f>
        <v>40575</v>
      </c>
      <c r="V3403">
        <f t="shared" si="1567"/>
        <v>1</v>
      </c>
      <c r="W3403">
        <f t="shared" si="1565"/>
        <v>2</v>
      </c>
      <c r="X3403">
        <f t="shared" si="1566"/>
        <v>2011</v>
      </c>
    </row>
    <row r="3404" spans="1:24" ht="12" customHeight="1">
      <c r="A3404" s="4">
        <v>3949</v>
      </c>
      <c r="B3404" s="4">
        <v>28161</v>
      </c>
      <c r="C3404" s="5">
        <f t="shared" ref="C3404:C3405" si="1571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570"/>
        <v>39980</v>
      </c>
      <c r="V3404">
        <f t="shared" si="1567"/>
        <v>16</v>
      </c>
      <c r="W3404">
        <f t="shared" si="1565"/>
        <v>6</v>
      </c>
      <c r="X3404">
        <f t="shared" si="1566"/>
        <v>2009</v>
      </c>
    </row>
    <row r="3405" spans="1:24" ht="12" customHeight="1">
      <c r="A3405" s="4">
        <v>3951</v>
      </c>
      <c r="B3405" s="4">
        <v>28161</v>
      </c>
      <c r="C3405" s="5">
        <f t="shared" si="1571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  <c r="V3405">
        <f t="shared" si="1567"/>
        <v>17</v>
      </c>
      <c r="W3405">
        <f t="shared" si="1565"/>
        <v>6</v>
      </c>
      <c r="X3405">
        <f t="shared" si="1566"/>
        <v>2009</v>
      </c>
    </row>
    <row r="3406" spans="1:24" ht="12" customHeight="1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  <c r="V3406">
        <f t="shared" si="1567"/>
        <v>20</v>
      </c>
      <c r="W3406">
        <f t="shared" si="1565"/>
        <v>9</v>
      </c>
      <c r="X3406">
        <f t="shared" si="1566"/>
        <v>2011</v>
      </c>
    </row>
    <row r="3407" spans="1:24" ht="12" customHeight="1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572">C3407+2</f>
        <v>40341</v>
      </c>
      <c r="V3407">
        <f t="shared" si="1567"/>
        <v>12</v>
      </c>
      <c r="W3407">
        <f t="shared" si="1565"/>
        <v>6</v>
      </c>
      <c r="X3407">
        <f t="shared" si="1566"/>
        <v>2010</v>
      </c>
    </row>
    <row r="3408" spans="1:24" ht="12" customHeight="1">
      <c r="A3408" s="4">
        <v>4131</v>
      </c>
      <c r="B3408" s="4">
        <v>29350</v>
      </c>
      <c r="C3408" s="5">
        <f t="shared" ref="C3408:C3409" si="1573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572"/>
        <v>40052</v>
      </c>
      <c r="V3408">
        <f t="shared" si="1567"/>
        <v>27</v>
      </c>
      <c r="W3408">
        <f t="shared" si="1565"/>
        <v>8</v>
      </c>
      <c r="X3408">
        <f t="shared" si="1566"/>
        <v>2009</v>
      </c>
    </row>
    <row r="3409" spans="1:24" ht="12" customHeight="1">
      <c r="A3409" s="4">
        <v>4133</v>
      </c>
      <c r="B3409" s="4">
        <v>29350</v>
      </c>
      <c r="C3409" s="5">
        <f t="shared" si="1573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574">C3409+1</f>
        <v>40051</v>
      </c>
      <c r="V3409">
        <f t="shared" si="1567"/>
        <v>26</v>
      </c>
      <c r="W3409">
        <f t="shared" si="1565"/>
        <v>8</v>
      </c>
      <c r="X3409">
        <f t="shared" si="1566"/>
        <v>2009</v>
      </c>
    </row>
    <row r="3410" spans="1:24" ht="12" customHeight="1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574"/>
        <v>40955</v>
      </c>
      <c r="V3410">
        <f t="shared" si="1567"/>
        <v>16</v>
      </c>
      <c r="W3410">
        <f t="shared" si="1565"/>
        <v>2</v>
      </c>
      <c r="X3410">
        <f t="shared" si="1566"/>
        <v>2012</v>
      </c>
    </row>
    <row r="3411" spans="1:24" ht="12" customHeight="1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  <c r="V3411">
        <f t="shared" si="1567"/>
        <v>19</v>
      </c>
      <c r="W3411">
        <f t="shared" si="1565"/>
        <v>10</v>
      </c>
      <c r="X3411">
        <f t="shared" si="1566"/>
        <v>2010</v>
      </c>
    </row>
    <row r="3412" spans="1:24" ht="12" customHeight="1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  <c r="V3412">
        <f t="shared" si="1567"/>
        <v>5</v>
      </c>
      <c r="W3412">
        <f t="shared" si="1565"/>
        <v>10</v>
      </c>
      <c r="X3412">
        <f t="shared" si="1566"/>
        <v>2010</v>
      </c>
    </row>
    <row r="3413" spans="1:24" ht="12" customHeight="1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  <c r="V3413">
        <f t="shared" si="1567"/>
        <v>31</v>
      </c>
      <c r="W3413">
        <f t="shared" si="1565"/>
        <v>1</v>
      </c>
      <c r="X3413">
        <f t="shared" si="1566"/>
        <v>2011</v>
      </c>
    </row>
    <row r="3414" spans="1:24" ht="12" customHeight="1">
      <c r="A3414" s="4">
        <v>4251</v>
      </c>
      <c r="B3414" s="4">
        <v>30276</v>
      </c>
      <c r="C3414" s="5">
        <f t="shared" ref="C3414:C3415" si="1575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576">C3414+4</f>
        <v>40785</v>
      </c>
      <c r="V3414">
        <f t="shared" si="1567"/>
        <v>30</v>
      </c>
      <c r="W3414">
        <f t="shared" si="1565"/>
        <v>8</v>
      </c>
      <c r="X3414">
        <f t="shared" si="1566"/>
        <v>2011</v>
      </c>
    </row>
    <row r="3415" spans="1:24" ht="12" customHeight="1">
      <c r="A3415" s="4">
        <v>4252</v>
      </c>
      <c r="B3415" s="4">
        <v>30276</v>
      </c>
      <c r="C3415" s="5">
        <f t="shared" si="1575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576"/>
        <v>40785</v>
      </c>
      <c r="V3415">
        <f t="shared" si="1567"/>
        <v>30</v>
      </c>
      <c r="W3415">
        <f t="shared" si="1565"/>
        <v>8</v>
      </c>
      <c r="X3415">
        <f t="shared" si="1566"/>
        <v>2011</v>
      </c>
    </row>
    <row r="3416" spans="1:24" ht="12" customHeight="1">
      <c r="A3416" s="4">
        <v>4254</v>
      </c>
      <c r="B3416" s="4">
        <v>30279</v>
      </c>
      <c r="C3416" s="5">
        <f t="shared" ref="C3416:C3417" si="1577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  <c r="V3416">
        <f t="shared" si="1567"/>
        <v>7</v>
      </c>
      <c r="W3416">
        <f t="shared" si="1565"/>
        <v>12</v>
      </c>
      <c r="X3416">
        <f t="shared" si="1566"/>
        <v>2011</v>
      </c>
    </row>
    <row r="3417" spans="1:24" ht="12" customHeight="1">
      <c r="A3417" s="4">
        <v>4255</v>
      </c>
      <c r="B3417" s="4">
        <v>30279</v>
      </c>
      <c r="C3417" s="5">
        <f t="shared" si="1577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  <c r="V3417">
        <f t="shared" si="1567"/>
        <v>8</v>
      </c>
      <c r="W3417">
        <f t="shared" si="1565"/>
        <v>12</v>
      </c>
      <c r="X3417">
        <f t="shared" si="1566"/>
        <v>2011</v>
      </c>
    </row>
    <row r="3418" spans="1:24" ht="12" customHeight="1">
      <c r="A3418" s="4">
        <v>4587</v>
      </c>
      <c r="B3418" s="4">
        <v>32640</v>
      </c>
      <c r="C3418" s="5">
        <f t="shared" ref="C3418:C3419" si="1578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579">C3418+2</f>
        <v>41169</v>
      </c>
      <c r="V3418">
        <f t="shared" si="1567"/>
        <v>17</v>
      </c>
      <c r="W3418">
        <f t="shared" si="1565"/>
        <v>9</v>
      </c>
      <c r="X3418">
        <f t="shared" si="1566"/>
        <v>2012</v>
      </c>
    </row>
    <row r="3419" spans="1:24" ht="12" customHeight="1">
      <c r="A3419" s="4">
        <v>4588</v>
      </c>
      <c r="B3419" s="4">
        <v>32640</v>
      </c>
      <c r="C3419" s="5">
        <f t="shared" si="1578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579"/>
        <v>41169</v>
      </c>
      <c r="V3419">
        <f t="shared" si="1567"/>
        <v>17</v>
      </c>
      <c r="W3419">
        <f t="shared" si="1565"/>
        <v>9</v>
      </c>
      <c r="X3419">
        <f t="shared" si="1566"/>
        <v>2012</v>
      </c>
    </row>
    <row r="3420" spans="1:24" ht="12" customHeight="1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580">C3420+1</f>
        <v>40972</v>
      </c>
      <c r="V3420">
        <f t="shared" si="1567"/>
        <v>4</v>
      </c>
      <c r="W3420">
        <f t="shared" si="1565"/>
        <v>3</v>
      </c>
      <c r="X3420">
        <f t="shared" si="1566"/>
        <v>2012</v>
      </c>
    </row>
    <row r="3421" spans="1:24" ht="12" customHeight="1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580"/>
        <v>40599</v>
      </c>
      <c r="V3421">
        <f t="shared" si="1567"/>
        <v>25</v>
      </c>
      <c r="W3421">
        <f t="shared" si="1565"/>
        <v>2</v>
      </c>
      <c r="X3421">
        <f t="shared" si="1566"/>
        <v>2011</v>
      </c>
    </row>
    <row r="3422" spans="1:24" ht="12" customHeight="1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  <c r="V3422">
        <f t="shared" si="1567"/>
        <v>29</v>
      </c>
      <c r="W3422">
        <f t="shared" si="1565"/>
        <v>1</v>
      </c>
      <c r="X3422">
        <f t="shared" si="1566"/>
        <v>2009</v>
      </c>
    </row>
    <row r="3423" spans="1:24" ht="12" customHeight="1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  <c r="V3423">
        <f t="shared" si="1567"/>
        <v>6</v>
      </c>
      <c r="W3423">
        <f t="shared" si="1565"/>
        <v>8</v>
      </c>
      <c r="X3423">
        <f t="shared" si="1566"/>
        <v>2010</v>
      </c>
    </row>
    <row r="3424" spans="1:24" ht="12" customHeight="1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  <c r="V3424">
        <f t="shared" si="1567"/>
        <v>2</v>
      </c>
      <c r="W3424">
        <f t="shared" si="1565"/>
        <v>12</v>
      </c>
      <c r="X3424">
        <f t="shared" si="1566"/>
        <v>2011</v>
      </c>
    </row>
    <row r="3425" spans="1:24" ht="12" customHeight="1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  <c r="V3425">
        <f t="shared" si="1567"/>
        <v>30</v>
      </c>
      <c r="W3425">
        <f t="shared" si="1565"/>
        <v>7</v>
      </c>
      <c r="X3425">
        <f t="shared" si="1566"/>
        <v>2009</v>
      </c>
    </row>
    <row r="3426" spans="1:24" ht="12" customHeight="1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  <c r="V3426">
        <f t="shared" si="1567"/>
        <v>5</v>
      </c>
      <c r="W3426">
        <f t="shared" si="1565"/>
        <v>8</v>
      </c>
      <c r="X3426">
        <f t="shared" si="1566"/>
        <v>2012</v>
      </c>
    </row>
    <row r="3427" spans="1:24" ht="12" customHeight="1">
      <c r="A3427" s="4">
        <v>4757</v>
      </c>
      <c r="B3427" s="4">
        <v>33797</v>
      </c>
      <c r="C3427" s="5">
        <f t="shared" ref="C3427:C3428" si="1581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  <c r="V3427">
        <f t="shared" si="1567"/>
        <v>13</v>
      </c>
      <c r="W3427">
        <f t="shared" si="1565"/>
        <v>1</v>
      </c>
      <c r="X3427">
        <f t="shared" si="1566"/>
        <v>2009</v>
      </c>
    </row>
    <row r="3428" spans="1:24" ht="12" customHeight="1">
      <c r="A3428" s="4">
        <v>4758</v>
      </c>
      <c r="B3428" s="4">
        <v>33797</v>
      </c>
      <c r="C3428" s="5">
        <f t="shared" si="1581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  <c r="V3428">
        <f t="shared" si="1567"/>
        <v>11</v>
      </c>
      <c r="W3428">
        <f t="shared" si="1565"/>
        <v>1</v>
      </c>
      <c r="X3428">
        <f t="shared" si="1566"/>
        <v>2009</v>
      </c>
    </row>
    <row r="3429" spans="1:24" ht="12" customHeight="1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  <c r="V3429">
        <f t="shared" si="1567"/>
        <v>8</v>
      </c>
      <c r="W3429">
        <f t="shared" si="1565"/>
        <v>9</v>
      </c>
      <c r="X3429">
        <f t="shared" si="1566"/>
        <v>2012</v>
      </c>
    </row>
    <row r="3430" spans="1:24" ht="12" customHeight="1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  <c r="V3430">
        <f t="shared" si="1567"/>
        <v>20</v>
      </c>
      <c r="W3430">
        <f t="shared" si="1565"/>
        <v>7</v>
      </c>
      <c r="X3430">
        <f t="shared" si="1566"/>
        <v>2012</v>
      </c>
    </row>
    <row r="3431" spans="1:24" ht="12" customHeight="1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  <c r="V3431">
        <f t="shared" si="1567"/>
        <v>12</v>
      </c>
      <c r="W3431">
        <f t="shared" si="1565"/>
        <v>1</v>
      </c>
      <c r="X3431">
        <f t="shared" si="1566"/>
        <v>2012</v>
      </c>
    </row>
    <row r="3432" spans="1:24" ht="12" customHeight="1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  <c r="V3432">
        <f t="shared" si="1567"/>
        <v>30</v>
      </c>
      <c r="W3432">
        <f t="shared" si="1565"/>
        <v>11</v>
      </c>
      <c r="X3432">
        <f t="shared" si="1566"/>
        <v>2009</v>
      </c>
    </row>
    <row r="3433" spans="1:24" ht="12" customHeight="1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  <c r="V3433">
        <f t="shared" si="1567"/>
        <v>28</v>
      </c>
      <c r="W3433">
        <f t="shared" si="1565"/>
        <v>4</v>
      </c>
      <c r="X3433">
        <f t="shared" si="1566"/>
        <v>2011</v>
      </c>
    </row>
    <row r="3434" spans="1:24" ht="12" customHeight="1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582">C3434+2</f>
        <v>40753</v>
      </c>
      <c r="V3434">
        <f t="shared" si="1567"/>
        <v>29</v>
      </c>
      <c r="W3434">
        <f t="shared" si="1565"/>
        <v>7</v>
      </c>
      <c r="X3434">
        <f t="shared" si="1566"/>
        <v>2011</v>
      </c>
    </row>
    <row r="3435" spans="1:24" ht="12" customHeight="1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582"/>
        <v>40625</v>
      </c>
      <c r="V3435">
        <f t="shared" si="1567"/>
        <v>23</v>
      </c>
      <c r="W3435">
        <f t="shared" si="1565"/>
        <v>3</v>
      </c>
      <c r="X3435">
        <f t="shared" si="1566"/>
        <v>2011</v>
      </c>
    </row>
    <row r="3436" spans="1:24" ht="12" customHeight="1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  <c r="V3436">
        <f t="shared" si="1567"/>
        <v>15</v>
      </c>
      <c r="W3436">
        <f t="shared" si="1565"/>
        <v>2</v>
      </c>
      <c r="X3436">
        <f t="shared" si="1566"/>
        <v>2011</v>
      </c>
    </row>
    <row r="3437" spans="1:24" ht="12" customHeight="1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  <c r="V3437">
        <f t="shared" si="1567"/>
        <v>8</v>
      </c>
      <c r="W3437">
        <f t="shared" si="1565"/>
        <v>1</v>
      </c>
      <c r="X3437">
        <f t="shared" si="1566"/>
        <v>2011</v>
      </c>
    </row>
    <row r="3438" spans="1:24" ht="12" customHeight="1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  <c r="V3438">
        <f t="shared" si="1567"/>
        <v>24</v>
      </c>
      <c r="W3438">
        <f t="shared" si="1565"/>
        <v>2</v>
      </c>
      <c r="X3438">
        <f t="shared" si="1566"/>
        <v>2012</v>
      </c>
    </row>
    <row r="3439" spans="1:24" ht="12" customHeight="1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  <c r="V3439">
        <f t="shared" si="1567"/>
        <v>5</v>
      </c>
      <c r="W3439">
        <f t="shared" si="1565"/>
        <v>11</v>
      </c>
      <c r="X3439">
        <f t="shared" si="1566"/>
        <v>2012</v>
      </c>
    </row>
    <row r="3440" spans="1:24" ht="12" customHeight="1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583">C3440+2</f>
        <v>40285</v>
      </c>
      <c r="V3440">
        <f t="shared" si="1567"/>
        <v>17</v>
      </c>
      <c r="W3440">
        <f t="shared" si="1565"/>
        <v>4</v>
      </c>
      <c r="X3440">
        <f t="shared" si="1566"/>
        <v>2010</v>
      </c>
    </row>
    <row r="3441" spans="1:24" ht="12" customHeight="1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583"/>
        <v>40123</v>
      </c>
      <c r="V3441">
        <f t="shared" si="1567"/>
        <v>6</v>
      </c>
      <c r="W3441">
        <f t="shared" si="1565"/>
        <v>11</v>
      </c>
      <c r="X3441">
        <f t="shared" si="1566"/>
        <v>2009</v>
      </c>
    </row>
    <row r="3442" spans="1:24" ht="12" customHeight="1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584">C3442+1</f>
        <v>40907</v>
      </c>
      <c r="V3442">
        <f t="shared" si="1567"/>
        <v>30</v>
      </c>
      <c r="W3442">
        <f t="shared" si="1565"/>
        <v>12</v>
      </c>
      <c r="X3442">
        <f t="shared" si="1566"/>
        <v>2011</v>
      </c>
    </row>
    <row r="3443" spans="1:24" ht="12" customHeight="1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584"/>
        <v>40872</v>
      </c>
      <c r="V3443">
        <f t="shared" si="1567"/>
        <v>25</v>
      </c>
      <c r="W3443">
        <f t="shared" si="1565"/>
        <v>11</v>
      </c>
      <c r="X3443">
        <f t="shared" si="1566"/>
        <v>2011</v>
      </c>
    </row>
    <row r="3444" spans="1:24" ht="12" customHeight="1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  <c r="V3444">
        <f t="shared" si="1567"/>
        <v>15</v>
      </c>
      <c r="W3444">
        <f t="shared" si="1565"/>
        <v>5</v>
      </c>
      <c r="X3444">
        <f t="shared" si="1566"/>
        <v>2010</v>
      </c>
    </row>
    <row r="3445" spans="1:24" ht="12" customHeight="1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  <c r="V3445">
        <f t="shared" si="1567"/>
        <v>5</v>
      </c>
      <c r="W3445">
        <f t="shared" si="1565"/>
        <v>11</v>
      </c>
      <c r="X3445">
        <f t="shared" si="1566"/>
        <v>2009</v>
      </c>
    </row>
    <row r="3446" spans="1:24" ht="12" customHeight="1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585">C3446+2</f>
        <v>41212</v>
      </c>
      <c r="V3446">
        <f t="shared" si="1567"/>
        <v>30</v>
      </c>
      <c r="W3446">
        <f t="shared" si="1565"/>
        <v>10</v>
      </c>
      <c r="X3446">
        <f t="shared" si="1566"/>
        <v>2012</v>
      </c>
    </row>
    <row r="3447" spans="1:24" ht="12" customHeight="1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585"/>
        <v>40539</v>
      </c>
      <c r="V3447">
        <f t="shared" si="1567"/>
        <v>27</v>
      </c>
      <c r="W3447">
        <f t="shared" si="1565"/>
        <v>12</v>
      </c>
      <c r="X3447">
        <f t="shared" si="1566"/>
        <v>2010</v>
      </c>
    </row>
    <row r="3448" spans="1:24" ht="12" customHeight="1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586">C3448+1</f>
        <v>39955</v>
      </c>
      <c r="V3448">
        <f t="shared" si="1567"/>
        <v>22</v>
      </c>
      <c r="W3448">
        <f t="shared" si="1565"/>
        <v>5</v>
      </c>
      <c r="X3448">
        <f t="shared" si="1566"/>
        <v>2009</v>
      </c>
    </row>
    <row r="3449" spans="1:24" ht="12" customHeight="1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586"/>
        <v>40782</v>
      </c>
      <c r="V3449">
        <f t="shared" si="1567"/>
        <v>27</v>
      </c>
      <c r="W3449">
        <f t="shared" si="1565"/>
        <v>8</v>
      </c>
      <c r="X3449">
        <f t="shared" si="1566"/>
        <v>2011</v>
      </c>
    </row>
    <row r="3450" spans="1:24" ht="12" customHeight="1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586"/>
        <v>40448</v>
      </c>
      <c r="V3450">
        <f t="shared" si="1567"/>
        <v>27</v>
      </c>
      <c r="W3450">
        <f t="shared" si="1565"/>
        <v>9</v>
      </c>
      <c r="X3450">
        <f t="shared" si="1566"/>
        <v>2010</v>
      </c>
    </row>
    <row r="3451" spans="1:24" ht="12" customHeight="1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586"/>
        <v>39960</v>
      </c>
      <c r="V3451">
        <f t="shared" si="1567"/>
        <v>27</v>
      </c>
      <c r="W3451">
        <f t="shared" si="1565"/>
        <v>5</v>
      </c>
      <c r="X3451">
        <f t="shared" si="1566"/>
        <v>2009</v>
      </c>
    </row>
    <row r="3452" spans="1:24" ht="12" customHeight="1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  <c r="V3452">
        <f t="shared" si="1567"/>
        <v>14</v>
      </c>
      <c r="W3452">
        <f t="shared" si="1565"/>
        <v>6</v>
      </c>
      <c r="X3452">
        <f t="shared" si="1566"/>
        <v>2009</v>
      </c>
    </row>
    <row r="3453" spans="1:24" ht="12" customHeight="1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  <c r="V3453">
        <f t="shared" si="1567"/>
        <v>25</v>
      </c>
      <c r="W3453">
        <f t="shared" si="1565"/>
        <v>7</v>
      </c>
      <c r="X3453">
        <f t="shared" si="1566"/>
        <v>2010</v>
      </c>
    </row>
    <row r="3454" spans="1:24" ht="12" customHeight="1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  <c r="V3454">
        <f t="shared" si="1567"/>
        <v>9</v>
      </c>
      <c r="W3454">
        <f t="shared" si="1565"/>
        <v>5</v>
      </c>
      <c r="X3454">
        <f t="shared" si="1566"/>
        <v>2010</v>
      </c>
    </row>
    <row r="3455" spans="1:24" ht="12" customHeight="1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  <c r="V3455">
        <f t="shared" si="1567"/>
        <v>16</v>
      </c>
      <c r="W3455">
        <f t="shared" si="1565"/>
        <v>5</v>
      </c>
      <c r="X3455">
        <f t="shared" si="1566"/>
        <v>2010</v>
      </c>
    </row>
    <row r="3456" spans="1:24" ht="12" customHeight="1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587">C3456+2</f>
        <v>40469</v>
      </c>
      <c r="V3456">
        <f t="shared" si="1567"/>
        <v>18</v>
      </c>
      <c r="W3456">
        <f t="shared" si="1565"/>
        <v>10</v>
      </c>
      <c r="X3456">
        <f t="shared" si="1566"/>
        <v>2010</v>
      </c>
    </row>
    <row r="3457" spans="1:24" ht="12" customHeight="1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587"/>
        <v>40979</v>
      </c>
      <c r="V3457">
        <f t="shared" si="1567"/>
        <v>11</v>
      </c>
      <c r="W3457">
        <f t="shared" si="1565"/>
        <v>3</v>
      </c>
      <c r="X3457">
        <f t="shared" si="1566"/>
        <v>2012</v>
      </c>
    </row>
    <row r="3458" spans="1:24" ht="12" customHeight="1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  <c r="V3458">
        <f t="shared" si="1567"/>
        <v>24</v>
      </c>
      <c r="W3458">
        <f t="shared" si="1565"/>
        <v>2</v>
      </c>
      <c r="X3458">
        <f t="shared" si="1566"/>
        <v>2010</v>
      </c>
    </row>
    <row r="3459" spans="1:24" ht="12" customHeight="1">
      <c r="A3459" s="4">
        <v>6004</v>
      </c>
      <c r="B3459" s="4">
        <v>42529</v>
      </c>
      <c r="C3459" s="5">
        <f t="shared" ref="C3459:C3460" si="1588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589">C3459+4</f>
        <v>40465</v>
      </c>
      <c r="V3459">
        <f t="shared" si="1567"/>
        <v>14</v>
      </c>
      <c r="W3459">
        <f t="shared" ref="W3459:W3522" si="1590">MONTH(U3459)</f>
        <v>10</v>
      </c>
      <c r="X3459">
        <f t="shared" ref="X3459:X3522" si="1591">YEAR(U3459)</f>
        <v>2010</v>
      </c>
    </row>
    <row r="3460" spans="1:24" ht="12" customHeight="1">
      <c r="A3460" s="4">
        <v>6006</v>
      </c>
      <c r="B3460" s="4">
        <v>42529</v>
      </c>
      <c r="C3460" s="5">
        <f t="shared" si="1588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589"/>
        <v>40465</v>
      </c>
      <c r="V3460">
        <f t="shared" ref="V3460:V3523" si="1592">DAY(U3460)</f>
        <v>14</v>
      </c>
      <c r="W3460">
        <f t="shared" si="1590"/>
        <v>10</v>
      </c>
      <c r="X3460">
        <f t="shared" si="1591"/>
        <v>2010</v>
      </c>
    </row>
    <row r="3461" spans="1:24" ht="12" customHeight="1">
      <c r="A3461" s="4">
        <v>6095</v>
      </c>
      <c r="B3461" s="4">
        <v>43200</v>
      </c>
      <c r="C3461" s="5">
        <f t="shared" ref="C3461:C3462" si="1593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594">C3461+1</f>
        <v>40391</v>
      </c>
      <c r="V3461">
        <f t="shared" si="1592"/>
        <v>1</v>
      </c>
      <c r="W3461">
        <f t="shared" si="1590"/>
        <v>8</v>
      </c>
      <c r="X3461">
        <f t="shared" si="1591"/>
        <v>2010</v>
      </c>
    </row>
    <row r="3462" spans="1:24" ht="12" customHeight="1">
      <c r="A3462" s="4">
        <v>6096</v>
      </c>
      <c r="B3462" s="4">
        <v>43200</v>
      </c>
      <c r="C3462" s="5">
        <f t="shared" si="1593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594"/>
        <v>40391</v>
      </c>
      <c r="V3462">
        <f t="shared" si="1592"/>
        <v>1</v>
      </c>
      <c r="W3462">
        <f t="shared" si="1590"/>
        <v>8</v>
      </c>
      <c r="X3462">
        <f t="shared" si="1591"/>
        <v>2010</v>
      </c>
    </row>
    <row r="3463" spans="1:24" ht="12" customHeight="1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594"/>
        <v>39948</v>
      </c>
      <c r="V3463">
        <f t="shared" si="1592"/>
        <v>15</v>
      </c>
      <c r="W3463">
        <f t="shared" si="1590"/>
        <v>5</v>
      </c>
      <c r="X3463">
        <f t="shared" si="1591"/>
        <v>2009</v>
      </c>
    </row>
    <row r="3464" spans="1:24" ht="12" customHeight="1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  <c r="V3464">
        <f t="shared" si="1592"/>
        <v>12</v>
      </c>
      <c r="W3464">
        <f t="shared" si="1590"/>
        <v>1</v>
      </c>
      <c r="X3464">
        <f t="shared" si="1591"/>
        <v>2012</v>
      </c>
    </row>
    <row r="3465" spans="1:24" ht="12" customHeight="1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  <c r="V3465">
        <f t="shared" si="1592"/>
        <v>10</v>
      </c>
      <c r="W3465">
        <f t="shared" si="1590"/>
        <v>7</v>
      </c>
      <c r="X3465">
        <f t="shared" si="1591"/>
        <v>2010</v>
      </c>
    </row>
    <row r="3466" spans="1:24" ht="12" customHeight="1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595">C3466+2</f>
        <v>40092</v>
      </c>
      <c r="V3466">
        <f t="shared" si="1592"/>
        <v>6</v>
      </c>
      <c r="W3466">
        <f t="shared" si="1590"/>
        <v>10</v>
      </c>
      <c r="X3466">
        <f t="shared" si="1591"/>
        <v>2009</v>
      </c>
    </row>
    <row r="3467" spans="1:24" ht="12" customHeight="1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595"/>
        <v>40385</v>
      </c>
      <c r="V3467">
        <f t="shared" si="1592"/>
        <v>26</v>
      </c>
      <c r="W3467">
        <f t="shared" si="1590"/>
        <v>7</v>
      </c>
      <c r="X3467">
        <f t="shared" si="1591"/>
        <v>2010</v>
      </c>
    </row>
    <row r="3468" spans="1:24" ht="12" customHeight="1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  <c r="V3468">
        <f t="shared" si="1592"/>
        <v>5</v>
      </c>
      <c r="W3468">
        <f t="shared" si="1590"/>
        <v>12</v>
      </c>
      <c r="X3468">
        <f t="shared" si="1591"/>
        <v>2010</v>
      </c>
    </row>
    <row r="3469" spans="1:24" ht="12" customHeight="1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  <c r="V3469">
        <f t="shared" si="1592"/>
        <v>18</v>
      </c>
      <c r="W3469">
        <f t="shared" si="1590"/>
        <v>12</v>
      </c>
      <c r="X3469">
        <f t="shared" si="1591"/>
        <v>2009</v>
      </c>
    </row>
    <row r="3470" spans="1:24" ht="12" customHeight="1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  <c r="V3470">
        <f t="shared" si="1592"/>
        <v>26</v>
      </c>
      <c r="W3470">
        <f t="shared" si="1590"/>
        <v>4</v>
      </c>
      <c r="X3470">
        <f t="shared" si="1591"/>
        <v>2012</v>
      </c>
    </row>
    <row r="3471" spans="1:24" ht="12" customHeight="1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  <c r="V3471">
        <f t="shared" si="1592"/>
        <v>26</v>
      </c>
      <c r="W3471">
        <f t="shared" si="1590"/>
        <v>8</v>
      </c>
      <c r="X3471">
        <f t="shared" si="1591"/>
        <v>2011</v>
      </c>
    </row>
    <row r="3472" spans="1:24" ht="12" customHeight="1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  <c r="V3472">
        <f t="shared" si="1592"/>
        <v>17</v>
      </c>
      <c r="W3472">
        <f t="shared" si="1590"/>
        <v>5</v>
      </c>
      <c r="X3472">
        <f t="shared" si="1591"/>
        <v>2010</v>
      </c>
    </row>
    <row r="3473" spans="1:24" ht="12" customHeight="1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596">C3473+2</f>
        <v>40843</v>
      </c>
      <c r="V3473">
        <f t="shared" si="1592"/>
        <v>27</v>
      </c>
      <c r="W3473">
        <f t="shared" si="1590"/>
        <v>10</v>
      </c>
      <c r="X3473">
        <f t="shared" si="1591"/>
        <v>2011</v>
      </c>
    </row>
    <row r="3474" spans="1:24" ht="12" customHeight="1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596"/>
        <v>40007</v>
      </c>
      <c r="V3474">
        <f t="shared" si="1592"/>
        <v>13</v>
      </c>
      <c r="W3474">
        <f t="shared" si="1590"/>
        <v>7</v>
      </c>
      <c r="X3474">
        <f t="shared" si="1591"/>
        <v>2009</v>
      </c>
    </row>
    <row r="3475" spans="1:24" ht="12" customHeight="1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  <c r="V3475">
        <f t="shared" si="1592"/>
        <v>3</v>
      </c>
      <c r="W3475">
        <f t="shared" si="1590"/>
        <v>11</v>
      </c>
      <c r="X3475">
        <f t="shared" si="1591"/>
        <v>2012</v>
      </c>
    </row>
    <row r="3476" spans="1:24" ht="12" customHeight="1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597">C3476+1</f>
        <v>40567</v>
      </c>
      <c r="V3476">
        <f t="shared" si="1592"/>
        <v>24</v>
      </c>
      <c r="W3476">
        <f t="shared" si="1590"/>
        <v>1</v>
      </c>
      <c r="X3476">
        <f t="shared" si="1591"/>
        <v>2011</v>
      </c>
    </row>
    <row r="3477" spans="1:24" ht="12" customHeight="1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597"/>
        <v>40625</v>
      </c>
      <c r="V3477">
        <f t="shared" si="1592"/>
        <v>23</v>
      </c>
      <c r="W3477">
        <f t="shared" si="1590"/>
        <v>3</v>
      </c>
      <c r="X3477">
        <f t="shared" si="1591"/>
        <v>2011</v>
      </c>
    </row>
    <row r="3478" spans="1:24" ht="12" customHeight="1">
      <c r="A3478" s="4">
        <v>7156</v>
      </c>
      <c r="B3478" s="4">
        <v>51047</v>
      </c>
      <c r="C3478" s="5">
        <f t="shared" ref="C3478:C3479" si="1598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597"/>
        <v>39914</v>
      </c>
      <c r="V3478">
        <f t="shared" si="1592"/>
        <v>11</v>
      </c>
      <c r="W3478">
        <f t="shared" si="1590"/>
        <v>4</v>
      </c>
      <c r="X3478">
        <f t="shared" si="1591"/>
        <v>2009</v>
      </c>
    </row>
    <row r="3479" spans="1:24" ht="12" customHeight="1">
      <c r="A3479" s="4">
        <v>7157</v>
      </c>
      <c r="B3479" s="4">
        <v>51047</v>
      </c>
      <c r="C3479" s="5">
        <f t="shared" si="1598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597"/>
        <v>39914</v>
      </c>
      <c r="V3479">
        <f t="shared" si="1592"/>
        <v>11</v>
      </c>
      <c r="W3479">
        <f t="shared" si="1590"/>
        <v>4</v>
      </c>
      <c r="X3479">
        <f t="shared" si="1591"/>
        <v>2009</v>
      </c>
    </row>
    <row r="3480" spans="1:24" ht="12" customHeight="1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  <c r="V3480">
        <f t="shared" si="1592"/>
        <v>13</v>
      </c>
      <c r="W3480">
        <f t="shared" si="1590"/>
        <v>11</v>
      </c>
      <c r="X3480">
        <f t="shared" si="1591"/>
        <v>2011</v>
      </c>
    </row>
    <row r="3481" spans="1:24" ht="12" customHeight="1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  <c r="V3481">
        <f t="shared" si="1592"/>
        <v>15</v>
      </c>
      <c r="W3481">
        <f t="shared" si="1590"/>
        <v>2</v>
      </c>
      <c r="X3481">
        <f t="shared" si="1591"/>
        <v>2012</v>
      </c>
    </row>
    <row r="3482" spans="1:24" ht="12" customHeight="1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599">C3482+2</f>
        <v>40708</v>
      </c>
      <c r="V3482">
        <f t="shared" si="1592"/>
        <v>14</v>
      </c>
      <c r="W3482">
        <f t="shared" si="1590"/>
        <v>6</v>
      </c>
      <c r="X3482">
        <f t="shared" si="1591"/>
        <v>2011</v>
      </c>
    </row>
    <row r="3483" spans="1:24" ht="12" customHeight="1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599"/>
        <v>40850</v>
      </c>
      <c r="V3483">
        <f t="shared" si="1592"/>
        <v>3</v>
      </c>
      <c r="W3483">
        <f t="shared" si="1590"/>
        <v>11</v>
      </c>
      <c r="X3483">
        <f t="shared" si="1591"/>
        <v>2011</v>
      </c>
    </row>
    <row r="3484" spans="1:24" ht="12" customHeight="1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  <c r="V3484">
        <f t="shared" si="1592"/>
        <v>9</v>
      </c>
      <c r="W3484">
        <f t="shared" si="1590"/>
        <v>5</v>
      </c>
      <c r="X3484">
        <f t="shared" si="1591"/>
        <v>2011</v>
      </c>
    </row>
    <row r="3485" spans="1:24" ht="12" customHeight="1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  <c r="V3485">
        <f t="shared" si="1592"/>
        <v>26</v>
      </c>
      <c r="W3485">
        <f t="shared" si="1590"/>
        <v>5</v>
      </c>
      <c r="X3485">
        <f t="shared" si="1591"/>
        <v>2009</v>
      </c>
    </row>
    <row r="3486" spans="1:24" ht="12" customHeight="1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600">C3486+1</f>
        <v>41093</v>
      </c>
      <c r="V3486">
        <f t="shared" si="1592"/>
        <v>3</v>
      </c>
      <c r="W3486">
        <f t="shared" si="1590"/>
        <v>7</v>
      </c>
      <c r="X3486">
        <f t="shared" si="1591"/>
        <v>2012</v>
      </c>
    </row>
    <row r="3487" spans="1:24" ht="12" customHeight="1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600"/>
        <v>40041</v>
      </c>
      <c r="V3487">
        <f t="shared" si="1592"/>
        <v>16</v>
      </c>
      <c r="W3487">
        <f t="shared" si="1590"/>
        <v>8</v>
      </c>
      <c r="X3487">
        <f t="shared" si="1591"/>
        <v>2009</v>
      </c>
    </row>
    <row r="3488" spans="1:24" ht="12" customHeight="1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600"/>
        <v>40752</v>
      </c>
      <c r="V3488">
        <f t="shared" si="1592"/>
        <v>28</v>
      </c>
      <c r="W3488">
        <f t="shared" si="1590"/>
        <v>7</v>
      </c>
      <c r="X3488">
        <f t="shared" si="1591"/>
        <v>2011</v>
      </c>
    </row>
    <row r="3489" spans="1:24" ht="12" customHeight="1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601">C3489+2</f>
        <v>39963</v>
      </c>
      <c r="V3489">
        <f t="shared" si="1592"/>
        <v>30</v>
      </c>
      <c r="W3489">
        <f t="shared" si="1590"/>
        <v>5</v>
      </c>
      <c r="X3489">
        <f t="shared" si="1591"/>
        <v>2009</v>
      </c>
    </row>
    <row r="3490" spans="1:24" ht="12" customHeight="1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601"/>
        <v>39824</v>
      </c>
      <c r="V3490">
        <f t="shared" si="1592"/>
        <v>11</v>
      </c>
      <c r="W3490">
        <f t="shared" si="1590"/>
        <v>1</v>
      </c>
      <c r="X3490">
        <f t="shared" si="1591"/>
        <v>2009</v>
      </c>
    </row>
    <row r="3491" spans="1:24" ht="12" customHeight="1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  <c r="V3491">
        <f t="shared" si="1592"/>
        <v>11</v>
      </c>
      <c r="W3491">
        <f t="shared" si="1590"/>
        <v>1</v>
      </c>
      <c r="X3491">
        <f t="shared" si="1591"/>
        <v>2010</v>
      </c>
    </row>
    <row r="3492" spans="1:24" ht="12" customHeight="1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602">C3492+2</f>
        <v>40224</v>
      </c>
      <c r="V3492">
        <f t="shared" si="1592"/>
        <v>15</v>
      </c>
      <c r="W3492">
        <f t="shared" si="1590"/>
        <v>2</v>
      </c>
      <c r="X3492">
        <f t="shared" si="1591"/>
        <v>2010</v>
      </c>
    </row>
    <row r="3493" spans="1:24" ht="12" customHeight="1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602"/>
        <v>40527</v>
      </c>
      <c r="V3493">
        <f t="shared" si="1592"/>
        <v>15</v>
      </c>
      <c r="W3493">
        <f t="shared" si="1590"/>
        <v>12</v>
      </c>
      <c r="X3493">
        <f t="shared" si="1591"/>
        <v>2010</v>
      </c>
    </row>
    <row r="3494" spans="1:24" ht="12" customHeight="1">
      <c r="A3494" s="4">
        <v>8366</v>
      </c>
      <c r="B3494" s="4">
        <v>59781</v>
      </c>
      <c r="C3494" s="5">
        <f t="shared" ref="C3494:C3495" si="1603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602"/>
        <v>41257</v>
      </c>
      <c r="V3494">
        <f t="shared" si="1592"/>
        <v>14</v>
      </c>
      <c r="W3494">
        <f t="shared" si="1590"/>
        <v>12</v>
      </c>
      <c r="X3494">
        <f t="shared" si="1591"/>
        <v>2012</v>
      </c>
    </row>
    <row r="3495" spans="1:24" ht="12" customHeight="1">
      <c r="A3495" s="4">
        <v>8368</v>
      </c>
      <c r="B3495" s="4">
        <v>59781</v>
      </c>
      <c r="C3495" s="5">
        <f t="shared" si="1603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  <c r="V3495">
        <f t="shared" si="1592"/>
        <v>13</v>
      </c>
      <c r="W3495">
        <f t="shared" si="1590"/>
        <v>12</v>
      </c>
      <c r="X3495">
        <f t="shared" si="1591"/>
        <v>2012</v>
      </c>
    </row>
    <row r="3496" spans="1:24" ht="12" customHeight="1">
      <c r="A3496" s="4">
        <v>14</v>
      </c>
      <c r="B3496" s="4">
        <v>70</v>
      </c>
      <c r="C3496" s="5">
        <f t="shared" ref="C3496:C3497" si="1604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605">C3496+5</f>
        <v>40534</v>
      </c>
      <c r="V3496">
        <f t="shared" si="1592"/>
        <v>22</v>
      </c>
      <c r="W3496">
        <f t="shared" si="1590"/>
        <v>12</v>
      </c>
      <c r="X3496">
        <f t="shared" si="1591"/>
        <v>2010</v>
      </c>
    </row>
    <row r="3497" spans="1:24" ht="12" customHeight="1">
      <c r="A3497" s="4">
        <v>15</v>
      </c>
      <c r="B3497" s="4">
        <v>70</v>
      </c>
      <c r="C3497" s="5">
        <f t="shared" si="1604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605"/>
        <v>40534</v>
      </c>
      <c r="V3497">
        <f t="shared" si="1592"/>
        <v>22</v>
      </c>
      <c r="W3497">
        <f t="shared" si="1590"/>
        <v>12</v>
      </c>
      <c r="X3497">
        <f t="shared" si="1591"/>
        <v>2010</v>
      </c>
    </row>
    <row r="3498" spans="1:24" ht="12" customHeight="1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606">C3498+2</f>
        <v>40838</v>
      </c>
      <c r="V3498">
        <f t="shared" si="1592"/>
        <v>22</v>
      </c>
      <c r="W3498">
        <f t="shared" si="1590"/>
        <v>10</v>
      </c>
      <c r="X3498">
        <f t="shared" si="1591"/>
        <v>2011</v>
      </c>
    </row>
    <row r="3499" spans="1:24" ht="12" customHeight="1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606"/>
        <v>40399</v>
      </c>
      <c r="V3499">
        <f t="shared" si="1592"/>
        <v>9</v>
      </c>
      <c r="W3499">
        <f t="shared" si="1590"/>
        <v>8</v>
      </c>
      <c r="X3499">
        <f t="shared" si="1591"/>
        <v>2010</v>
      </c>
    </row>
    <row r="3500" spans="1:24" ht="12" customHeight="1">
      <c r="A3500" s="4">
        <v>35</v>
      </c>
      <c r="B3500" s="4">
        <v>225</v>
      </c>
      <c r="C3500" s="5">
        <f t="shared" ref="C3500:C3501" si="1607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  <c r="V3500">
        <f t="shared" si="1592"/>
        <v>25</v>
      </c>
      <c r="W3500">
        <f t="shared" si="1590"/>
        <v>5</v>
      </c>
      <c r="X3500">
        <f t="shared" si="1591"/>
        <v>2011</v>
      </c>
    </row>
    <row r="3501" spans="1:24" ht="12" customHeight="1">
      <c r="A3501" s="4">
        <v>36</v>
      </c>
      <c r="B3501" s="4">
        <v>225</v>
      </c>
      <c r="C3501" s="5">
        <f t="shared" si="1607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  <c r="V3501">
        <f t="shared" si="1592"/>
        <v>26</v>
      </c>
      <c r="W3501">
        <f t="shared" si="1590"/>
        <v>5</v>
      </c>
      <c r="X3501">
        <f t="shared" si="1591"/>
        <v>2011</v>
      </c>
    </row>
    <row r="3502" spans="1:24" ht="12" customHeight="1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608">C3502+1</f>
        <v>39819</v>
      </c>
      <c r="V3502">
        <f t="shared" si="1592"/>
        <v>6</v>
      </c>
      <c r="W3502">
        <f t="shared" si="1590"/>
        <v>1</v>
      </c>
      <c r="X3502">
        <f t="shared" si="1591"/>
        <v>2009</v>
      </c>
    </row>
    <row r="3503" spans="1:24" ht="12" customHeight="1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608"/>
        <v>41030</v>
      </c>
      <c r="V3503">
        <f t="shared" si="1592"/>
        <v>1</v>
      </c>
      <c r="W3503">
        <f t="shared" si="1590"/>
        <v>5</v>
      </c>
      <c r="X3503">
        <f t="shared" si="1591"/>
        <v>2012</v>
      </c>
    </row>
    <row r="3504" spans="1:24" ht="12" customHeight="1">
      <c r="A3504" s="4">
        <v>112</v>
      </c>
      <c r="B3504" s="4">
        <v>738</v>
      </c>
      <c r="C3504" s="5">
        <f t="shared" ref="C3504:C3505" si="1609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  <c r="V3504">
        <f t="shared" si="1592"/>
        <v>3</v>
      </c>
      <c r="W3504">
        <f t="shared" si="1590"/>
        <v>3</v>
      </c>
      <c r="X3504">
        <f t="shared" si="1591"/>
        <v>2010</v>
      </c>
    </row>
    <row r="3505" spans="1:24" ht="12" customHeight="1">
      <c r="A3505" s="4">
        <v>113</v>
      </c>
      <c r="B3505" s="4">
        <v>738</v>
      </c>
      <c r="C3505" s="5">
        <f t="shared" si="1609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  <c r="V3505">
        <f t="shared" si="1592"/>
        <v>2</v>
      </c>
      <c r="W3505">
        <f t="shared" si="1590"/>
        <v>3</v>
      </c>
      <c r="X3505">
        <f t="shared" si="1591"/>
        <v>2010</v>
      </c>
    </row>
    <row r="3506" spans="1:24" ht="12" customHeight="1">
      <c r="A3506" s="4">
        <v>117</v>
      </c>
      <c r="B3506" s="4">
        <v>772</v>
      </c>
      <c r="C3506" s="5">
        <f t="shared" ref="C3506:C3507" si="1610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611">C3506+2</f>
        <v>40286</v>
      </c>
      <c r="V3506">
        <f t="shared" si="1592"/>
        <v>18</v>
      </c>
      <c r="W3506">
        <f t="shared" si="1590"/>
        <v>4</v>
      </c>
      <c r="X3506">
        <f t="shared" si="1591"/>
        <v>2010</v>
      </c>
    </row>
    <row r="3507" spans="1:24" ht="12" customHeight="1">
      <c r="A3507" s="4">
        <v>118</v>
      </c>
      <c r="B3507" s="4">
        <v>772</v>
      </c>
      <c r="C3507" s="5">
        <f t="shared" si="1610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611"/>
        <v>40286</v>
      </c>
      <c r="V3507">
        <f t="shared" si="1592"/>
        <v>18</v>
      </c>
      <c r="W3507">
        <f t="shared" si="1590"/>
        <v>4</v>
      </c>
      <c r="X3507">
        <f t="shared" si="1591"/>
        <v>2010</v>
      </c>
    </row>
    <row r="3508" spans="1:24" ht="12" customHeight="1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  <c r="V3508">
        <f t="shared" si="1592"/>
        <v>9</v>
      </c>
      <c r="W3508">
        <f t="shared" si="1590"/>
        <v>4</v>
      </c>
      <c r="X3508">
        <f t="shared" si="1591"/>
        <v>2009</v>
      </c>
    </row>
    <row r="3509" spans="1:24" ht="12" customHeight="1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  <c r="V3509">
        <f t="shared" si="1592"/>
        <v>6</v>
      </c>
      <c r="W3509">
        <f t="shared" si="1590"/>
        <v>12</v>
      </c>
      <c r="X3509">
        <f t="shared" si="1591"/>
        <v>2010</v>
      </c>
    </row>
    <row r="3510" spans="1:24" ht="12" customHeight="1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  <c r="V3510">
        <f t="shared" si="1592"/>
        <v>16</v>
      </c>
      <c r="W3510">
        <f t="shared" si="1590"/>
        <v>7</v>
      </c>
      <c r="X3510">
        <f t="shared" si="1591"/>
        <v>2011</v>
      </c>
    </row>
    <row r="3511" spans="1:24" ht="12" customHeight="1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  <c r="V3511">
        <f t="shared" si="1592"/>
        <v>31</v>
      </c>
      <c r="W3511">
        <f t="shared" si="1590"/>
        <v>10</v>
      </c>
      <c r="X3511">
        <f t="shared" si="1591"/>
        <v>2012</v>
      </c>
    </row>
    <row r="3512" spans="1:24" ht="12" customHeight="1">
      <c r="A3512" s="4">
        <v>450</v>
      </c>
      <c r="B3512" s="4">
        <v>3073</v>
      </c>
      <c r="C3512" s="5">
        <f t="shared" ref="C3512:C3514" si="1612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613">C3512+1</f>
        <v>39821</v>
      </c>
      <c r="V3512">
        <f t="shared" si="1592"/>
        <v>8</v>
      </c>
      <c r="W3512">
        <f t="shared" si="1590"/>
        <v>1</v>
      </c>
      <c r="X3512">
        <f t="shared" si="1591"/>
        <v>2009</v>
      </c>
    </row>
    <row r="3513" spans="1:24" ht="12" customHeight="1">
      <c r="A3513" s="4">
        <v>451</v>
      </c>
      <c r="B3513" s="4">
        <v>3073</v>
      </c>
      <c r="C3513" s="5">
        <f t="shared" si="1612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613"/>
        <v>39821</v>
      </c>
      <c r="V3513">
        <f t="shared" si="1592"/>
        <v>8</v>
      </c>
      <c r="W3513">
        <f t="shared" si="1590"/>
        <v>1</v>
      </c>
      <c r="X3513">
        <f t="shared" si="1591"/>
        <v>2009</v>
      </c>
    </row>
    <row r="3514" spans="1:24" ht="12" customHeight="1">
      <c r="A3514" s="4">
        <v>452</v>
      </c>
      <c r="B3514" s="4">
        <v>3073</v>
      </c>
      <c r="C3514" s="5">
        <f t="shared" si="1612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613"/>
        <v>39821</v>
      </c>
      <c r="V3514">
        <f t="shared" si="1592"/>
        <v>8</v>
      </c>
      <c r="W3514">
        <f t="shared" si="1590"/>
        <v>1</v>
      </c>
      <c r="X3514">
        <f t="shared" si="1591"/>
        <v>2009</v>
      </c>
    </row>
    <row r="3515" spans="1:24" ht="12" customHeight="1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  <c r="V3515">
        <f t="shared" si="1592"/>
        <v>3</v>
      </c>
      <c r="W3515">
        <f t="shared" si="1590"/>
        <v>2</v>
      </c>
      <c r="X3515">
        <f t="shared" si="1591"/>
        <v>2012</v>
      </c>
    </row>
    <row r="3516" spans="1:24" ht="12" customHeight="1">
      <c r="A3516" s="4">
        <v>469</v>
      </c>
      <c r="B3516" s="4">
        <v>3205</v>
      </c>
      <c r="C3516" s="5">
        <f t="shared" ref="C3516:C3517" si="1614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  <c r="V3516">
        <f t="shared" si="1592"/>
        <v>10</v>
      </c>
      <c r="W3516">
        <f t="shared" si="1590"/>
        <v>4</v>
      </c>
      <c r="X3516">
        <f t="shared" si="1591"/>
        <v>2012</v>
      </c>
    </row>
    <row r="3517" spans="1:24" ht="12" customHeight="1">
      <c r="A3517" s="4">
        <v>470</v>
      </c>
      <c r="B3517" s="4">
        <v>3205</v>
      </c>
      <c r="C3517" s="5">
        <f t="shared" si="1614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  <c r="V3517">
        <f t="shared" si="1592"/>
        <v>14</v>
      </c>
      <c r="W3517">
        <f t="shared" si="1590"/>
        <v>4</v>
      </c>
      <c r="X3517">
        <f t="shared" si="1591"/>
        <v>2012</v>
      </c>
    </row>
    <row r="3518" spans="1:24" ht="12" customHeight="1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615">C3518+1</f>
        <v>41206</v>
      </c>
      <c r="V3518">
        <f t="shared" si="1592"/>
        <v>24</v>
      </c>
      <c r="W3518">
        <f t="shared" si="1590"/>
        <v>10</v>
      </c>
      <c r="X3518">
        <f t="shared" si="1591"/>
        <v>2012</v>
      </c>
    </row>
    <row r="3519" spans="1:24" ht="12" customHeight="1">
      <c r="A3519" s="4">
        <v>523</v>
      </c>
      <c r="B3519" s="4">
        <v>3586</v>
      </c>
      <c r="C3519" s="5">
        <f t="shared" ref="C3519:C3520" si="1616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615"/>
        <v>40517</v>
      </c>
      <c r="V3519">
        <f t="shared" si="1592"/>
        <v>5</v>
      </c>
      <c r="W3519">
        <f t="shared" si="1590"/>
        <v>12</v>
      </c>
      <c r="X3519">
        <f t="shared" si="1591"/>
        <v>2010</v>
      </c>
    </row>
    <row r="3520" spans="1:24" ht="12" customHeight="1">
      <c r="A3520" s="4">
        <v>524</v>
      </c>
      <c r="B3520" s="4">
        <v>3586</v>
      </c>
      <c r="C3520" s="5">
        <f t="shared" si="1616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617">C3520+2</f>
        <v>40518</v>
      </c>
      <c r="V3520">
        <f t="shared" si="1592"/>
        <v>6</v>
      </c>
      <c r="W3520">
        <f t="shared" si="1590"/>
        <v>12</v>
      </c>
      <c r="X3520">
        <f t="shared" si="1591"/>
        <v>2010</v>
      </c>
    </row>
    <row r="3521" spans="1:24" ht="12" customHeight="1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617"/>
        <v>40664</v>
      </c>
      <c r="V3521">
        <f t="shared" si="1592"/>
        <v>1</v>
      </c>
      <c r="W3521">
        <f t="shared" si="1590"/>
        <v>5</v>
      </c>
      <c r="X3521">
        <f t="shared" si="1591"/>
        <v>2011</v>
      </c>
    </row>
    <row r="3522" spans="1:24" ht="12" customHeight="1">
      <c r="A3522" s="4">
        <v>556</v>
      </c>
      <c r="B3522" s="4">
        <v>3778</v>
      </c>
      <c r="C3522" s="5">
        <f t="shared" ref="C3522:C3525" si="1618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617"/>
        <v>40325</v>
      </c>
      <c r="V3522">
        <f t="shared" si="1592"/>
        <v>27</v>
      </c>
      <c r="W3522">
        <f t="shared" si="1590"/>
        <v>5</v>
      </c>
      <c r="X3522">
        <f t="shared" si="1591"/>
        <v>2010</v>
      </c>
    </row>
    <row r="3523" spans="1:24" ht="12" customHeight="1">
      <c r="A3523" s="4">
        <v>557</v>
      </c>
      <c r="B3523" s="4">
        <v>3778</v>
      </c>
      <c r="C3523" s="5">
        <f t="shared" si="1618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619">C3523+1</f>
        <v>40324</v>
      </c>
      <c r="V3523">
        <f t="shared" si="1592"/>
        <v>26</v>
      </c>
      <c r="W3523">
        <f t="shared" ref="W3523:W3586" si="1620">MONTH(U3523)</f>
        <v>5</v>
      </c>
      <c r="X3523">
        <f t="shared" ref="X3523:X3586" si="1621">YEAR(U3523)</f>
        <v>2010</v>
      </c>
    </row>
    <row r="3524" spans="1:24" ht="12" customHeight="1">
      <c r="A3524" s="4">
        <v>558</v>
      </c>
      <c r="B3524" s="4">
        <v>3778</v>
      </c>
      <c r="C3524" s="5">
        <f t="shared" si="1618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619"/>
        <v>40324</v>
      </c>
      <c r="V3524">
        <f t="shared" ref="V3524:V3587" si="1622">DAY(U3524)</f>
        <v>26</v>
      </c>
      <c r="W3524">
        <f t="shared" si="1620"/>
        <v>5</v>
      </c>
      <c r="X3524">
        <f t="shared" si="1621"/>
        <v>2010</v>
      </c>
    </row>
    <row r="3525" spans="1:24" ht="12" customHeight="1">
      <c r="A3525" s="4">
        <v>559</v>
      </c>
      <c r="B3525" s="4">
        <v>3778</v>
      </c>
      <c r="C3525" s="5">
        <f t="shared" si="1618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619"/>
        <v>40324</v>
      </c>
      <c r="V3525">
        <f t="shared" si="1622"/>
        <v>26</v>
      </c>
      <c r="W3525">
        <f t="shared" si="1620"/>
        <v>5</v>
      </c>
      <c r="X3525">
        <f t="shared" si="1621"/>
        <v>2010</v>
      </c>
    </row>
    <row r="3526" spans="1:24" ht="12" customHeight="1">
      <c r="A3526" s="4">
        <v>566</v>
      </c>
      <c r="B3526" s="4">
        <v>3841</v>
      </c>
      <c r="C3526" s="5">
        <f t="shared" ref="C3526:C3528" si="1623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624">C3526+2</f>
        <v>40092</v>
      </c>
      <c r="V3526">
        <f t="shared" si="1622"/>
        <v>6</v>
      </c>
      <c r="W3526">
        <f t="shared" si="1620"/>
        <v>10</v>
      </c>
      <c r="X3526">
        <f t="shared" si="1621"/>
        <v>2009</v>
      </c>
    </row>
    <row r="3527" spans="1:24" ht="12" customHeight="1">
      <c r="A3527" s="4">
        <v>567</v>
      </c>
      <c r="B3527" s="4">
        <v>3841</v>
      </c>
      <c r="C3527" s="5">
        <f t="shared" si="1623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624"/>
        <v>40092</v>
      </c>
      <c r="V3527">
        <f t="shared" si="1622"/>
        <v>6</v>
      </c>
      <c r="W3527">
        <f t="shared" si="1620"/>
        <v>10</v>
      </c>
      <c r="X3527">
        <f t="shared" si="1621"/>
        <v>2009</v>
      </c>
    </row>
    <row r="3528" spans="1:24" ht="12" customHeight="1">
      <c r="A3528" s="4">
        <v>568</v>
      </c>
      <c r="B3528" s="4">
        <v>3841</v>
      </c>
      <c r="C3528" s="5">
        <f t="shared" si="1623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624"/>
        <v>40092</v>
      </c>
      <c r="V3528">
        <f t="shared" si="1622"/>
        <v>6</v>
      </c>
      <c r="W3528">
        <f t="shared" si="1620"/>
        <v>10</v>
      </c>
      <c r="X3528">
        <f t="shared" si="1621"/>
        <v>2009</v>
      </c>
    </row>
    <row r="3529" spans="1:24" ht="12" customHeight="1">
      <c r="A3529" s="4">
        <v>584</v>
      </c>
      <c r="B3529" s="4">
        <v>4004</v>
      </c>
      <c r="C3529" s="5">
        <f t="shared" ref="C3529:C3530" si="1625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  <c r="V3529">
        <f t="shared" si="1622"/>
        <v>9</v>
      </c>
      <c r="W3529">
        <f t="shared" si="1620"/>
        <v>5</v>
      </c>
      <c r="X3529">
        <f t="shared" si="1621"/>
        <v>2010</v>
      </c>
    </row>
    <row r="3530" spans="1:24" ht="12" customHeight="1">
      <c r="A3530" s="4">
        <v>585</v>
      </c>
      <c r="B3530" s="4">
        <v>4004</v>
      </c>
      <c r="C3530" s="5">
        <f t="shared" si="1625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626">C3530+1</f>
        <v>40305</v>
      </c>
      <c r="V3530">
        <f t="shared" si="1622"/>
        <v>7</v>
      </c>
      <c r="W3530">
        <f t="shared" si="1620"/>
        <v>5</v>
      </c>
      <c r="X3530">
        <f t="shared" si="1621"/>
        <v>2010</v>
      </c>
    </row>
    <row r="3531" spans="1:24" ht="12" customHeight="1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626"/>
        <v>41093</v>
      </c>
      <c r="V3531">
        <f t="shared" si="1622"/>
        <v>3</v>
      </c>
      <c r="W3531">
        <f t="shared" si="1620"/>
        <v>7</v>
      </c>
      <c r="X3531">
        <f t="shared" si="1621"/>
        <v>2012</v>
      </c>
    </row>
    <row r="3532" spans="1:24" ht="12" customHeight="1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626"/>
        <v>40647</v>
      </c>
      <c r="V3532">
        <f t="shared" si="1622"/>
        <v>14</v>
      </c>
      <c r="W3532">
        <f t="shared" si="1620"/>
        <v>4</v>
      </c>
      <c r="X3532">
        <f t="shared" si="1621"/>
        <v>2011</v>
      </c>
    </row>
    <row r="3533" spans="1:24" ht="12" customHeight="1">
      <c r="A3533" s="4">
        <v>688</v>
      </c>
      <c r="B3533" s="4">
        <v>4800</v>
      </c>
      <c r="C3533" s="5">
        <f t="shared" ref="C3533:C3535" si="1627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628">C3533+7</f>
        <v>40920</v>
      </c>
      <c r="V3533">
        <f t="shared" si="1622"/>
        <v>12</v>
      </c>
      <c r="W3533">
        <f t="shared" si="1620"/>
        <v>1</v>
      </c>
      <c r="X3533">
        <f t="shared" si="1621"/>
        <v>2012</v>
      </c>
    </row>
    <row r="3534" spans="1:24" ht="12" customHeight="1">
      <c r="A3534" s="4">
        <v>689</v>
      </c>
      <c r="B3534" s="4">
        <v>4800</v>
      </c>
      <c r="C3534" s="5">
        <f t="shared" si="1627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628"/>
        <v>40920</v>
      </c>
      <c r="V3534">
        <f t="shared" si="1622"/>
        <v>12</v>
      </c>
      <c r="W3534">
        <f t="shared" si="1620"/>
        <v>1</v>
      </c>
      <c r="X3534">
        <f t="shared" si="1621"/>
        <v>2012</v>
      </c>
    </row>
    <row r="3535" spans="1:24" ht="12" customHeight="1">
      <c r="A3535" s="4">
        <v>690</v>
      </c>
      <c r="B3535" s="4">
        <v>4800</v>
      </c>
      <c r="C3535" s="5">
        <f t="shared" si="1627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  <c r="V3535">
        <f t="shared" si="1622"/>
        <v>10</v>
      </c>
      <c r="W3535">
        <f t="shared" si="1620"/>
        <v>1</v>
      </c>
      <c r="X3535">
        <f t="shared" si="1621"/>
        <v>2012</v>
      </c>
    </row>
    <row r="3536" spans="1:24" ht="12" customHeight="1">
      <c r="A3536" s="4">
        <v>778</v>
      </c>
      <c r="B3536" s="4">
        <v>5543</v>
      </c>
      <c r="C3536" s="5">
        <f t="shared" ref="C3536:C3538" si="1629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  <c r="V3536">
        <f t="shared" si="1622"/>
        <v>26</v>
      </c>
      <c r="W3536">
        <f t="shared" si="1620"/>
        <v>9</v>
      </c>
      <c r="X3536">
        <f t="shared" si="1621"/>
        <v>2010</v>
      </c>
    </row>
    <row r="3537" spans="1:24" ht="12" customHeight="1">
      <c r="A3537" s="4">
        <v>779</v>
      </c>
      <c r="B3537" s="4">
        <v>5543</v>
      </c>
      <c r="C3537" s="5">
        <f t="shared" si="1629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  <c r="V3537">
        <f t="shared" si="1622"/>
        <v>27</v>
      </c>
      <c r="W3537">
        <f t="shared" si="1620"/>
        <v>9</v>
      </c>
      <c r="X3537">
        <f t="shared" si="1621"/>
        <v>2010</v>
      </c>
    </row>
    <row r="3538" spans="1:24" ht="12" customHeight="1">
      <c r="A3538" s="4">
        <v>780</v>
      </c>
      <c r="B3538" s="4">
        <v>5543</v>
      </c>
      <c r="C3538" s="5">
        <f t="shared" si="1629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630">C3538+2</f>
        <v>40447</v>
      </c>
      <c r="V3538">
        <f t="shared" si="1622"/>
        <v>26</v>
      </c>
      <c r="W3538">
        <f t="shared" si="1620"/>
        <v>9</v>
      </c>
      <c r="X3538">
        <f t="shared" si="1621"/>
        <v>2010</v>
      </c>
    </row>
    <row r="3539" spans="1:24" ht="12" customHeight="1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630"/>
        <v>40591</v>
      </c>
      <c r="V3539">
        <f t="shared" si="1622"/>
        <v>17</v>
      </c>
      <c r="W3539">
        <f t="shared" si="1620"/>
        <v>2</v>
      </c>
      <c r="X3539">
        <f t="shared" si="1621"/>
        <v>2011</v>
      </c>
    </row>
    <row r="3540" spans="1:24" ht="12" customHeight="1">
      <c r="A3540" s="4">
        <v>843</v>
      </c>
      <c r="B3540" s="4">
        <v>6050</v>
      </c>
      <c r="C3540" s="5">
        <f t="shared" ref="C3540:C3541" si="1631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  <c r="V3540">
        <f t="shared" si="1622"/>
        <v>4</v>
      </c>
      <c r="W3540">
        <f t="shared" si="1620"/>
        <v>4</v>
      </c>
      <c r="X3540">
        <f t="shared" si="1621"/>
        <v>2010</v>
      </c>
    </row>
    <row r="3541" spans="1:24" ht="12" customHeight="1">
      <c r="A3541" s="4">
        <v>844</v>
      </c>
      <c r="B3541" s="4">
        <v>6050</v>
      </c>
      <c r="C3541" s="5">
        <f t="shared" si="1631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  <c r="V3541">
        <f t="shared" si="1622"/>
        <v>2</v>
      </c>
      <c r="W3541">
        <f t="shared" si="1620"/>
        <v>4</v>
      </c>
      <c r="X3541">
        <f t="shared" si="1621"/>
        <v>2010</v>
      </c>
    </row>
    <row r="3542" spans="1:24" ht="12" customHeight="1">
      <c r="A3542" s="4">
        <v>857</v>
      </c>
      <c r="B3542" s="4">
        <v>6148</v>
      </c>
      <c r="C3542" s="5">
        <f t="shared" ref="C3542:C3543" si="1632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633">C3542+1</f>
        <v>40902</v>
      </c>
      <c r="V3542">
        <f t="shared" si="1622"/>
        <v>25</v>
      </c>
      <c r="W3542">
        <f t="shared" si="1620"/>
        <v>12</v>
      </c>
      <c r="X3542">
        <f t="shared" si="1621"/>
        <v>2011</v>
      </c>
    </row>
    <row r="3543" spans="1:24" ht="12" customHeight="1">
      <c r="A3543" s="4">
        <v>858</v>
      </c>
      <c r="B3543" s="4">
        <v>6148</v>
      </c>
      <c r="C3543" s="5">
        <f t="shared" si="1632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633"/>
        <v>40902</v>
      </c>
      <c r="V3543">
        <f t="shared" si="1622"/>
        <v>25</v>
      </c>
      <c r="W3543">
        <f t="shared" si="1620"/>
        <v>12</v>
      </c>
      <c r="X3543">
        <f t="shared" si="1621"/>
        <v>2011</v>
      </c>
    </row>
    <row r="3544" spans="1:24" ht="12" customHeight="1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  <c r="V3544">
        <f t="shared" si="1622"/>
        <v>29</v>
      </c>
      <c r="W3544">
        <f t="shared" si="1620"/>
        <v>8</v>
      </c>
      <c r="X3544">
        <f t="shared" si="1621"/>
        <v>2009</v>
      </c>
    </row>
    <row r="3545" spans="1:24" ht="12" customHeight="1">
      <c r="A3545" s="4">
        <v>979</v>
      </c>
      <c r="B3545" s="4">
        <v>7079</v>
      </c>
      <c r="C3545" s="5">
        <f t="shared" ref="C3545:C3546" si="1634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  <c r="V3545">
        <f t="shared" si="1622"/>
        <v>9</v>
      </c>
      <c r="W3545">
        <f t="shared" si="1620"/>
        <v>2</v>
      </c>
      <c r="X3545">
        <f t="shared" si="1621"/>
        <v>2010</v>
      </c>
    </row>
    <row r="3546" spans="1:24" ht="12" customHeight="1">
      <c r="A3546" s="4">
        <v>980</v>
      </c>
      <c r="B3546" s="4">
        <v>7079</v>
      </c>
      <c r="C3546" s="5">
        <f t="shared" si="1634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  <c r="V3546">
        <f t="shared" si="1622"/>
        <v>10</v>
      </c>
      <c r="W3546">
        <f t="shared" si="1620"/>
        <v>2</v>
      </c>
      <c r="X3546">
        <f t="shared" si="1621"/>
        <v>2010</v>
      </c>
    </row>
    <row r="3547" spans="1:24" ht="12" customHeight="1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  <c r="V3547">
        <f t="shared" si="1622"/>
        <v>14</v>
      </c>
      <c r="W3547">
        <f t="shared" si="1620"/>
        <v>1</v>
      </c>
      <c r="X3547">
        <f t="shared" si="1621"/>
        <v>2011</v>
      </c>
    </row>
    <row r="3548" spans="1:24" ht="12" customHeight="1">
      <c r="A3548" s="4">
        <v>1041</v>
      </c>
      <c r="B3548" s="4">
        <v>7623</v>
      </c>
      <c r="C3548" s="5">
        <f t="shared" ref="C3548:C3550" si="1635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636">C3548+2</f>
        <v>40116</v>
      </c>
      <c r="V3548">
        <f t="shared" si="1622"/>
        <v>30</v>
      </c>
      <c r="W3548">
        <f t="shared" si="1620"/>
        <v>10</v>
      </c>
      <c r="X3548">
        <f t="shared" si="1621"/>
        <v>2009</v>
      </c>
    </row>
    <row r="3549" spans="1:24" ht="12" customHeight="1">
      <c r="A3549" s="4">
        <v>1042</v>
      </c>
      <c r="B3549" s="4">
        <v>7623</v>
      </c>
      <c r="C3549" s="5">
        <f t="shared" si="1635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636"/>
        <v>40116</v>
      </c>
      <c r="V3549">
        <f t="shared" si="1622"/>
        <v>30</v>
      </c>
      <c r="W3549">
        <f t="shared" si="1620"/>
        <v>10</v>
      </c>
      <c r="X3549">
        <f t="shared" si="1621"/>
        <v>2009</v>
      </c>
    </row>
    <row r="3550" spans="1:24" ht="12" customHeight="1">
      <c r="A3550" s="4">
        <v>1043</v>
      </c>
      <c r="B3550" s="4">
        <v>7623</v>
      </c>
      <c r="C3550" s="5">
        <f t="shared" si="1635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  <c r="V3550">
        <f t="shared" si="1622"/>
        <v>29</v>
      </c>
      <c r="W3550">
        <f t="shared" si="1620"/>
        <v>10</v>
      </c>
      <c r="X3550">
        <f t="shared" si="1621"/>
        <v>2009</v>
      </c>
    </row>
    <row r="3551" spans="1:24" ht="12" customHeight="1">
      <c r="A3551" s="4">
        <v>1084</v>
      </c>
      <c r="B3551" s="4">
        <v>8000</v>
      </c>
      <c r="C3551" s="5">
        <f t="shared" ref="C3551:C3552" si="1637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638">C3551+2</f>
        <v>40442</v>
      </c>
      <c r="V3551">
        <f t="shared" si="1622"/>
        <v>21</v>
      </c>
      <c r="W3551">
        <f t="shared" si="1620"/>
        <v>9</v>
      </c>
      <c r="X3551">
        <f t="shared" si="1621"/>
        <v>2010</v>
      </c>
    </row>
    <row r="3552" spans="1:24" ht="12" customHeight="1">
      <c r="A3552" s="4">
        <v>1085</v>
      </c>
      <c r="B3552" s="4">
        <v>8000</v>
      </c>
      <c r="C3552" s="5">
        <f t="shared" si="1637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638"/>
        <v>40442</v>
      </c>
      <c r="V3552">
        <f t="shared" si="1622"/>
        <v>21</v>
      </c>
      <c r="W3552">
        <f t="shared" si="1620"/>
        <v>9</v>
      </c>
      <c r="X3552">
        <f t="shared" si="1621"/>
        <v>2010</v>
      </c>
    </row>
    <row r="3553" spans="1:24" ht="12" customHeight="1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639">C3553+1</f>
        <v>41145</v>
      </c>
      <c r="V3553">
        <f t="shared" si="1622"/>
        <v>24</v>
      </c>
      <c r="W3553">
        <f t="shared" si="1620"/>
        <v>8</v>
      </c>
      <c r="X3553">
        <f t="shared" si="1621"/>
        <v>2012</v>
      </c>
    </row>
    <row r="3554" spans="1:24" ht="12" customHeight="1">
      <c r="A3554" s="4">
        <v>1112</v>
      </c>
      <c r="B3554" s="4">
        <v>8162</v>
      </c>
      <c r="C3554" s="5">
        <f t="shared" ref="C3554:C3556" si="1640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639"/>
        <v>40094</v>
      </c>
      <c r="V3554">
        <f t="shared" si="1622"/>
        <v>8</v>
      </c>
      <c r="W3554">
        <f t="shared" si="1620"/>
        <v>10</v>
      </c>
      <c r="X3554">
        <f t="shared" si="1621"/>
        <v>2009</v>
      </c>
    </row>
    <row r="3555" spans="1:24" ht="12" customHeight="1">
      <c r="A3555" s="4">
        <v>1113</v>
      </c>
      <c r="B3555" s="4">
        <v>8162</v>
      </c>
      <c r="C3555" s="5">
        <f t="shared" si="1640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639"/>
        <v>40094</v>
      </c>
      <c r="V3555">
        <f t="shared" si="1622"/>
        <v>8</v>
      </c>
      <c r="W3555">
        <f t="shared" si="1620"/>
        <v>10</v>
      </c>
      <c r="X3555">
        <f t="shared" si="1621"/>
        <v>2009</v>
      </c>
    </row>
    <row r="3556" spans="1:24" ht="12" customHeight="1">
      <c r="A3556" s="4">
        <v>1114</v>
      </c>
      <c r="B3556" s="4">
        <v>8162</v>
      </c>
      <c r="C3556" s="5">
        <f t="shared" si="1640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  <c r="V3556">
        <f t="shared" si="1622"/>
        <v>9</v>
      </c>
      <c r="W3556">
        <f t="shared" si="1620"/>
        <v>10</v>
      </c>
      <c r="X3556">
        <f t="shared" si="1621"/>
        <v>2009</v>
      </c>
    </row>
    <row r="3557" spans="1:24" ht="12" customHeight="1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  <c r="V3557">
        <f t="shared" si="1622"/>
        <v>6</v>
      </c>
      <c r="W3557">
        <f t="shared" si="1620"/>
        <v>3</v>
      </c>
      <c r="X3557">
        <f t="shared" si="1621"/>
        <v>2010</v>
      </c>
    </row>
    <row r="3558" spans="1:24" ht="12" customHeight="1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641">C3558+2</f>
        <v>40940</v>
      </c>
      <c r="V3558">
        <f t="shared" si="1622"/>
        <v>1</v>
      </c>
      <c r="W3558">
        <f t="shared" si="1620"/>
        <v>2</v>
      </c>
      <c r="X3558">
        <f t="shared" si="1621"/>
        <v>2012</v>
      </c>
    </row>
    <row r="3559" spans="1:24" ht="12" customHeight="1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641"/>
        <v>40564</v>
      </c>
      <c r="V3559">
        <f t="shared" si="1622"/>
        <v>21</v>
      </c>
      <c r="W3559">
        <f t="shared" si="1620"/>
        <v>1</v>
      </c>
      <c r="X3559">
        <f t="shared" si="1621"/>
        <v>2011</v>
      </c>
    </row>
    <row r="3560" spans="1:24" ht="12" customHeight="1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641"/>
        <v>39998</v>
      </c>
      <c r="V3560">
        <f t="shared" si="1622"/>
        <v>4</v>
      </c>
      <c r="W3560">
        <f t="shared" si="1620"/>
        <v>7</v>
      </c>
      <c r="X3560">
        <f t="shared" si="1621"/>
        <v>2009</v>
      </c>
    </row>
    <row r="3561" spans="1:24" ht="12" customHeight="1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  <c r="V3561">
        <f t="shared" si="1622"/>
        <v>7</v>
      </c>
      <c r="W3561">
        <f t="shared" si="1620"/>
        <v>2</v>
      </c>
      <c r="X3561">
        <f t="shared" si="1621"/>
        <v>2012</v>
      </c>
    </row>
    <row r="3562" spans="1:24" ht="12" customHeight="1">
      <c r="A3562" s="4">
        <v>1730</v>
      </c>
      <c r="B3562" s="4">
        <v>12448</v>
      </c>
      <c r="C3562" s="5">
        <f t="shared" ref="C3562:C3563" si="1642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  <c r="V3562">
        <f t="shared" si="1622"/>
        <v>11</v>
      </c>
      <c r="W3562">
        <f t="shared" si="1620"/>
        <v>11</v>
      </c>
      <c r="X3562">
        <f t="shared" si="1621"/>
        <v>2011</v>
      </c>
    </row>
    <row r="3563" spans="1:24" ht="12" customHeight="1">
      <c r="A3563" s="4">
        <v>1731</v>
      </c>
      <c r="B3563" s="4">
        <v>12448</v>
      </c>
      <c r="C3563" s="5">
        <f t="shared" si="1642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643">C3563+1</f>
        <v>40856</v>
      </c>
      <c r="V3563">
        <f t="shared" si="1622"/>
        <v>9</v>
      </c>
      <c r="W3563">
        <f t="shared" si="1620"/>
        <v>11</v>
      </c>
      <c r="X3563">
        <f t="shared" si="1621"/>
        <v>2011</v>
      </c>
    </row>
    <row r="3564" spans="1:24" ht="12" customHeight="1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643"/>
        <v>39912</v>
      </c>
      <c r="V3564">
        <f t="shared" si="1622"/>
        <v>9</v>
      </c>
      <c r="W3564">
        <f t="shared" si="1620"/>
        <v>4</v>
      </c>
      <c r="X3564">
        <f t="shared" si="1621"/>
        <v>2009</v>
      </c>
    </row>
    <row r="3565" spans="1:24" ht="12" customHeight="1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  <c r="V3565">
        <f t="shared" si="1622"/>
        <v>10</v>
      </c>
      <c r="W3565">
        <f t="shared" si="1620"/>
        <v>10</v>
      </c>
      <c r="X3565">
        <f t="shared" si="1621"/>
        <v>2011</v>
      </c>
    </row>
    <row r="3566" spans="1:24" ht="12" customHeight="1">
      <c r="A3566" s="4">
        <v>1840</v>
      </c>
      <c r="B3566" s="4">
        <v>13252</v>
      </c>
      <c r="C3566" s="5">
        <f t="shared" ref="C3566:C3567" si="1644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  <c r="V3566">
        <f t="shared" si="1622"/>
        <v>25</v>
      </c>
      <c r="W3566">
        <f t="shared" si="1620"/>
        <v>3</v>
      </c>
      <c r="X3566">
        <f t="shared" si="1621"/>
        <v>2009</v>
      </c>
    </row>
    <row r="3567" spans="1:24" ht="12" customHeight="1">
      <c r="A3567" s="4">
        <v>1841</v>
      </c>
      <c r="B3567" s="4">
        <v>13252</v>
      </c>
      <c r="C3567" s="5">
        <f t="shared" si="1644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645">C3567+2</f>
        <v>39896</v>
      </c>
      <c r="V3567">
        <f t="shared" si="1622"/>
        <v>24</v>
      </c>
      <c r="W3567">
        <f t="shared" si="1620"/>
        <v>3</v>
      </c>
      <c r="X3567">
        <f t="shared" si="1621"/>
        <v>2009</v>
      </c>
    </row>
    <row r="3568" spans="1:24" ht="12" customHeight="1">
      <c r="A3568" s="4">
        <v>1879</v>
      </c>
      <c r="B3568" s="4">
        <v>13540</v>
      </c>
      <c r="C3568" s="5">
        <f t="shared" ref="C3568:C3569" si="1646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645"/>
        <v>40323</v>
      </c>
      <c r="V3568">
        <f t="shared" si="1622"/>
        <v>25</v>
      </c>
      <c r="W3568">
        <f t="shared" si="1620"/>
        <v>5</v>
      </c>
      <c r="X3568">
        <f t="shared" si="1621"/>
        <v>2010</v>
      </c>
    </row>
    <row r="3569" spans="1:24" ht="12" customHeight="1">
      <c r="A3569" s="4">
        <v>1880</v>
      </c>
      <c r="B3569" s="4">
        <v>13540</v>
      </c>
      <c r="C3569" s="5">
        <f t="shared" si="1646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645"/>
        <v>40323</v>
      </c>
      <c r="V3569">
        <f t="shared" si="1622"/>
        <v>25</v>
      </c>
      <c r="W3569">
        <f t="shared" si="1620"/>
        <v>5</v>
      </c>
      <c r="X3569">
        <f t="shared" si="1621"/>
        <v>2010</v>
      </c>
    </row>
    <row r="3570" spans="1:24" ht="12" customHeight="1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  <c r="V3570">
        <f t="shared" si="1622"/>
        <v>7</v>
      </c>
      <c r="W3570">
        <f t="shared" si="1620"/>
        <v>10</v>
      </c>
      <c r="X3570">
        <f t="shared" si="1621"/>
        <v>2010</v>
      </c>
    </row>
    <row r="3571" spans="1:24" ht="12" customHeight="1">
      <c r="A3571" s="4">
        <v>1969</v>
      </c>
      <c r="B3571" s="4">
        <v>14086</v>
      </c>
      <c r="C3571" s="5">
        <f t="shared" ref="C3571:C3572" si="1647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  <c r="V3571">
        <f t="shared" si="1622"/>
        <v>25</v>
      </c>
      <c r="W3571">
        <f t="shared" si="1620"/>
        <v>10</v>
      </c>
      <c r="X3571">
        <f t="shared" si="1621"/>
        <v>2010</v>
      </c>
    </row>
    <row r="3572" spans="1:24" ht="12" customHeight="1">
      <c r="A3572" s="4">
        <v>1970</v>
      </c>
      <c r="B3572" s="4">
        <v>14086</v>
      </c>
      <c r="C3572" s="5">
        <f t="shared" si="1647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  <c r="V3572">
        <f t="shared" si="1622"/>
        <v>27</v>
      </c>
      <c r="W3572">
        <f t="shared" si="1620"/>
        <v>10</v>
      </c>
      <c r="X3572">
        <f t="shared" si="1621"/>
        <v>2010</v>
      </c>
    </row>
    <row r="3573" spans="1:24" ht="12" customHeight="1">
      <c r="A3573" s="4">
        <v>2025</v>
      </c>
      <c r="B3573" s="4">
        <v>14435</v>
      </c>
      <c r="C3573" s="5">
        <f t="shared" ref="C3573:C3575" si="1648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  <c r="V3573">
        <f t="shared" si="1622"/>
        <v>2</v>
      </c>
      <c r="W3573">
        <f t="shared" si="1620"/>
        <v>12</v>
      </c>
      <c r="X3573">
        <f t="shared" si="1621"/>
        <v>2012</v>
      </c>
    </row>
    <row r="3574" spans="1:24" ht="12" customHeight="1">
      <c r="A3574" s="4">
        <v>2026</v>
      </c>
      <c r="B3574" s="4">
        <v>14435</v>
      </c>
      <c r="C3574" s="5">
        <f t="shared" si="1648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  <c r="V3574">
        <f t="shared" si="1622"/>
        <v>4</v>
      </c>
      <c r="W3574">
        <f t="shared" si="1620"/>
        <v>12</v>
      </c>
      <c r="X3574">
        <f t="shared" si="1621"/>
        <v>2012</v>
      </c>
    </row>
    <row r="3575" spans="1:24" ht="12" customHeight="1">
      <c r="A3575" s="4">
        <v>2027</v>
      </c>
      <c r="B3575" s="4">
        <v>14435</v>
      </c>
      <c r="C3575" s="5">
        <f t="shared" si="1648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  <c r="V3575">
        <f t="shared" si="1622"/>
        <v>1</v>
      </c>
      <c r="W3575">
        <f t="shared" si="1620"/>
        <v>12</v>
      </c>
      <c r="X3575">
        <f t="shared" si="1621"/>
        <v>2012</v>
      </c>
    </row>
    <row r="3576" spans="1:24" ht="12" customHeight="1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  <c r="V3576">
        <f t="shared" si="1622"/>
        <v>15</v>
      </c>
      <c r="W3576">
        <f t="shared" si="1620"/>
        <v>3</v>
      </c>
      <c r="X3576">
        <f t="shared" si="1621"/>
        <v>2012</v>
      </c>
    </row>
    <row r="3577" spans="1:24" ht="12" customHeight="1">
      <c r="A3577" s="4">
        <v>2136</v>
      </c>
      <c r="B3577" s="4">
        <v>15264</v>
      </c>
      <c r="C3577" s="5">
        <f t="shared" ref="C3577:C3578" si="1649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  <c r="V3577">
        <f t="shared" si="1622"/>
        <v>19</v>
      </c>
      <c r="W3577">
        <f t="shared" si="1620"/>
        <v>11</v>
      </c>
      <c r="X3577">
        <f t="shared" si="1621"/>
        <v>2011</v>
      </c>
    </row>
    <row r="3578" spans="1:24" ht="12" customHeight="1">
      <c r="A3578" s="4">
        <v>2137</v>
      </c>
      <c r="B3578" s="4">
        <v>15264</v>
      </c>
      <c r="C3578" s="5">
        <f t="shared" si="1649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  <c r="V3578">
        <f t="shared" si="1622"/>
        <v>17</v>
      </c>
      <c r="W3578">
        <f t="shared" si="1620"/>
        <v>11</v>
      </c>
      <c r="X3578">
        <f t="shared" si="1621"/>
        <v>2011</v>
      </c>
    </row>
    <row r="3579" spans="1:24" ht="12" customHeight="1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  <c r="V3579">
        <f t="shared" si="1622"/>
        <v>1</v>
      </c>
      <c r="W3579">
        <f t="shared" si="1620"/>
        <v>8</v>
      </c>
      <c r="X3579">
        <f t="shared" si="1621"/>
        <v>2012</v>
      </c>
    </row>
    <row r="3580" spans="1:24" ht="12" customHeight="1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  <c r="V3580">
        <f t="shared" si="1622"/>
        <v>4</v>
      </c>
      <c r="W3580">
        <f t="shared" si="1620"/>
        <v>9</v>
      </c>
      <c r="X3580">
        <f t="shared" si="1621"/>
        <v>2010</v>
      </c>
    </row>
    <row r="3581" spans="1:24" ht="12" customHeight="1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650">C3581+2</f>
        <v>40819</v>
      </c>
      <c r="V3581">
        <f t="shared" si="1622"/>
        <v>3</v>
      </c>
      <c r="W3581">
        <f t="shared" si="1620"/>
        <v>10</v>
      </c>
      <c r="X3581">
        <f t="shared" si="1621"/>
        <v>2011</v>
      </c>
    </row>
    <row r="3582" spans="1:24" ht="12" customHeight="1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650"/>
        <v>40388</v>
      </c>
      <c r="V3582">
        <f t="shared" si="1622"/>
        <v>29</v>
      </c>
      <c r="W3582">
        <f t="shared" si="1620"/>
        <v>7</v>
      </c>
      <c r="X3582">
        <f t="shared" si="1621"/>
        <v>2010</v>
      </c>
    </row>
    <row r="3583" spans="1:24" ht="12" customHeight="1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650"/>
        <v>41026</v>
      </c>
      <c r="V3583">
        <f t="shared" si="1622"/>
        <v>27</v>
      </c>
      <c r="W3583">
        <f t="shared" si="1620"/>
        <v>4</v>
      </c>
      <c r="X3583">
        <f t="shared" si="1621"/>
        <v>2012</v>
      </c>
    </row>
    <row r="3584" spans="1:24" ht="12" customHeight="1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650"/>
        <v>41115</v>
      </c>
      <c r="V3584">
        <f t="shared" si="1622"/>
        <v>25</v>
      </c>
      <c r="W3584">
        <f t="shared" si="1620"/>
        <v>7</v>
      </c>
      <c r="X3584">
        <f t="shared" si="1621"/>
        <v>2012</v>
      </c>
    </row>
    <row r="3585" spans="1:24" ht="12" customHeight="1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  <c r="V3585">
        <f t="shared" si="1622"/>
        <v>15</v>
      </c>
      <c r="W3585">
        <f t="shared" si="1620"/>
        <v>7</v>
      </c>
      <c r="X3585">
        <f t="shared" si="1621"/>
        <v>2010</v>
      </c>
    </row>
    <row r="3586" spans="1:24" ht="12" customHeight="1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651">C3586+2</f>
        <v>40152</v>
      </c>
      <c r="V3586">
        <f t="shared" si="1622"/>
        <v>5</v>
      </c>
      <c r="W3586">
        <f t="shared" si="1620"/>
        <v>12</v>
      </c>
      <c r="X3586">
        <f t="shared" si="1621"/>
        <v>2009</v>
      </c>
    </row>
    <row r="3587" spans="1:24" ht="12" customHeight="1">
      <c r="A3587" s="4">
        <v>2405</v>
      </c>
      <c r="B3587" s="4">
        <v>17414</v>
      </c>
      <c r="C3587" s="5">
        <f t="shared" ref="C3587:C3588" si="1652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651"/>
        <v>41091</v>
      </c>
      <c r="V3587">
        <f t="shared" si="1622"/>
        <v>1</v>
      </c>
      <c r="W3587">
        <f t="shared" ref="W3587:W3650" si="1653">MONTH(U3587)</f>
        <v>7</v>
      </c>
      <c r="X3587">
        <f t="shared" ref="X3587:X3650" si="1654">YEAR(U3587)</f>
        <v>2012</v>
      </c>
    </row>
    <row r="3588" spans="1:24" ht="12" customHeight="1">
      <c r="A3588" s="4">
        <v>2406</v>
      </c>
      <c r="B3588" s="4">
        <v>17414</v>
      </c>
      <c r="C3588" s="5">
        <f t="shared" si="1652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651"/>
        <v>41091</v>
      </c>
      <c r="V3588">
        <f t="shared" ref="V3588:V3651" si="1655">DAY(U3588)</f>
        <v>1</v>
      </c>
      <c r="W3588">
        <f t="shared" si="1653"/>
        <v>7</v>
      </c>
      <c r="X3588">
        <f t="shared" si="1654"/>
        <v>2012</v>
      </c>
    </row>
    <row r="3589" spans="1:24" ht="12" customHeight="1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651"/>
        <v>39975</v>
      </c>
      <c r="V3589">
        <f t="shared" si="1655"/>
        <v>11</v>
      </c>
      <c r="W3589">
        <f t="shared" si="1653"/>
        <v>6</v>
      </c>
      <c r="X3589">
        <f t="shared" si="1654"/>
        <v>2009</v>
      </c>
    </row>
    <row r="3590" spans="1:24" ht="12" customHeight="1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  <c r="V3590">
        <f t="shared" si="1655"/>
        <v>15</v>
      </c>
      <c r="W3590">
        <f t="shared" si="1653"/>
        <v>9</v>
      </c>
      <c r="X3590">
        <f t="shared" si="1654"/>
        <v>2011</v>
      </c>
    </row>
    <row r="3591" spans="1:24" ht="12" customHeight="1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656">C3591+4</f>
        <v>40770</v>
      </c>
      <c r="V3591">
        <f t="shared" si="1655"/>
        <v>15</v>
      </c>
      <c r="W3591">
        <f t="shared" si="1653"/>
        <v>8</v>
      </c>
      <c r="X3591">
        <f t="shared" si="1654"/>
        <v>2011</v>
      </c>
    </row>
    <row r="3592" spans="1:24" ht="12" customHeight="1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656"/>
        <v>40812</v>
      </c>
      <c r="V3592">
        <f t="shared" si="1655"/>
        <v>26</v>
      </c>
      <c r="W3592">
        <f t="shared" si="1653"/>
        <v>9</v>
      </c>
      <c r="X3592">
        <f t="shared" si="1654"/>
        <v>2011</v>
      </c>
    </row>
    <row r="3593" spans="1:24" ht="12" customHeight="1">
      <c r="A3593" s="4">
        <v>2566</v>
      </c>
      <c r="B3593" s="4">
        <v>18532</v>
      </c>
      <c r="C3593" s="5">
        <f t="shared" ref="C3593:C3594" si="1657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  <c r="V3593">
        <f t="shared" si="1655"/>
        <v>21</v>
      </c>
      <c r="W3593">
        <f t="shared" si="1653"/>
        <v>10</v>
      </c>
      <c r="X3593">
        <f t="shared" si="1654"/>
        <v>2011</v>
      </c>
    </row>
    <row r="3594" spans="1:24" ht="12" customHeight="1">
      <c r="A3594" s="4">
        <v>2567</v>
      </c>
      <c r="B3594" s="4">
        <v>18532</v>
      </c>
      <c r="C3594" s="5">
        <f t="shared" si="1657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  <c r="V3594">
        <f t="shared" si="1655"/>
        <v>22</v>
      </c>
      <c r="W3594">
        <f t="shared" si="1653"/>
        <v>10</v>
      </c>
      <c r="X3594">
        <f t="shared" si="1654"/>
        <v>2011</v>
      </c>
    </row>
    <row r="3595" spans="1:24" ht="12" customHeight="1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  <c r="V3595">
        <f t="shared" si="1655"/>
        <v>21</v>
      </c>
      <c r="W3595">
        <f t="shared" si="1653"/>
        <v>12</v>
      </c>
      <c r="X3595">
        <f t="shared" si="1654"/>
        <v>2010</v>
      </c>
    </row>
    <row r="3596" spans="1:24" ht="12" customHeight="1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658">C3596+2</f>
        <v>39870</v>
      </c>
      <c r="V3596">
        <f t="shared" si="1655"/>
        <v>26</v>
      </c>
      <c r="W3596">
        <f t="shared" si="1653"/>
        <v>2</v>
      </c>
      <c r="X3596">
        <f t="shared" si="1654"/>
        <v>2009</v>
      </c>
    </row>
    <row r="3597" spans="1:24" ht="12" customHeight="1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658"/>
        <v>40807</v>
      </c>
      <c r="V3597">
        <f t="shared" si="1655"/>
        <v>21</v>
      </c>
      <c r="W3597">
        <f t="shared" si="1653"/>
        <v>9</v>
      </c>
      <c r="X3597">
        <f t="shared" si="1654"/>
        <v>2011</v>
      </c>
    </row>
    <row r="3598" spans="1:24" ht="12" customHeight="1">
      <c r="A3598" s="4">
        <v>2670</v>
      </c>
      <c r="B3598" s="4">
        <v>19329</v>
      </c>
      <c r="C3598" s="5">
        <f t="shared" ref="C3598:C3599" si="1659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658"/>
        <v>40246</v>
      </c>
      <c r="V3598">
        <f t="shared" si="1655"/>
        <v>9</v>
      </c>
      <c r="W3598">
        <f t="shared" si="1653"/>
        <v>3</v>
      </c>
      <c r="X3598">
        <f t="shared" si="1654"/>
        <v>2010</v>
      </c>
    </row>
    <row r="3599" spans="1:24" ht="12" customHeight="1">
      <c r="A3599" s="4">
        <v>2671</v>
      </c>
      <c r="B3599" s="4">
        <v>19329</v>
      </c>
      <c r="C3599" s="5">
        <f t="shared" si="1659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660">C3599+1</f>
        <v>40245</v>
      </c>
      <c r="V3599">
        <f t="shared" si="1655"/>
        <v>8</v>
      </c>
      <c r="W3599">
        <f t="shared" si="1653"/>
        <v>3</v>
      </c>
      <c r="X3599">
        <f t="shared" si="1654"/>
        <v>2010</v>
      </c>
    </row>
    <row r="3600" spans="1:24" ht="12" customHeight="1">
      <c r="A3600" s="4">
        <v>2697</v>
      </c>
      <c r="B3600" s="4">
        <v>19522</v>
      </c>
      <c r="C3600" s="5">
        <f t="shared" ref="C3600:C3601" si="1661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660"/>
        <v>40107</v>
      </c>
      <c r="V3600">
        <f t="shared" si="1655"/>
        <v>21</v>
      </c>
      <c r="W3600">
        <f t="shared" si="1653"/>
        <v>10</v>
      </c>
      <c r="X3600">
        <f t="shared" si="1654"/>
        <v>2009</v>
      </c>
    </row>
    <row r="3601" spans="1:24" ht="12" customHeight="1">
      <c r="A3601" s="4">
        <v>2698</v>
      </c>
      <c r="B3601" s="4">
        <v>19522</v>
      </c>
      <c r="C3601" s="5">
        <f t="shared" si="1661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660"/>
        <v>40107</v>
      </c>
      <c r="V3601">
        <f t="shared" si="1655"/>
        <v>21</v>
      </c>
      <c r="W3601">
        <f t="shared" si="1653"/>
        <v>10</v>
      </c>
      <c r="X3601">
        <f t="shared" si="1654"/>
        <v>2009</v>
      </c>
    </row>
    <row r="3602" spans="1:24" ht="12" customHeight="1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  <c r="V3602">
        <f t="shared" si="1655"/>
        <v>13</v>
      </c>
      <c r="W3602">
        <f t="shared" si="1653"/>
        <v>8</v>
      </c>
      <c r="X3602">
        <f t="shared" si="1654"/>
        <v>2011</v>
      </c>
    </row>
    <row r="3603" spans="1:24" ht="12" customHeight="1">
      <c r="A3603" s="4">
        <v>2748</v>
      </c>
      <c r="B3603" s="4">
        <v>19841</v>
      </c>
      <c r="C3603" s="5">
        <f t="shared" ref="C3603:C3604" si="1662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  <c r="V3603">
        <f t="shared" si="1655"/>
        <v>22</v>
      </c>
      <c r="W3603">
        <f t="shared" si="1653"/>
        <v>1</v>
      </c>
      <c r="X3603">
        <f t="shared" si="1654"/>
        <v>2011</v>
      </c>
    </row>
    <row r="3604" spans="1:24" ht="12" customHeight="1">
      <c r="A3604" s="4">
        <v>2749</v>
      </c>
      <c r="B3604" s="4">
        <v>19841</v>
      </c>
      <c r="C3604" s="5">
        <f t="shared" si="1662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  <c r="V3604">
        <f t="shared" si="1655"/>
        <v>26</v>
      </c>
      <c r="W3604">
        <f t="shared" si="1653"/>
        <v>1</v>
      </c>
      <c r="X3604">
        <f t="shared" si="1654"/>
        <v>2011</v>
      </c>
    </row>
    <row r="3605" spans="1:24" ht="12" customHeight="1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  <c r="V3605">
        <f t="shared" si="1655"/>
        <v>9</v>
      </c>
      <c r="W3605">
        <f t="shared" si="1653"/>
        <v>6</v>
      </c>
      <c r="X3605">
        <f t="shared" si="1654"/>
        <v>2012</v>
      </c>
    </row>
    <row r="3606" spans="1:24" ht="12" customHeight="1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  <c r="V3606">
        <f t="shared" si="1655"/>
        <v>1</v>
      </c>
      <c r="W3606">
        <f t="shared" si="1653"/>
        <v>2</v>
      </c>
      <c r="X3606">
        <f t="shared" si="1654"/>
        <v>2012</v>
      </c>
    </row>
    <row r="3607" spans="1:24" ht="12" customHeight="1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663">C3607+1</f>
        <v>40603</v>
      </c>
      <c r="V3607">
        <f t="shared" si="1655"/>
        <v>1</v>
      </c>
      <c r="W3607">
        <f t="shared" si="1653"/>
        <v>3</v>
      </c>
      <c r="X3607">
        <f t="shared" si="1654"/>
        <v>2011</v>
      </c>
    </row>
    <row r="3608" spans="1:24" ht="12" customHeight="1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663"/>
        <v>39853</v>
      </c>
      <c r="V3608">
        <f t="shared" si="1655"/>
        <v>9</v>
      </c>
      <c r="W3608">
        <f t="shared" si="1653"/>
        <v>2</v>
      </c>
      <c r="X3608">
        <f t="shared" si="1654"/>
        <v>2009</v>
      </c>
    </row>
    <row r="3609" spans="1:24" ht="12" customHeight="1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  <c r="V3609">
        <f t="shared" si="1655"/>
        <v>21</v>
      </c>
      <c r="W3609">
        <f t="shared" si="1653"/>
        <v>9</v>
      </c>
      <c r="X3609">
        <f t="shared" si="1654"/>
        <v>2012</v>
      </c>
    </row>
    <row r="3610" spans="1:24" ht="12" customHeight="1">
      <c r="A3610" s="4">
        <v>2821</v>
      </c>
      <c r="B3610" s="4">
        <v>20384</v>
      </c>
      <c r="C3610" s="5">
        <f t="shared" ref="C3610:C3611" si="1664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  <c r="V3610">
        <f t="shared" si="1655"/>
        <v>1</v>
      </c>
      <c r="W3610">
        <f t="shared" si="1653"/>
        <v>11</v>
      </c>
      <c r="X3610">
        <f t="shared" si="1654"/>
        <v>2011</v>
      </c>
    </row>
    <row r="3611" spans="1:24" ht="12" customHeight="1">
      <c r="A3611" s="4">
        <v>2822</v>
      </c>
      <c r="B3611" s="4">
        <v>20384</v>
      </c>
      <c r="C3611" s="5">
        <f t="shared" si="1664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  <c r="V3611">
        <f t="shared" si="1655"/>
        <v>29</v>
      </c>
      <c r="W3611">
        <f t="shared" si="1653"/>
        <v>10</v>
      </c>
      <c r="X3611">
        <f t="shared" si="1654"/>
        <v>2011</v>
      </c>
    </row>
    <row r="3612" spans="1:24" ht="12" customHeight="1">
      <c r="A3612" s="4">
        <v>2872</v>
      </c>
      <c r="B3612" s="4">
        <v>20710</v>
      </c>
      <c r="C3612" s="5">
        <f t="shared" ref="C3612:C3613" si="1665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  <c r="V3612">
        <f t="shared" si="1655"/>
        <v>30</v>
      </c>
      <c r="W3612">
        <f t="shared" si="1653"/>
        <v>11</v>
      </c>
      <c r="X3612">
        <f t="shared" si="1654"/>
        <v>2009</v>
      </c>
    </row>
    <row r="3613" spans="1:24" ht="12" customHeight="1">
      <c r="A3613" s="4">
        <v>2873</v>
      </c>
      <c r="B3613" s="4">
        <v>20710</v>
      </c>
      <c r="C3613" s="5">
        <f t="shared" si="1665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  <c r="V3613">
        <f t="shared" si="1655"/>
        <v>1</v>
      </c>
      <c r="W3613">
        <f t="shared" si="1653"/>
        <v>12</v>
      </c>
      <c r="X3613">
        <f t="shared" si="1654"/>
        <v>2009</v>
      </c>
    </row>
    <row r="3614" spans="1:24" ht="12" customHeight="1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666">C3614+1</f>
        <v>41112</v>
      </c>
      <c r="V3614">
        <f t="shared" si="1655"/>
        <v>22</v>
      </c>
      <c r="W3614">
        <f t="shared" si="1653"/>
        <v>7</v>
      </c>
      <c r="X3614">
        <f t="shared" si="1654"/>
        <v>2012</v>
      </c>
    </row>
    <row r="3615" spans="1:24" ht="12" customHeight="1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666"/>
        <v>40199</v>
      </c>
      <c r="V3615">
        <f t="shared" si="1655"/>
        <v>21</v>
      </c>
      <c r="W3615">
        <f t="shared" si="1653"/>
        <v>1</v>
      </c>
      <c r="X3615">
        <f t="shared" si="1654"/>
        <v>2010</v>
      </c>
    </row>
    <row r="3616" spans="1:24" ht="12" customHeight="1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  <c r="V3616">
        <f t="shared" si="1655"/>
        <v>10</v>
      </c>
      <c r="W3616">
        <f t="shared" si="1653"/>
        <v>2</v>
      </c>
      <c r="X3616">
        <f t="shared" si="1654"/>
        <v>2011</v>
      </c>
    </row>
    <row r="3617" spans="1:24" ht="12" customHeight="1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667">C3617+0</f>
        <v>39961</v>
      </c>
      <c r="V3617">
        <f t="shared" si="1655"/>
        <v>28</v>
      </c>
      <c r="W3617">
        <f t="shared" si="1653"/>
        <v>5</v>
      </c>
      <c r="X3617">
        <f t="shared" si="1654"/>
        <v>2009</v>
      </c>
    </row>
    <row r="3618" spans="1:24" ht="12" customHeight="1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667"/>
        <v>41246</v>
      </c>
      <c r="V3618">
        <f t="shared" si="1655"/>
        <v>3</v>
      </c>
      <c r="W3618">
        <f t="shared" si="1653"/>
        <v>12</v>
      </c>
      <c r="X3618">
        <f t="shared" si="1654"/>
        <v>2012</v>
      </c>
    </row>
    <row r="3619" spans="1:24" ht="12" customHeight="1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  <c r="V3619">
        <f t="shared" si="1655"/>
        <v>25</v>
      </c>
      <c r="W3619">
        <f t="shared" si="1653"/>
        <v>9</v>
      </c>
      <c r="X3619">
        <f t="shared" si="1654"/>
        <v>2012</v>
      </c>
    </row>
    <row r="3620" spans="1:24" ht="12" customHeight="1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668">C3620+1</f>
        <v>39908</v>
      </c>
      <c r="V3620">
        <f t="shared" si="1655"/>
        <v>5</v>
      </c>
      <c r="W3620">
        <f t="shared" si="1653"/>
        <v>4</v>
      </c>
      <c r="X3620">
        <f t="shared" si="1654"/>
        <v>2009</v>
      </c>
    </row>
    <row r="3621" spans="1:24" ht="12" customHeight="1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668"/>
        <v>40492</v>
      </c>
      <c r="V3621">
        <f t="shared" si="1655"/>
        <v>10</v>
      </c>
      <c r="W3621">
        <f t="shared" si="1653"/>
        <v>11</v>
      </c>
      <c r="X3621">
        <f t="shared" si="1654"/>
        <v>2010</v>
      </c>
    </row>
    <row r="3622" spans="1:24" ht="12" customHeight="1">
      <c r="A3622" s="4">
        <v>3145</v>
      </c>
      <c r="B3622" s="4">
        <v>22562</v>
      </c>
      <c r="C3622" s="5">
        <f t="shared" ref="C3622:C3624" si="1669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670">C3622+2</f>
        <v>39901</v>
      </c>
      <c r="V3622">
        <f t="shared" si="1655"/>
        <v>29</v>
      </c>
      <c r="W3622">
        <f t="shared" si="1653"/>
        <v>3</v>
      </c>
      <c r="X3622">
        <f t="shared" si="1654"/>
        <v>2009</v>
      </c>
    </row>
    <row r="3623" spans="1:24" ht="12" customHeight="1">
      <c r="A3623" s="4">
        <v>3146</v>
      </c>
      <c r="B3623" s="4">
        <v>22562</v>
      </c>
      <c r="C3623" s="5">
        <f t="shared" si="1669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670"/>
        <v>39901</v>
      </c>
      <c r="V3623">
        <f t="shared" si="1655"/>
        <v>29</v>
      </c>
      <c r="W3623">
        <f t="shared" si="1653"/>
        <v>3</v>
      </c>
      <c r="X3623">
        <f t="shared" si="1654"/>
        <v>2009</v>
      </c>
    </row>
    <row r="3624" spans="1:24" ht="12" customHeight="1">
      <c r="A3624" s="4">
        <v>3147</v>
      </c>
      <c r="B3624" s="4">
        <v>22562</v>
      </c>
      <c r="C3624" s="5">
        <f t="shared" si="1669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  <c r="V3624">
        <f t="shared" si="1655"/>
        <v>28</v>
      </c>
      <c r="W3624">
        <f t="shared" si="1653"/>
        <v>3</v>
      </c>
      <c r="X3624">
        <f t="shared" si="1654"/>
        <v>2009</v>
      </c>
    </row>
    <row r="3625" spans="1:24" ht="12" customHeight="1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  <c r="V3625">
        <f t="shared" si="1655"/>
        <v>18</v>
      </c>
      <c r="W3625">
        <f t="shared" si="1653"/>
        <v>8</v>
      </c>
      <c r="X3625">
        <f t="shared" si="1654"/>
        <v>2009</v>
      </c>
    </row>
    <row r="3626" spans="1:24" ht="12" customHeight="1">
      <c r="A3626" s="4">
        <v>3327</v>
      </c>
      <c r="B3626" s="4">
        <v>23782</v>
      </c>
      <c r="C3626" s="5">
        <f t="shared" ref="C3626:C3627" si="1671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  <c r="V3626">
        <f t="shared" si="1655"/>
        <v>10</v>
      </c>
      <c r="W3626">
        <f t="shared" si="1653"/>
        <v>1</v>
      </c>
      <c r="X3626">
        <f t="shared" si="1654"/>
        <v>2010</v>
      </c>
    </row>
    <row r="3627" spans="1:24" ht="12" customHeight="1">
      <c r="A3627" s="4">
        <v>3328</v>
      </c>
      <c r="B3627" s="4">
        <v>23782</v>
      </c>
      <c r="C3627" s="5">
        <f t="shared" si="1671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  <c r="V3627">
        <f t="shared" si="1655"/>
        <v>15</v>
      </c>
      <c r="W3627">
        <f t="shared" si="1653"/>
        <v>1</v>
      </c>
      <c r="X3627">
        <f t="shared" si="1654"/>
        <v>2010</v>
      </c>
    </row>
    <row r="3628" spans="1:24" ht="12" customHeight="1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  <c r="V3628">
        <f t="shared" si="1655"/>
        <v>23</v>
      </c>
      <c r="W3628">
        <f t="shared" si="1653"/>
        <v>7</v>
      </c>
      <c r="X3628">
        <f t="shared" si="1654"/>
        <v>2010</v>
      </c>
    </row>
    <row r="3629" spans="1:24" ht="12" customHeight="1">
      <c r="A3629" s="4">
        <v>3377</v>
      </c>
      <c r="B3629" s="4">
        <v>24099</v>
      </c>
      <c r="C3629" s="5">
        <f t="shared" ref="C3629:C3630" si="1672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673">C3629+1</f>
        <v>40684</v>
      </c>
      <c r="V3629">
        <f t="shared" si="1655"/>
        <v>21</v>
      </c>
      <c r="W3629">
        <f t="shared" si="1653"/>
        <v>5</v>
      </c>
      <c r="X3629">
        <f t="shared" si="1654"/>
        <v>2011</v>
      </c>
    </row>
    <row r="3630" spans="1:24" ht="12" customHeight="1">
      <c r="A3630" s="4">
        <v>3378</v>
      </c>
      <c r="B3630" s="4">
        <v>24099</v>
      </c>
      <c r="C3630" s="5">
        <f t="shared" si="1672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673"/>
        <v>40684</v>
      </c>
      <c r="V3630">
        <f t="shared" si="1655"/>
        <v>21</v>
      </c>
      <c r="W3630">
        <f t="shared" si="1653"/>
        <v>5</v>
      </c>
      <c r="X3630">
        <f t="shared" si="1654"/>
        <v>2011</v>
      </c>
    </row>
    <row r="3631" spans="1:24" ht="12" customHeight="1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  <c r="V3631">
        <f t="shared" si="1655"/>
        <v>21</v>
      </c>
      <c r="W3631">
        <f t="shared" si="1653"/>
        <v>7</v>
      </c>
      <c r="X3631">
        <f t="shared" si="1654"/>
        <v>2009</v>
      </c>
    </row>
    <row r="3632" spans="1:24" ht="12" customHeight="1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  <c r="V3632">
        <f t="shared" si="1655"/>
        <v>7</v>
      </c>
      <c r="W3632">
        <f t="shared" si="1653"/>
        <v>8</v>
      </c>
      <c r="X3632">
        <f t="shared" si="1654"/>
        <v>2009</v>
      </c>
    </row>
    <row r="3633" spans="1:24" ht="12" customHeight="1">
      <c r="A3633" s="4">
        <v>3452</v>
      </c>
      <c r="B3633" s="4">
        <v>24613</v>
      </c>
      <c r="C3633" s="5">
        <f t="shared" ref="C3633:C3635" si="1674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675">C3633+9</f>
        <v>41115</v>
      </c>
      <c r="V3633">
        <f t="shared" si="1655"/>
        <v>25</v>
      </c>
      <c r="W3633">
        <f t="shared" si="1653"/>
        <v>7</v>
      </c>
      <c r="X3633">
        <f t="shared" si="1654"/>
        <v>2012</v>
      </c>
    </row>
    <row r="3634" spans="1:24" ht="12" customHeight="1">
      <c r="A3634" s="4">
        <v>3453</v>
      </c>
      <c r="B3634" s="4">
        <v>24613</v>
      </c>
      <c r="C3634" s="5">
        <f t="shared" si="1674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675"/>
        <v>41115</v>
      </c>
      <c r="V3634">
        <f t="shared" si="1655"/>
        <v>25</v>
      </c>
      <c r="W3634">
        <f t="shared" si="1653"/>
        <v>7</v>
      </c>
      <c r="X3634">
        <f t="shared" si="1654"/>
        <v>2012</v>
      </c>
    </row>
    <row r="3635" spans="1:24" ht="12" customHeight="1">
      <c r="A3635" s="4">
        <v>3454</v>
      </c>
      <c r="B3635" s="4">
        <v>24613</v>
      </c>
      <c r="C3635" s="5">
        <f t="shared" si="1674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675"/>
        <v>41115</v>
      </c>
      <c r="V3635">
        <f t="shared" si="1655"/>
        <v>25</v>
      </c>
      <c r="W3635">
        <f t="shared" si="1653"/>
        <v>7</v>
      </c>
      <c r="X3635">
        <f t="shared" si="1654"/>
        <v>2012</v>
      </c>
    </row>
    <row r="3636" spans="1:24" ht="12" customHeight="1">
      <c r="A3636" s="4">
        <v>3462</v>
      </c>
      <c r="B3636" s="4">
        <v>24647</v>
      </c>
      <c r="C3636" s="5">
        <f t="shared" ref="C3636:C3637" si="1676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  <c r="V3636">
        <f t="shared" si="1655"/>
        <v>6</v>
      </c>
      <c r="W3636">
        <f t="shared" si="1653"/>
        <v>6</v>
      </c>
      <c r="X3636">
        <f t="shared" si="1654"/>
        <v>2009</v>
      </c>
    </row>
    <row r="3637" spans="1:24" ht="12" customHeight="1">
      <c r="A3637" s="4">
        <v>3463</v>
      </c>
      <c r="B3637" s="4">
        <v>24647</v>
      </c>
      <c r="C3637" s="5">
        <f t="shared" si="1676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  <c r="V3637">
        <f t="shared" si="1655"/>
        <v>5</v>
      </c>
      <c r="W3637">
        <f t="shared" si="1653"/>
        <v>6</v>
      </c>
      <c r="X3637">
        <f t="shared" si="1654"/>
        <v>2009</v>
      </c>
    </row>
    <row r="3638" spans="1:24" ht="12" customHeight="1">
      <c r="A3638" s="4">
        <v>3464</v>
      </c>
      <c r="B3638" s="4">
        <v>24672</v>
      </c>
      <c r="C3638" s="5">
        <f t="shared" ref="C3638:C3640" si="1677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  <c r="V3638">
        <f t="shared" si="1655"/>
        <v>20</v>
      </c>
      <c r="W3638">
        <f t="shared" si="1653"/>
        <v>3</v>
      </c>
      <c r="X3638">
        <f t="shared" si="1654"/>
        <v>2012</v>
      </c>
    </row>
    <row r="3639" spans="1:24" ht="12" customHeight="1">
      <c r="A3639" s="4">
        <v>3465</v>
      </c>
      <c r="B3639" s="4">
        <v>24672</v>
      </c>
      <c r="C3639" s="5">
        <f t="shared" si="1677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678">C3639+2</f>
        <v>40987</v>
      </c>
      <c r="V3639">
        <f t="shared" si="1655"/>
        <v>19</v>
      </c>
      <c r="W3639">
        <f t="shared" si="1653"/>
        <v>3</v>
      </c>
      <c r="X3639">
        <f t="shared" si="1654"/>
        <v>2012</v>
      </c>
    </row>
    <row r="3640" spans="1:24" ht="12" customHeight="1">
      <c r="A3640" s="4">
        <v>3466</v>
      </c>
      <c r="B3640" s="4">
        <v>24672</v>
      </c>
      <c r="C3640" s="5">
        <f t="shared" si="1677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678"/>
        <v>40987</v>
      </c>
      <c r="V3640">
        <f t="shared" si="1655"/>
        <v>19</v>
      </c>
      <c r="W3640">
        <f t="shared" si="1653"/>
        <v>3</v>
      </c>
      <c r="X3640">
        <f t="shared" si="1654"/>
        <v>2012</v>
      </c>
    </row>
    <row r="3641" spans="1:24" ht="12" customHeight="1">
      <c r="A3641" s="4">
        <v>3476</v>
      </c>
      <c r="B3641" s="4">
        <v>24740</v>
      </c>
      <c r="C3641" s="5">
        <f t="shared" ref="C3641:C3642" si="1679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  <c r="V3641">
        <f t="shared" si="1655"/>
        <v>11</v>
      </c>
      <c r="W3641">
        <f t="shared" si="1653"/>
        <v>1</v>
      </c>
      <c r="X3641">
        <f t="shared" si="1654"/>
        <v>2010</v>
      </c>
    </row>
    <row r="3642" spans="1:24" ht="12" customHeight="1">
      <c r="A3642" s="4">
        <v>3477</v>
      </c>
      <c r="B3642" s="4">
        <v>24740</v>
      </c>
      <c r="C3642" s="5">
        <f t="shared" si="1679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680">C3642+0</f>
        <v>40188</v>
      </c>
      <c r="V3642">
        <f t="shared" si="1655"/>
        <v>10</v>
      </c>
      <c r="W3642">
        <f t="shared" si="1653"/>
        <v>1</v>
      </c>
      <c r="X3642">
        <f t="shared" si="1654"/>
        <v>2010</v>
      </c>
    </row>
    <row r="3643" spans="1:24" ht="12" customHeight="1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680"/>
        <v>40661</v>
      </c>
      <c r="V3643">
        <f t="shared" si="1655"/>
        <v>28</v>
      </c>
      <c r="W3643">
        <f t="shared" si="1653"/>
        <v>4</v>
      </c>
      <c r="X3643">
        <f t="shared" si="1654"/>
        <v>2011</v>
      </c>
    </row>
    <row r="3644" spans="1:24" ht="12" customHeight="1">
      <c r="A3644" s="4">
        <v>3635</v>
      </c>
      <c r="B3644" s="4">
        <v>25985</v>
      </c>
      <c r="C3644" s="5">
        <f t="shared" ref="C3644:C3645" si="1681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  <c r="V3644">
        <f t="shared" si="1655"/>
        <v>4</v>
      </c>
      <c r="W3644">
        <f t="shared" si="1653"/>
        <v>9</v>
      </c>
      <c r="X3644">
        <f t="shared" si="1654"/>
        <v>2012</v>
      </c>
    </row>
    <row r="3645" spans="1:24" ht="12" customHeight="1">
      <c r="A3645" s="4">
        <v>3636</v>
      </c>
      <c r="B3645" s="4">
        <v>25985</v>
      </c>
      <c r="C3645" s="5">
        <f t="shared" si="1681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  <c r="V3645">
        <f t="shared" si="1655"/>
        <v>6</v>
      </c>
      <c r="W3645">
        <f t="shared" si="1653"/>
        <v>9</v>
      </c>
      <c r="X3645">
        <f t="shared" si="1654"/>
        <v>2012</v>
      </c>
    </row>
    <row r="3646" spans="1:24" ht="12" customHeight="1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682">C3646+2</f>
        <v>40389</v>
      </c>
      <c r="V3646">
        <f t="shared" si="1655"/>
        <v>30</v>
      </c>
      <c r="W3646">
        <f t="shared" si="1653"/>
        <v>7</v>
      </c>
      <c r="X3646">
        <f t="shared" si="1654"/>
        <v>2010</v>
      </c>
    </row>
    <row r="3647" spans="1:24" ht="12" customHeight="1">
      <c r="A3647" s="4">
        <v>3695</v>
      </c>
      <c r="B3647" s="4">
        <v>26407</v>
      </c>
      <c r="C3647" s="5">
        <f t="shared" ref="C3647:C3648" si="1683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682"/>
        <v>41081</v>
      </c>
      <c r="V3647">
        <f t="shared" si="1655"/>
        <v>21</v>
      </c>
      <c r="W3647">
        <f t="shared" si="1653"/>
        <v>6</v>
      </c>
      <c r="X3647">
        <f t="shared" si="1654"/>
        <v>2012</v>
      </c>
    </row>
    <row r="3648" spans="1:24" ht="12" customHeight="1">
      <c r="A3648" s="4">
        <v>3696</v>
      </c>
      <c r="B3648" s="4">
        <v>26407</v>
      </c>
      <c r="C3648" s="5">
        <f t="shared" si="1683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  <c r="V3648">
        <f t="shared" si="1655"/>
        <v>20</v>
      </c>
      <c r="W3648">
        <f t="shared" si="1653"/>
        <v>6</v>
      </c>
      <c r="X3648">
        <f t="shared" si="1654"/>
        <v>2012</v>
      </c>
    </row>
    <row r="3649" spans="1:24" ht="12" customHeight="1">
      <c r="A3649" s="4">
        <v>3697</v>
      </c>
      <c r="B3649" s="4">
        <v>26432</v>
      </c>
      <c r="C3649" s="5">
        <f t="shared" ref="C3649:C3651" si="1684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  <c r="V3649">
        <f t="shared" si="1655"/>
        <v>6</v>
      </c>
      <c r="W3649">
        <f t="shared" si="1653"/>
        <v>1</v>
      </c>
      <c r="X3649">
        <f t="shared" si="1654"/>
        <v>2010</v>
      </c>
    </row>
    <row r="3650" spans="1:24" ht="12" customHeight="1">
      <c r="A3650" s="4">
        <v>3698</v>
      </c>
      <c r="B3650" s="4">
        <v>26432</v>
      </c>
      <c r="C3650" s="5">
        <f t="shared" si="1684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  <c r="V3650">
        <f t="shared" si="1655"/>
        <v>8</v>
      </c>
      <c r="W3650">
        <f t="shared" si="1653"/>
        <v>1</v>
      </c>
      <c r="X3650">
        <f t="shared" si="1654"/>
        <v>2010</v>
      </c>
    </row>
    <row r="3651" spans="1:24" ht="12" customHeight="1">
      <c r="A3651" s="4">
        <v>3699</v>
      </c>
      <c r="B3651" s="4">
        <v>26432</v>
      </c>
      <c r="C3651" s="5">
        <f t="shared" si="1684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  <c r="V3651">
        <f t="shared" si="1655"/>
        <v>4</v>
      </c>
      <c r="W3651">
        <f t="shared" ref="W3651:W3714" si="1685">MONTH(U3651)</f>
        <v>1</v>
      </c>
      <c r="X3651">
        <f t="shared" ref="X3651:X3714" si="1686">YEAR(U3651)</f>
        <v>2010</v>
      </c>
    </row>
    <row r="3652" spans="1:24" ht="12" customHeight="1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  <c r="V3652">
        <f t="shared" ref="V3652:V3715" si="1687">DAY(U3652)</f>
        <v>29</v>
      </c>
      <c r="W3652">
        <f t="shared" si="1685"/>
        <v>11</v>
      </c>
      <c r="X3652">
        <f t="shared" si="1686"/>
        <v>2010</v>
      </c>
    </row>
    <row r="3653" spans="1:24" ht="12" customHeight="1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  <c r="V3653">
        <f t="shared" si="1687"/>
        <v>18</v>
      </c>
      <c r="W3653">
        <f t="shared" si="1685"/>
        <v>3</v>
      </c>
      <c r="X3653">
        <f t="shared" si="1686"/>
        <v>2012</v>
      </c>
    </row>
    <row r="3654" spans="1:24" ht="12" customHeight="1">
      <c r="A3654" s="4">
        <v>3754</v>
      </c>
      <c r="B3654" s="4">
        <v>26818</v>
      </c>
      <c r="C3654" s="5">
        <f t="shared" ref="C3654:C3656" si="1688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  <c r="V3654">
        <f t="shared" si="1687"/>
        <v>9</v>
      </c>
      <c r="W3654">
        <f t="shared" si="1685"/>
        <v>1</v>
      </c>
      <c r="X3654">
        <f t="shared" si="1686"/>
        <v>2012</v>
      </c>
    </row>
    <row r="3655" spans="1:24" ht="12" customHeight="1">
      <c r="A3655" s="4">
        <v>3755</v>
      </c>
      <c r="B3655" s="4">
        <v>26818</v>
      </c>
      <c r="C3655" s="5">
        <f t="shared" si="1688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  <c r="V3655">
        <f t="shared" si="1687"/>
        <v>10</v>
      </c>
      <c r="W3655">
        <f t="shared" si="1685"/>
        <v>1</v>
      </c>
      <c r="X3655">
        <f t="shared" si="1686"/>
        <v>2012</v>
      </c>
    </row>
    <row r="3656" spans="1:24" ht="12" customHeight="1">
      <c r="A3656" s="4">
        <v>3756</v>
      </c>
      <c r="B3656" s="4">
        <v>26818</v>
      </c>
      <c r="C3656" s="5">
        <f t="shared" si="1688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  <c r="V3656">
        <f t="shared" si="1687"/>
        <v>9</v>
      </c>
      <c r="W3656">
        <f t="shared" si="1685"/>
        <v>1</v>
      </c>
      <c r="X3656">
        <f t="shared" si="1686"/>
        <v>2012</v>
      </c>
    </row>
    <row r="3657" spans="1:24" ht="12" customHeight="1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  <c r="V3657">
        <f t="shared" si="1687"/>
        <v>30</v>
      </c>
      <c r="W3657">
        <f t="shared" si="1685"/>
        <v>12</v>
      </c>
      <c r="X3657">
        <f t="shared" si="1686"/>
        <v>2010</v>
      </c>
    </row>
    <row r="3658" spans="1:24" ht="12" customHeight="1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689">C3658+2</f>
        <v>41170</v>
      </c>
      <c r="V3658">
        <f t="shared" si="1687"/>
        <v>18</v>
      </c>
      <c r="W3658">
        <f t="shared" si="1685"/>
        <v>9</v>
      </c>
      <c r="X3658">
        <f t="shared" si="1686"/>
        <v>2012</v>
      </c>
    </row>
    <row r="3659" spans="1:24" ht="12" customHeight="1">
      <c r="A3659" s="4">
        <v>4003</v>
      </c>
      <c r="B3659" s="4">
        <v>28581</v>
      </c>
      <c r="C3659" s="5">
        <f t="shared" ref="C3659:C3660" si="1690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689"/>
        <v>40886</v>
      </c>
      <c r="V3659">
        <f t="shared" si="1687"/>
        <v>9</v>
      </c>
      <c r="W3659">
        <f t="shared" si="1685"/>
        <v>12</v>
      </c>
      <c r="X3659">
        <f t="shared" si="1686"/>
        <v>2011</v>
      </c>
    </row>
    <row r="3660" spans="1:24" ht="12" customHeight="1">
      <c r="A3660" s="4">
        <v>4004</v>
      </c>
      <c r="B3660" s="4">
        <v>28581</v>
      </c>
      <c r="C3660" s="5">
        <f t="shared" si="1690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689"/>
        <v>40886</v>
      </c>
      <c r="V3660">
        <f t="shared" si="1687"/>
        <v>9</v>
      </c>
      <c r="W3660">
        <f t="shared" si="1685"/>
        <v>12</v>
      </c>
      <c r="X3660">
        <f t="shared" si="1686"/>
        <v>2011</v>
      </c>
    </row>
    <row r="3661" spans="1:24" ht="12" customHeight="1">
      <c r="A3661" s="4">
        <v>4008</v>
      </c>
      <c r="B3661" s="4">
        <v>28611</v>
      </c>
      <c r="C3661" s="5">
        <f t="shared" ref="C3661:C3662" si="1691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  <c r="V3661">
        <f t="shared" si="1687"/>
        <v>30</v>
      </c>
      <c r="W3661">
        <f t="shared" si="1685"/>
        <v>12</v>
      </c>
      <c r="X3661">
        <f t="shared" si="1686"/>
        <v>2012</v>
      </c>
    </row>
    <row r="3662" spans="1:24" ht="12" customHeight="1">
      <c r="A3662" s="4">
        <v>4009</v>
      </c>
      <c r="B3662" s="4">
        <v>28611</v>
      </c>
      <c r="C3662" s="5">
        <f t="shared" si="1691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  <c r="V3662">
        <f t="shared" si="1687"/>
        <v>29</v>
      </c>
      <c r="W3662">
        <f t="shared" si="1685"/>
        <v>12</v>
      </c>
      <c r="X3662">
        <f t="shared" si="1686"/>
        <v>2012</v>
      </c>
    </row>
    <row r="3663" spans="1:24" ht="12" customHeight="1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  <c r="V3663">
        <f t="shared" si="1687"/>
        <v>15</v>
      </c>
      <c r="W3663">
        <f t="shared" si="1685"/>
        <v>3</v>
      </c>
      <c r="X3663">
        <f t="shared" si="1686"/>
        <v>2009</v>
      </c>
    </row>
    <row r="3664" spans="1:24" ht="12" customHeight="1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  <c r="V3664">
        <f t="shared" si="1687"/>
        <v>21</v>
      </c>
      <c r="W3664">
        <f t="shared" si="1685"/>
        <v>4</v>
      </c>
      <c r="X3664">
        <f t="shared" si="1686"/>
        <v>2009</v>
      </c>
    </row>
    <row r="3665" spans="1:24" ht="12" customHeight="1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  <c r="V3665">
        <f t="shared" si="1687"/>
        <v>2</v>
      </c>
      <c r="W3665">
        <f t="shared" si="1685"/>
        <v>4</v>
      </c>
      <c r="X3665">
        <f t="shared" si="1686"/>
        <v>2012</v>
      </c>
    </row>
    <row r="3666" spans="1:24" ht="12" customHeight="1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  <c r="V3666">
        <f t="shared" si="1687"/>
        <v>29</v>
      </c>
      <c r="W3666">
        <f t="shared" si="1685"/>
        <v>12</v>
      </c>
      <c r="X3666">
        <f t="shared" si="1686"/>
        <v>2012</v>
      </c>
    </row>
    <row r="3667" spans="1:24" ht="12" customHeight="1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  <c r="V3667">
        <f t="shared" si="1687"/>
        <v>23</v>
      </c>
      <c r="W3667">
        <f t="shared" si="1685"/>
        <v>8</v>
      </c>
      <c r="X3667">
        <f t="shared" si="1686"/>
        <v>2010</v>
      </c>
    </row>
    <row r="3668" spans="1:24" ht="12" customHeight="1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  <c r="V3668">
        <f t="shared" si="1687"/>
        <v>31</v>
      </c>
      <c r="W3668">
        <f t="shared" si="1685"/>
        <v>1</v>
      </c>
      <c r="X3668">
        <f t="shared" si="1686"/>
        <v>2010</v>
      </c>
    </row>
    <row r="3669" spans="1:24" ht="12" customHeight="1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  <c r="V3669">
        <f t="shared" si="1687"/>
        <v>29</v>
      </c>
      <c r="W3669">
        <f t="shared" si="1685"/>
        <v>12</v>
      </c>
      <c r="X3669">
        <f t="shared" si="1686"/>
        <v>2009</v>
      </c>
    </row>
    <row r="3670" spans="1:24" ht="12" customHeight="1">
      <c r="A3670" s="4">
        <v>4319</v>
      </c>
      <c r="B3670" s="4">
        <v>30784</v>
      </c>
      <c r="C3670" s="5">
        <f t="shared" ref="C3670:C3671" si="1692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  <c r="V3670">
        <f t="shared" si="1687"/>
        <v>9</v>
      </c>
      <c r="W3670">
        <f t="shared" si="1685"/>
        <v>5</v>
      </c>
      <c r="X3670">
        <f t="shared" si="1686"/>
        <v>2012</v>
      </c>
    </row>
    <row r="3671" spans="1:24" ht="12" customHeight="1">
      <c r="A3671" s="4">
        <v>4320</v>
      </c>
      <c r="B3671" s="4">
        <v>30784</v>
      </c>
      <c r="C3671" s="5">
        <f t="shared" si="1692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  <c r="V3671">
        <f t="shared" si="1687"/>
        <v>8</v>
      </c>
      <c r="W3671">
        <f t="shared" si="1685"/>
        <v>5</v>
      </c>
      <c r="X3671">
        <f t="shared" si="1686"/>
        <v>2012</v>
      </c>
    </row>
    <row r="3672" spans="1:24" ht="12" customHeight="1">
      <c r="A3672" s="4">
        <v>4351</v>
      </c>
      <c r="B3672" s="4">
        <v>31040</v>
      </c>
      <c r="C3672" s="5">
        <f t="shared" ref="C3672:C3673" si="1693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694">C3672+2</f>
        <v>40437</v>
      </c>
      <c r="V3672">
        <f t="shared" si="1687"/>
        <v>16</v>
      </c>
      <c r="W3672">
        <f t="shared" si="1685"/>
        <v>9</v>
      </c>
      <c r="X3672">
        <f t="shared" si="1686"/>
        <v>2010</v>
      </c>
    </row>
    <row r="3673" spans="1:24" ht="12" customHeight="1">
      <c r="A3673" s="4">
        <v>4352</v>
      </c>
      <c r="B3673" s="4">
        <v>31040</v>
      </c>
      <c r="C3673" s="5">
        <f t="shared" si="1693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694"/>
        <v>40437</v>
      </c>
      <c r="V3673">
        <f t="shared" si="1687"/>
        <v>16</v>
      </c>
      <c r="W3673">
        <f t="shared" si="1685"/>
        <v>9</v>
      </c>
      <c r="X3673">
        <f t="shared" si="1686"/>
        <v>2010</v>
      </c>
    </row>
    <row r="3674" spans="1:24" ht="12" customHeight="1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694"/>
        <v>40770</v>
      </c>
      <c r="V3674">
        <f t="shared" si="1687"/>
        <v>15</v>
      </c>
      <c r="W3674">
        <f t="shared" si="1685"/>
        <v>8</v>
      </c>
      <c r="X3674">
        <f t="shared" si="1686"/>
        <v>2011</v>
      </c>
    </row>
    <row r="3675" spans="1:24" ht="12" customHeight="1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694"/>
        <v>39983</v>
      </c>
      <c r="V3675">
        <f t="shared" si="1687"/>
        <v>19</v>
      </c>
      <c r="W3675">
        <f t="shared" si="1685"/>
        <v>6</v>
      </c>
      <c r="X3675">
        <f t="shared" si="1686"/>
        <v>2009</v>
      </c>
    </row>
    <row r="3676" spans="1:24" ht="12" customHeight="1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695">C3676+1</f>
        <v>40880</v>
      </c>
      <c r="V3676">
        <f t="shared" si="1687"/>
        <v>3</v>
      </c>
      <c r="W3676">
        <f t="shared" si="1685"/>
        <v>12</v>
      </c>
      <c r="X3676">
        <f t="shared" si="1686"/>
        <v>2011</v>
      </c>
    </row>
    <row r="3677" spans="1:24" ht="12" customHeight="1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695"/>
        <v>40483</v>
      </c>
      <c r="V3677">
        <f t="shared" si="1687"/>
        <v>1</v>
      </c>
      <c r="W3677">
        <f t="shared" si="1685"/>
        <v>11</v>
      </c>
      <c r="X3677">
        <f t="shared" si="1686"/>
        <v>2010</v>
      </c>
    </row>
    <row r="3678" spans="1:24" ht="12" customHeight="1">
      <c r="A3678" s="4">
        <v>4584</v>
      </c>
      <c r="B3678" s="4">
        <v>32613</v>
      </c>
      <c r="C3678" s="5">
        <f t="shared" ref="C3678:C3680" si="1696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  <c r="V3678">
        <f t="shared" si="1687"/>
        <v>23</v>
      </c>
      <c r="W3678">
        <f t="shared" si="1685"/>
        <v>12</v>
      </c>
      <c r="X3678">
        <f t="shared" si="1686"/>
        <v>2011</v>
      </c>
    </row>
    <row r="3679" spans="1:24" ht="12" customHeight="1">
      <c r="A3679" s="4">
        <v>4585</v>
      </c>
      <c r="B3679" s="4">
        <v>32613</v>
      </c>
      <c r="C3679" s="5">
        <f t="shared" si="1696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697">C3679+2</f>
        <v>40895</v>
      </c>
      <c r="V3679">
        <f t="shared" si="1687"/>
        <v>18</v>
      </c>
      <c r="W3679">
        <f t="shared" si="1685"/>
        <v>12</v>
      </c>
      <c r="X3679">
        <f t="shared" si="1686"/>
        <v>2011</v>
      </c>
    </row>
    <row r="3680" spans="1:24" ht="12" customHeight="1">
      <c r="A3680" s="4">
        <v>4586</v>
      </c>
      <c r="B3680" s="4">
        <v>32613</v>
      </c>
      <c r="C3680" s="5">
        <f t="shared" si="1696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697"/>
        <v>40895</v>
      </c>
      <c r="V3680">
        <f t="shared" si="1687"/>
        <v>18</v>
      </c>
      <c r="W3680">
        <f t="shared" si="1685"/>
        <v>12</v>
      </c>
      <c r="X3680">
        <f t="shared" si="1686"/>
        <v>2011</v>
      </c>
    </row>
    <row r="3681" spans="1:24" ht="12" customHeight="1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698">C3681+7</f>
        <v>39866</v>
      </c>
      <c r="V3681">
        <f t="shared" si="1687"/>
        <v>22</v>
      </c>
      <c r="W3681">
        <f t="shared" si="1685"/>
        <v>2</v>
      </c>
      <c r="X3681">
        <f t="shared" si="1686"/>
        <v>2009</v>
      </c>
    </row>
    <row r="3682" spans="1:24" ht="12" customHeight="1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698"/>
        <v>41123</v>
      </c>
      <c r="V3682">
        <f t="shared" si="1687"/>
        <v>2</v>
      </c>
      <c r="W3682">
        <f t="shared" si="1685"/>
        <v>8</v>
      </c>
      <c r="X3682">
        <f t="shared" si="1686"/>
        <v>2012</v>
      </c>
    </row>
    <row r="3683" spans="1:24" ht="12" customHeight="1">
      <c r="A3683" s="4">
        <v>4642</v>
      </c>
      <c r="B3683" s="4">
        <v>33031</v>
      </c>
      <c r="C3683" s="5">
        <f t="shared" ref="C3683:C3684" si="1699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  <c r="V3683">
        <f t="shared" si="1687"/>
        <v>26</v>
      </c>
      <c r="W3683">
        <f t="shared" si="1685"/>
        <v>8</v>
      </c>
      <c r="X3683">
        <f t="shared" si="1686"/>
        <v>2012</v>
      </c>
    </row>
    <row r="3684" spans="1:24" ht="12" customHeight="1">
      <c r="A3684" s="4">
        <v>4643</v>
      </c>
      <c r="B3684" s="4">
        <v>33031</v>
      </c>
      <c r="C3684" s="5">
        <f t="shared" si="1699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  <c r="V3684">
        <f t="shared" si="1687"/>
        <v>25</v>
      </c>
      <c r="W3684">
        <f t="shared" si="1685"/>
        <v>8</v>
      </c>
      <c r="X3684">
        <f t="shared" si="1686"/>
        <v>2012</v>
      </c>
    </row>
    <row r="3685" spans="1:24" ht="12" customHeight="1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  <c r="V3685">
        <f t="shared" si="1687"/>
        <v>23</v>
      </c>
      <c r="W3685">
        <f t="shared" si="1685"/>
        <v>11</v>
      </c>
      <c r="X3685">
        <f t="shared" si="1686"/>
        <v>2010</v>
      </c>
    </row>
    <row r="3686" spans="1:24" ht="12" customHeight="1">
      <c r="A3686" s="4">
        <v>4662</v>
      </c>
      <c r="B3686" s="4">
        <v>33217</v>
      </c>
      <c r="C3686" s="5">
        <f t="shared" ref="C3686:C3687" si="1700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701">C3686+1</f>
        <v>39885</v>
      </c>
      <c r="V3686">
        <f t="shared" si="1687"/>
        <v>13</v>
      </c>
      <c r="W3686">
        <f t="shared" si="1685"/>
        <v>3</v>
      </c>
      <c r="X3686">
        <f t="shared" si="1686"/>
        <v>2009</v>
      </c>
    </row>
    <row r="3687" spans="1:24" ht="12" customHeight="1">
      <c r="A3687" s="4">
        <v>4663</v>
      </c>
      <c r="B3687" s="4">
        <v>33217</v>
      </c>
      <c r="C3687" s="5">
        <f t="shared" si="1700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701"/>
        <v>39885</v>
      </c>
      <c r="V3687">
        <f t="shared" si="1687"/>
        <v>13</v>
      </c>
      <c r="W3687">
        <f t="shared" si="1685"/>
        <v>3</v>
      </c>
      <c r="X3687">
        <f t="shared" si="1686"/>
        <v>2009</v>
      </c>
    </row>
    <row r="3688" spans="1:24" ht="12" customHeight="1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702">C3688+2</f>
        <v>40971</v>
      </c>
      <c r="V3688">
        <f t="shared" si="1687"/>
        <v>3</v>
      </c>
      <c r="W3688">
        <f t="shared" si="1685"/>
        <v>3</v>
      </c>
      <c r="X3688">
        <f t="shared" si="1686"/>
        <v>2012</v>
      </c>
    </row>
    <row r="3689" spans="1:24" ht="12" customHeight="1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702"/>
        <v>41108</v>
      </c>
      <c r="V3689">
        <f t="shared" si="1687"/>
        <v>18</v>
      </c>
      <c r="W3689">
        <f t="shared" si="1685"/>
        <v>7</v>
      </c>
      <c r="X3689">
        <f t="shared" si="1686"/>
        <v>2012</v>
      </c>
    </row>
    <row r="3690" spans="1:24" ht="12" customHeight="1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  <c r="V3690">
        <f t="shared" si="1687"/>
        <v>11</v>
      </c>
      <c r="W3690">
        <f t="shared" si="1685"/>
        <v>2</v>
      </c>
      <c r="X3690">
        <f t="shared" si="1686"/>
        <v>2011</v>
      </c>
    </row>
    <row r="3691" spans="1:24" ht="12" customHeight="1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  <c r="V3691">
        <f t="shared" si="1687"/>
        <v>8</v>
      </c>
      <c r="W3691">
        <f t="shared" si="1685"/>
        <v>4</v>
      </c>
      <c r="X3691">
        <f t="shared" si="1686"/>
        <v>2010</v>
      </c>
    </row>
    <row r="3692" spans="1:24" ht="12" customHeight="1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703">C3692+2</f>
        <v>40929</v>
      </c>
      <c r="V3692">
        <f t="shared" si="1687"/>
        <v>21</v>
      </c>
      <c r="W3692">
        <f t="shared" si="1685"/>
        <v>1</v>
      </c>
      <c r="X3692">
        <f t="shared" si="1686"/>
        <v>2012</v>
      </c>
    </row>
    <row r="3693" spans="1:24" ht="12" customHeight="1">
      <c r="A3693" s="4">
        <v>4790</v>
      </c>
      <c r="B3693" s="4">
        <v>34022</v>
      </c>
      <c r="C3693" s="5">
        <f t="shared" ref="C3693:C3694" si="1704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703"/>
        <v>41218</v>
      </c>
      <c r="V3693">
        <f t="shared" si="1687"/>
        <v>5</v>
      </c>
      <c r="W3693">
        <f t="shared" si="1685"/>
        <v>11</v>
      </c>
      <c r="X3693">
        <f t="shared" si="1686"/>
        <v>2012</v>
      </c>
    </row>
    <row r="3694" spans="1:24" ht="12" customHeight="1">
      <c r="A3694" s="4">
        <v>4791</v>
      </c>
      <c r="B3694" s="4">
        <v>34022</v>
      </c>
      <c r="C3694" s="5">
        <f t="shared" si="1704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  <c r="V3694">
        <f t="shared" si="1687"/>
        <v>3</v>
      </c>
      <c r="W3694">
        <f t="shared" si="1685"/>
        <v>11</v>
      </c>
      <c r="X3694">
        <f t="shared" si="1686"/>
        <v>2012</v>
      </c>
    </row>
    <row r="3695" spans="1:24" ht="12" customHeight="1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  <c r="V3695">
        <f t="shared" si="1687"/>
        <v>22</v>
      </c>
      <c r="W3695">
        <f t="shared" si="1685"/>
        <v>8</v>
      </c>
      <c r="X3695">
        <f t="shared" si="1686"/>
        <v>2012</v>
      </c>
    </row>
    <row r="3696" spans="1:24" ht="12" customHeight="1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  <c r="V3696">
        <f t="shared" si="1687"/>
        <v>19</v>
      </c>
      <c r="W3696">
        <f t="shared" si="1685"/>
        <v>10</v>
      </c>
      <c r="X3696">
        <f t="shared" si="1686"/>
        <v>2012</v>
      </c>
    </row>
    <row r="3697" spans="1:24" ht="12" customHeight="1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  <c r="V3697">
        <f t="shared" si="1687"/>
        <v>15</v>
      </c>
      <c r="W3697">
        <f t="shared" si="1685"/>
        <v>5</v>
      </c>
      <c r="X3697">
        <f t="shared" si="1686"/>
        <v>2010</v>
      </c>
    </row>
    <row r="3698" spans="1:24" ht="12" customHeight="1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  <c r="V3698">
        <f t="shared" si="1687"/>
        <v>14</v>
      </c>
      <c r="W3698">
        <f t="shared" si="1685"/>
        <v>5</v>
      </c>
      <c r="X3698">
        <f t="shared" si="1686"/>
        <v>2010</v>
      </c>
    </row>
    <row r="3699" spans="1:24" ht="12" customHeight="1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  <c r="V3699">
        <f t="shared" si="1687"/>
        <v>17</v>
      </c>
      <c r="W3699">
        <f t="shared" si="1685"/>
        <v>3</v>
      </c>
      <c r="X3699">
        <f t="shared" si="1686"/>
        <v>2011</v>
      </c>
    </row>
    <row r="3700" spans="1:24" ht="12" customHeight="1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  <c r="V3700">
        <f t="shared" si="1687"/>
        <v>9</v>
      </c>
      <c r="W3700">
        <f t="shared" si="1685"/>
        <v>2</v>
      </c>
      <c r="X3700">
        <f t="shared" si="1686"/>
        <v>2011</v>
      </c>
    </row>
    <row r="3701" spans="1:24" ht="12" customHeight="1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  <c r="V3701">
        <f t="shared" si="1687"/>
        <v>25</v>
      </c>
      <c r="W3701">
        <f t="shared" si="1685"/>
        <v>7</v>
      </c>
      <c r="X3701">
        <f t="shared" si="1686"/>
        <v>2009</v>
      </c>
    </row>
    <row r="3702" spans="1:24" ht="12" customHeight="1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  <c r="V3702">
        <f t="shared" si="1687"/>
        <v>11</v>
      </c>
      <c r="W3702">
        <f t="shared" si="1685"/>
        <v>8</v>
      </c>
      <c r="X3702">
        <f t="shared" si="1686"/>
        <v>2010</v>
      </c>
    </row>
    <row r="3703" spans="1:24" ht="12" customHeight="1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705">C3703+0</f>
        <v>39918</v>
      </c>
      <c r="V3703">
        <f t="shared" si="1687"/>
        <v>15</v>
      </c>
      <c r="W3703">
        <f t="shared" si="1685"/>
        <v>4</v>
      </c>
      <c r="X3703">
        <f t="shared" si="1686"/>
        <v>2009</v>
      </c>
    </row>
    <row r="3704" spans="1:24" ht="12" customHeight="1">
      <c r="A3704" s="4">
        <v>4965</v>
      </c>
      <c r="B3704" s="4">
        <v>35302</v>
      </c>
      <c r="C3704" s="5">
        <f t="shared" ref="C3704:C3705" si="1706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705"/>
        <v>40336</v>
      </c>
      <c r="V3704">
        <f t="shared" si="1687"/>
        <v>7</v>
      </c>
      <c r="W3704">
        <f t="shared" si="1685"/>
        <v>6</v>
      </c>
      <c r="X3704">
        <f t="shared" si="1686"/>
        <v>2010</v>
      </c>
    </row>
    <row r="3705" spans="1:24" ht="12" customHeight="1">
      <c r="A3705" s="4">
        <v>4966</v>
      </c>
      <c r="B3705" s="4">
        <v>35302</v>
      </c>
      <c r="C3705" s="5">
        <f t="shared" si="1706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707">C3705+1</f>
        <v>40337</v>
      </c>
      <c r="V3705">
        <f t="shared" si="1687"/>
        <v>8</v>
      </c>
      <c r="W3705">
        <f t="shared" si="1685"/>
        <v>6</v>
      </c>
      <c r="X3705">
        <f t="shared" si="1686"/>
        <v>2010</v>
      </c>
    </row>
    <row r="3706" spans="1:24" ht="12" customHeight="1">
      <c r="A3706" s="4">
        <v>5027</v>
      </c>
      <c r="B3706" s="4">
        <v>35841</v>
      </c>
      <c r="C3706" s="5">
        <f t="shared" ref="C3706:C3707" si="1708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707"/>
        <v>40672</v>
      </c>
      <c r="V3706">
        <f t="shared" si="1687"/>
        <v>9</v>
      </c>
      <c r="W3706">
        <f t="shared" si="1685"/>
        <v>5</v>
      </c>
      <c r="X3706">
        <f t="shared" si="1686"/>
        <v>2011</v>
      </c>
    </row>
    <row r="3707" spans="1:24" ht="12" customHeight="1">
      <c r="A3707" s="4">
        <v>5028</v>
      </c>
      <c r="B3707" s="4">
        <v>35841</v>
      </c>
      <c r="C3707" s="5">
        <f t="shared" si="1708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707"/>
        <v>40672</v>
      </c>
      <c r="V3707">
        <f t="shared" si="1687"/>
        <v>9</v>
      </c>
      <c r="W3707">
        <f t="shared" si="1685"/>
        <v>5</v>
      </c>
      <c r="X3707">
        <f t="shared" si="1686"/>
        <v>2011</v>
      </c>
    </row>
    <row r="3708" spans="1:24" ht="12" customHeight="1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  <c r="V3708">
        <f t="shared" si="1687"/>
        <v>18</v>
      </c>
      <c r="W3708">
        <f t="shared" si="1685"/>
        <v>10</v>
      </c>
      <c r="X3708">
        <f t="shared" si="1686"/>
        <v>2012</v>
      </c>
    </row>
    <row r="3709" spans="1:24" ht="12" customHeight="1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709">C3709+0</f>
        <v>40226</v>
      </c>
      <c r="V3709">
        <f t="shared" si="1687"/>
        <v>17</v>
      </c>
      <c r="W3709">
        <f t="shared" si="1685"/>
        <v>2</v>
      </c>
      <c r="X3709">
        <f t="shared" si="1686"/>
        <v>2010</v>
      </c>
    </row>
    <row r="3710" spans="1:24" ht="12" customHeight="1">
      <c r="A3710" s="4">
        <v>5097</v>
      </c>
      <c r="B3710" s="4">
        <v>36355</v>
      </c>
      <c r="C3710" s="5">
        <f t="shared" ref="C3710:C3713" si="1710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709"/>
        <v>40149</v>
      </c>
      <c r="V3710">
        <f t="shared" si="1687"/>
        <v>2</v>
      </c>
      <c r="W3710">
        <f t="shared" si="1685"/>
        <v>12</v>
      </c>
      <c r="X3710">
        <f t="shared" si="1686"/>
        <v>2009</v>
      </c>
    </row>
    <row r="3711" spans="1:24" ht="12" customHeight="1">
      <c r="A3711" s="4">
        <v>5098</v>
      </c>
      <c r="B3711" s="4">
        <v>36355</v>
      </c>
      <c r="C3711" s="5">
        <f t="shared" si="1710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709"/>
        <v>40149</v>
      </c>
      <c r="V3711">
        <f t="shared" si="1687"/>
        <v>2</v>
      </c>
      <c r="W3711">
        <f t="shared" si="1685"/>
        <v>12</v>
      </c>
      <c r="X3711">
        <f t="shared" si="1686"/>
        <v>2009</v>
      </c>
    </row>
    <row r="3712" spans="1:24" ht="12" customHeight="1">
      <c r="A3712" s="4">
        <v>5099</v>
      </c>
      <c r="B3712" s="4">
        <v>36355</v>
      </c>
      <c r="C3712" s="5">
        <f t="shared" si="1710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711">C3712+1</f>
        <v>40150</v>
      </c>
      <c r="V3712">
        <f t="shared" si="1687"/>
        <v>3</v>
      </c>
      <c r="W3712">
        <f t="shared" si="1685"/>
        <v>12</v>
      </c>
      <c r="X3712">
        <f t="shared" si="1686"/>
        <v>2009</v>
      </c>
    </row>
    <row r="3713" spans="1:24" ht="12" customHeight="1">
      <c r="A3713" s="4">
        <v>5100</v>
      </c>
      <c r="B3713" s="4">
        <v>36355</v>
      </c>
      <c r="C3713" s="5">
        <f t="shared" si="1710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711"/>
        <v>40150</v>
      </c>
      <c r="V3713">
        <f t="shared" si="1687"/>
        <v>3</v>
      </c>
      <c r="W3713">
        <f t="shared" si="1685"/>
        <v>12</v>
      </c>
      <c r="X3713">
        <f t="shared" si="1686"/>
        <v>2009</v>
      </c>
    </row>
    <row r="3714" spans="1:24" ht="12" customHeight="1">
      <c r="A3714" s="4">
        <v>5104</v>
      </c>
      <c r="B3714" s="4">
        <v>36358</v>
      </c>
      <c r="C3714" s="5">
        <f t="shared" ref="C3714:C3715" si="1712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  <c r="V3714">
        <f t="shared" si="1687"/>
        <v>15</v>
      </c>
      <c r="W3714">
        <f t="shared" si="1685"/>
        <v>5</v>
      </c>
      <c r="X3714">
        <f t="shared" si="1686"/>
        <v>2009</v>
      </c>
    </row>
    <row r="3715" spans="1:24" ht="12" customHeight="1">
      <c r="A3715" s="4">
        <v>5105</v>
      </c>
      <c r="B3715" s="4">
        <v>36358</v>
      </c>
      <c r="C3715" s="5">
        <f t="shared" si="1712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  <c r="V3715">
        <f t="shared" si="1687"/>
        <v>14</v>
      </c>
      <c r="W3715">
        <f t="shared" ref="W3715:W3778" si="1713">MONTH(U3715)</f>
        <v>5</v>
      </c>
      <c r="X3715">
        <f t="shared" ref="X3715:X3778" si="1714">YEAR(U3715)</f>
        <v>2009</v>
      </c>
    </row>
    <row r="3716" spans="1:24" ht="12" customHeight="1">
      <c r="A3716" s="4">
        <v>5161</v>
      </c>
      <c r="B3716" s="4">
        <v>36739</v>
      </c>
      <c r="C3716" s="5">
        <f t="shared" ref="C3716:C3717" si="1715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  <c r="V3716">
        <f t="shared" ref="V3716:V3779" si="1716">DAY(U3716)</f>
        <v>10</v>
      </c>
      <c r="W3716">
        <f t="shared" si="1713"/>
        <v>10</v>
      </c>
      <c r="X3716">
        <f t="shared" si="1714"/>
        <v>2009</v>
      </c>
    </row>
    <row r="3717" spans="1:24" ht="12" customHeight="1">
      <c r="A3717" s="4">
        <v>5162</v>
      </c>
      <c r="B3717" s="4">
        <v>36739</v>
      </c>
      <c r="C3717" s="5">
        <f t="shared" si="1715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  <c r="V3717">
        <f t="shared" si="1716"/>
        <v>8</v>
      </c>
      <c r="W3717">
        <f t="shared" si="1713"/>
        <v>10</v>
      </c>
      <c r="X3717">
        <f t="shared" si="1714"/>
        <v>2009</v>
      </c>
    </row>
    <row r="3718" spans="1:24" ht="12" customHeight="1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  <c r="V3718">
        <f t="shared" si="1716"/>
        <v>9</v>
      </c>
      <c r="W3718">
        <f t="shared" si="1713"/>
        <v>9</v>
      </c>
      <c r="X3718">
        <f t="shared" si="1714"/>
        <v>2012</v>
      </c>
    </row>
    <row r="3719" spans="1:24" ht="12" customHeight="1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  <c r="V3719">
        <f t="shared" si="1716"/>
        <v>31</v>
      </c>
      <c r="W3719">
        <f t="shared" si="1713"/>
        <v>7</v>
      </c>
      <c r="X3719">
        <f t="shared" si="1714"/>
        <v>2012</v>
      </c>
    </row>
    <row r="3720" spans="1:24" ht="12" customHeight="1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  <c r="V3720">
        <f t="shared" si="1716"/>
        <v>5</v>
      </c>
      <c r="W3720">
        <f t="shared" si="1713"/>
        <v>3</v>
      </c>
      <c r="X3720">
        <f t="shared" si="1714"/>
        <v>2012</v>
      </c>
    </row>
    <row r="3721" spans="1:24" ht="12" customHeight="1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717">C3721+2</f>
        <v>40797</v>
      </c>
      <c r="V3721">
        <f t="shared" si="1716"/>
        <v>11</v>
      </c>
      <c r="W3721">
        <f t="shared" si="1713"/>
        <v>9</v>
      </c>
      <c r="X3721">
        <f t="shared" si="1714"/>
        <v>2011</v>
      </c>
    </row>
    <row r="3722" spans="1:24" ht="12" customHeight="1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717"/>
        <v>39836</v>
      </c>
      <c r="V3722">
        <f t="shared" si="1716"/>
        <v>23</v>
      </c>
      <c r="W3722">
        <f t="shared" si="1713"/>
        <v>1</v>
      </c>
      <c r="X3722">
        <f t="shared" si="1714"/>
        <v>2009</v>
      </c>
    </row>
    <row r="3723" spans="1:24" ht="12" customHeight="1">
      <c r="A3723" s="4">
        <v>5300</v>
      </c>
      <c r="B3723" s="4">
        <v>37734</v>
      </c>
      <c r="C3723" s="5">
        <f t="shared" ref="C3723:C3724" si="1718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719">C3723+1</f>
        <v>40174</v>
      </c>
      <c r="V3723">
        <f t="shared" si="1716"/>
        <v>27</v>
      </c>
      <c r="W3723">
        <f t="shared" si="1713"/>
        <v>12</v>
      </c>
      <c r="X3723">
        <f t="shared" si="1714"/>
        <v>2009</v>
      </c>
    </row>
    <row r="3724" spans="1:24" ht="12" customHeight="1">
      <c r="A3724" s="4">
        <v>5301</v>
      </c>
      <c r="B3724" s="4">
        <v>37734</v>
      </c>
      <c r="C3724" s="5">
        <f t="shared" si="1718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719"/>
        <v>40174</v>
      </c>
      <c r="V3724">
        <f t="shared" si="1716"/>
        <v>27</v>
      </c>
      <c r="W3724">
        <f t="shared" si="1713"/>
        <v>12</v>
      </c>
      <c r="X3724">
        <f t="shared" si="1714"/>
        <v>2009</v>
      </c>
    </row>
    <row r="3725" spans="1:24" ht="12" customHeight="1">
      <c r="A3725" s="4">
        <v>5305</v>
      </c>
      <c r="B3725" s="4">
        <v>37763</v>
      </c>
      <c r="C3725" s="5">
        <f t="shared" ref="C3725:C3726" si="1720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719"/>
        <v>40948</v>
      </c>
      <c r="V3725">
        <f t="shared" si="1716"/>
        <v>9</v>
      </c>
      <c r="W3725">
        <f t="shared" si="1713"/>
        <v>2</v>
      </c>
      <c r="X3725">
        <f t="shared" si="1714"/>
        <v>2012</v>
      </c>
    </row>
    <row r="3726" spans="1:24" ht="12" customHeight="1">
      <c r="A3726" s="4">
        <v>5306</v>
      </c>
      <c r="B3726" s="4">
        <v>37763</v>
      </c>
      <c r="C3726" s="5">
        <f t="shared" si="1720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719"/>
        <v>40948</v>
      </c>
      <c r="V3726">
        <f t="shared" si="1716"/>
        <v>9</v>
      </c>
      <c r="W3726">
        <f t="shared" si="1713"/>
        <v>2</v>
      </c>
      <c r="X3726">
        <f t="shared" si="1714"/>
        <v>2012</v>
      </c>
    </row>
    <row r="3727" spans="1:24" ht="12" customHeight="1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  <c r="V3727">
        <f t="shared" si="1716"/>
        <v>1</v>
      </c>
      <c r="W3727">
        <f t="shared" si="1713"/>
        <v>4</v>
      </c>
      <c r="X3727">
        <f t="shared" si="1714"/>
        <v>2009</v>
      </c>
    </row>
    <row r="3728" spans="1:24" ht="12" customHeight="1">
      <c r="A3728" s="4">
        <v>5352</v>
      </c>
      <c r="B3728" s="4">
        <v>38048</v>
      </c>
      <c r="C3728" s="5">
        <f t="shared" ref="C3728:C3729" si="1721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  <c r="V3728">
        <f t="shared" si="1716"/>
        <v>24</v>
      </c>
      <c r="W3728">
        <f t="shared" si="1713"/>
        <v>1</v>
      </c>
      <c r="X3728">
        <f t="shared" si="1714"/>
        <v>2010</v>
      </c>
    </row>
    <row r="3729" spans="1:24" ht="12" customHeight="1">
      <c r="A3729" s="4">
        <v>5353</v>
      </c>
      <c r="B3729" s="4">
        <v>38048</v>
      </c>
      <c r="C3729" s="5">
        <f t="shared" si="1721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  <c r="V3729">
        <f t="shared" si="1716"/>
        <v>25</v>
      </c>
      <c r="W3729">
        <f t="shared" si="1713"/>
        <v>1</v>
      </c>
      <c r="X3729">
        <f t="shared" si="1714"/>
        <v>2010</v>
      </c>
    </row>
    <row r="3730" spans="1:24" ht="12" customHeight="1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  <c r="V3730">
        <f t="shared" si="1716"/>
        <v>2</v>
      </c>
      <c r="W3730">
        <f t="shared" si="1713"/>
        <v>5</v>
      </c>
      <c r="X3730">
        <f t="shared" si="1714"/>
        <v>2011</v>
      </c>
    </row>
    <row r="3731" spans="1:24" ht="12" customHeight="1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722">C3731+1</f>
        <v>40126</v>
      </c>
      <c r="V3731">
        <f t="shared" si="1716"/>
        <v>9</v>
      </c>
      <c r="W3731">
        <f t="shared" si="1713"/>
        <v>11</v>
      </c>
      <c r="X3731">
        <f t="shared" si="1714"/>
        <v>2009</v>
      </c>
    </row>
    <row r="3732" spans="1:24" ht="12" customHeight="1">
      <c r="A3732" s="4">
        <v>5461</v>
      </c>
      <c r="B3732" s="4">
        <v>38789</v>
      </c>
      <c r="C3732" s="5">
        <f t="shared" ref="C3732:C3733" si="1723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722"/>
        <v>40497</v>
      </c>
      <c r="V3732">
        <f t="shared" si="1716"/>
        <v>15</v>
      </c>
      <c r="W3732">
        <f t="shared" si="1713"/>
        <v>11</v>
      </c>
      <c r="X3732">
        <f t="shared" si="1714"/>
        <v>2010</v>
      </c>
    </row>
    <row r="3733" spans="1:24" ht="12" customHeight="1">
      <c r="A3733" s="4">
        <v>5462</v>
      </c>
      <c r="B3733" s="4">
        <v>38789</v>
      </c>
      <c r="C3733" s="5">
        <f t="shared" si="1723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722"/>
        <v>40497</v>
      </c>
      <c r="V3733">
        <f t="shared" si="1716"/>
        <v>15</v>
      </c>
      <c r="W3733">
        <f t="shared" si="1713"/>
        <v>11</v>
      </c>
      <c r="X3733">
        <f t="shared" si="1714"/>
        <v>2010</v>
      </c>
    </row>
    <row r="3734" spans="1:24" ht="12" customHeight="1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722"/>
        <v>40159</v>
      </c>
      <c r="V3734">
        <f t="shared" si="1716"/>
        <v>12</v>
      </c>
      <c r="W3734">
        <f t="shared" si="1713"/>
        <v>12</v>
      </c>
      <c r="X3734">
        <f t="shared" si="1714"/>
        <v>2009</v>
      </c>
    </row>
    <row r="3735" spans="1:24" ht="12" customHeight="1">
      <c r="A3735" s="4">
        <v>5533</v>
      </c>
      <c r="B3735" s="4">
        <v>39173</v>
      </c>
      <c r="C3735" s="5">
        <f t="shared" ref="C3735:C3736" si="1724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725">C3735+2</f>
        <v>39831</v>
      </c>
      <c r="V3735">
        <f t="shared" si="1716"/>
        <v>18</v>
      </c>
      <c r="W3735">
        <f t="shared" si="1713"/>
        <v>1</v>
      </c>
      <c r="X3735">
        <f t="shared" si="1714"/>
        <v>2009</v>
      </c>
    </row>
    <row r="3736" spans="1:24" ht="12" customHeight="1">
      <c r="A3736" s="4">
        <v>5534</v>
      </c>
      <c r="B3736" s="4">
        <v>39173</v>
      </c>
      <c r="C3736" s="5">
        <f t="shared" si="1724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725"/>
        <v>39831</v>
      </c>
      <c r="V3736">
        <f t="shared" si="1716"/>
        <v>18</v>
      </c>
      <c r="W3736">
        <f t="shared" si="1713"/>
        <v>1</v>
      </c>
      <c r="X3736">
        <f t="shared" si="1714"/>
        <v>2009</v>
      </c>
    </row>
    <row r="3737" spans="1:24" ht="12" customHeight="1">
      <c r="A3737" s="4">
        <v>5557</v>
      </c>
      <c r="B3737" s="4">
        <v>39335</v>
      </c>
      <c r="C3737" s="5">
        <f t="shared" ref="C3737:C3738" si="1726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  <c r="V3737">
        <f t="shared" si="1716"/>
        <v>26</v>
      </c>
      <c r="W3737">
        <f t="shared" si="1713"/>
        <v>5</v>
      </c>
      <c r="X3737">
        <f t="shared" si="1714"/>
        <v>2009</v>
      </c>
    </row>
    <row r="3738" spans="1:24" ht="12" customHeight="1">
      <c r="A3738" s="4">
        <v>5558</v>
      </c>
      <c r="B3738" s="4">
        <v>39335</v>
      </c>
      <c r="C3738" s="5">
        <f t="shared" si="1726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727">C3738+2</f>
        <v>39960</v>
      </c>
      <c r="V3738">
        <f t="shared" si="1716"/>
        <v>27</v>
      </c>
      <c r="W3738">
        <f t="shared" si="1713"/>
        <v>5</v>
      </c>
      <c r="X3738">
        <f t="shared" si="1714"/>
        <v>2009</v>
      </c>
    </row>
    <row r="3739" spans="1:24" ht="12" customHeight="1">
      <c r="A3739" s="4">
        <v>5605</v>
      </c>
      <c r="B3739" s="4">
        <v>39744</v>
      </c>
      <c r="C3739" s="5">
        <f t="shared" ref="C3739:C3741" si="1728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727"/>
        <v>40002</v>
      </c>
      <c r="V3739">
        <f t="shared" si="1716"/>
        <v>8</v>
      </c>
      <c r="W3739">
        <f t="shared" si="1713"/>
        <v>7</v>
      </c>
      <c r="X3739">
        <f t="shared" si="1714"/>
        <v>2009</v>
      </c>
    </row>
    <row r="3740" spans="1:24" ht="12" customHeight="1">
      <c r="A3740" s="4">
        <v>5606</v>
      </c>
      <c r="B3740" s="4">
        <v>39744</v>
      </c>
      <c r="C3740" s="5">
        <f t="shared" si="1728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727"/>
        <v>40002</v>
      </c>
      <c r="V3740">
        <f t="shared" si="1716"/>
        <v>8</v>
      </c>
      <c r="W3740">
        <f t="shared" si="1713"/>
        <v>7</v>
      </c>
      <c r="X3740">
        <f t="shared" si="1714"/>
        <v>2009</v>
      </c>
    </row>
    <row r="3741" spans="1:24" ht="12" customHeight="1">
      <c r="A3741" s="4">
        <v>5607</v>
      </c>
      <c r="B3741" s="4">
        <v>39744</v>
      </c>
      <c r="C3741" s="5">
        <f t="shared" si="1728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  <c r="V3741">
        <f t="shared" si="1716"/>
        <v>7</v>
      </c>
      <c r="W3741">
        <f t="shared" si="1713"/>
        <v>7</v>
      </c>
      <c r="X3741">
        <f t="shared" si="1714"/>
        <v>2009</v>
      </c>
    </row>
    <row r="3742" spans="1:24" ht="12" customHeight="1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  <c r="V3742">
        <f t="shared" si="1716"/>
        <v>7</v>
      </c>
      <c r="W3742">
        <f t="shared" si="1713"/>
        <v>3</v>
      </c>
      <c r="X3742">
        <f t="shared" si="1714"/>
        <v>2011</v>
      </c>
    </row>
    <row r="3743" spans="1:24" ht="12" customHeight="1">
      <c r="A3743" s="4">
        <v>5648</v>
      </c>
      <c r="B3743" s="4">
        <v>39972</v>
      </c>
      <c r="C3743" s="5">
        <f t="shared" ref="C3743:C3745" si="1729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  <c r="V3743">
        <f t="shared" si="1716"/>
        <v>26</v>
      </c>
      <c r="W3743">
        <f t="shared" si="1713"/>
        <v>9</v>
      </c>
      <c r="X3743">
        <f t="shared" si="1714"/>
        <v>2012</v>
      </c>
    </row>
    <row r="3744" spans="1:24" ht="12" customHeight="1">
      <c r="A3744" s="4">
        <v>5649</v>
      </c>
      <c r="B3744" s="4">
        <v>39972</v>
      </c>
      <c r="C3744" s="5">
        <f t="shared" si="1729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  <c r="V3744">
        <f t="shared" si="1716"/>
        <v>27</v>
      </c>
      <c r="W3744">
        <f t="shared" si="1713"/>
        <v>9</v>
      </c>
      <c r="X3744">
        <f t="shared" si="1714"/>
        <v>2012</v>
      </c>
    </row>
    <row r="3745" spans="1:24" ht="12" customHeight="1">
      <c r="A3745" s="4">
        <v>5650</v>
      </c>
      <c r="B3745" s="4">
        <v>39972</v>
      </c>
      <c r="C3745" s="5">
        <f t="shared" si="1729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  <c r="V3745">
        <f t="shared" si="1716"/>
        <v>28</v>
      </c>
      <c r="W3745">
        <f t="shared" si="1713"/>
        <v>9</v>
      </c>
      <c r="X3745">
        <f t="shared" si="1714"/>
        <v>2012</v>
      </c>
    </row>
    <row r="3746" spans="1:24" ht="12" customHeight="1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  <c r="V3746">
        <f t="shared" si="1716"/>
        <v>7</v>
      </c>
      <c r="W3746">
        <f t="shared" si="1713"/>
        <v>4</v>
      </c>
      <c r="X3746">
        <f t="shared" si="1714"/>
        <v>2011</v>
      </c>
    </row>
    <row r="3747" spans="1:24" ht="12" customHeight="1">
      <c r="A3747" s="4">
        <v>5757</v>
      </c>
      <c r="B3747" s="4">
        <v>40870</v>
      </c>
      <c r="C3747" s="5">
        <f t="shared" ref="C3747:C3748" si="1730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  <c r="V3747">
        <f t="shared" si="1716"/>
        <v>11</v>
      </c>
      <c r="W3747">
        <f t="shared" si="1713"/>
        <v>12</v>
      </c>
      <c r="X3747">
        <f t="shared" si="1714"/>
        <v>2011</v>
      </c>
    </row>
    <row r="3748" spans="1:24" ht="12" customHeight="1">
      <c r="A3748" s="4">
        <v>5758</v>
      </c>
      <c r="B3748" s="4">
        <v>40870</v>
      </c>
      <c r="C3748" s="5">
        <f t="shared" si="1730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  <c r="V3748">
        <f t="shared" si="1716"/>
        <v>13</v>
      </c>
      <c r="W3748">
        <f t="shared" si="1713"/>
        <v>12</v>
      </c>
      <c r="X3748">
        <f t="shared" si="1714"/>
        <v>2011</v>
      </c>
    </row>
    <row r="3749" spans="1:24" ht="12" customHeight="1">
      <c r="A3749" s="4">
        <v>5767</v>
      </c>
      <c r="B3749" s="4">
        <v>40934</v>
      </c>
      <c r="C3749" s="5">
        <f t="shared" ref="C3749:C3750" si="1731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  <c r="V3749">
        <f t="shared" si="1716"/>
        <v>14</v>
      </c>
      <c r="W3749">
        <f t="shared" si="1713"/>
        <v>11</v>
      </c>
      <c r="X3749">
        <f t="shared" si="1714"/>
        <v>2011</v>
      </c>
    </row>
    <row r="3750" spans="1:24" ht="12" customHeight="1">
      <c r="A3750" s="4">
        <v>5768</v>
      </c>
      <c r="B3750" s="4">
        <v>40934</v>
      </c>
      <c r="C3750" s="5">
        <f t="shared" si="1731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732">C3750+2</f>
        <v>40862</v>
      </c>
      <c r="V3750">
        <f t="shared" si="1716"/>
        <v>15</v>
      </c>
      <c r="W3750">
        <f t="shared" si="1713"/>
        <v>11</v>
      </c>
      <c r="X3750">
        <f t="shared" si="1714"/>
        <v>2011</v>
      </c>
    </row>
    <row r="3751" spans="1:24" ht="12" customHeight="1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732"/>
        <v>40555</v>
      </c>
      <c r="V3751">
        <f t="shared" si="1716"/>
        <v>12</v>
      </c>
      <c r="W3751">
        <f t="shared" si="1713"/>
        <v>1</v>
      </c>
      <c r="X3751">
        <f t="shared" si="1714"/>
        <v>2011</v>
      </c>
    </row>
    <row r="3752" spans="1:24" ht="12" customHeight="1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733">C3752+7</f>
        <v>40208</v>
      </c>
      <c r="V3752">
        <f t="shared" si="1716"/>
        <v>30</v>
      </c>
      <c r="W3752">
        <f t="shared" si="1713"/>
        <v>1</v>
      </c>
      <c r="X3752">
        <f t="shared" si="1714"/>
        <v>2010</v>
      </c>
    </row>
    <row r="3753" spans="1:24" ht="12" customHeight="1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733"/>
        <v>40963</v>
      </c>
      <c r="V3753">
        <f t="shared" si="1716"/>
        <v>24</v>
      </c>
      <c r="W3753">
        <f t="shared" si="1713"/>
        <v>2</v>
      </c>
      <c r="X3753">
        <f t="shared" si="1714"/>
        <v>2012</v>
      </c>
    </row>
    <row r="3754" spans="1:24" ht="12" customHeight="1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  <c r="V3754">
        <f t="shared" si="1716"/>
        <v>14</v>
      </c>
      <c r="W3754">
        <f t="shared" si="1713"/>
        <v>11</v>
      </c>
      <c r="X3754">
        <f t="shared" si="1714"/>
        <v>2009</v>
      </c>
    </row>
    <row r="3755" spans="1:24" ht="12" customHeight="1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  <c r="V3755">
        <f t="shared" si="1716"/>
        <v>20</v>
      </c>
      <c r="W3755">
        <f t="shared" si="1713"/>
        <v>6</v>
      </c>
      <c r="X3755">
        <f t="shared" si="1714"/>
        <v>2010</v>
      </c>
    </row>
    <row r="3756" spans="1:24" ht="12" customHeight="1">
      <c r="A3756" s="4">
        <v>6037</v>
      </c>
      <c r="B3756" s="4">
        <v>42758</v>
      </c>
      <c r="C3756" s="5">
        <f t="shared" ref="C3756:C3757" si="1734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  <c r="V3756">
        <f t="shared" si="1716"/>
        <v>12</v>
      </c>
      <c r="W3756">
        <f t="shared" si="1713"/>
        <v>11</v>
      </c>
      <c r="X3756">
        <f t="shared" si="1714"/>
        <v>2012</v>
      </c>
    </row>
    <row r="3757" spans="1:24" ht="12" customHeight="1">
      <c r="A3757" s="4">
        <v>6038</v>
      </c>
      <c r="B3757" s="4">
        <v>42758</v>
      </c>
      <c r="C3757" s="5">
        <f t="shared" si="1734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  <c r="V3757">
        <f t="shared" si="1716"/>
        <v>11</v>
      </c>
      <c r="W3757">
        <f t="shared" si="1713"/>
        <v>11</v>
      </c>
      <c r="X3757">
        <f t="shared" si="1714"/>
        <v>2012</v>
      </c>
    </row>
    <row r="3758" spans="1:24" ht="12" customHeight="1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  <c r="V3758">
        <f t="shared" si="1716"/>
        <v>24</v>
      </c>
      <c r="W3758">
        <f t="shared" si="1713"/>
        <v>5</v>
      </c>
      <c r="X3758">
        <f t="shared" si="1714"/>
        <v>2011</v>
      </c>
    </row>
    <row r="3759" spans="1:24" ht="12" customHeight="1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  <c r="V3759">
        <f t="shared" si="1716"/>
        <v>23</v>
      </c>
      <c r="W3759">
        <f t="shared" si="1713"/>
        <v>8</v>
      </c>
      <c r="X3759">
        <f t="shared" si="1714"/>
        <v>2010</v>
      </c>
    </row>
    <row r="3760" spans="1:24" ht="12" customHeight="1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735">C3760+2</f>
        <v>41170</v>
      </c>
      <c r="V3760">
        <f t="shared" si="1716"/>
        <v>18</v>
      </c>
      <c r="W3760">
        <f t="shared" si="1713"/>
        <v>9</v>
      </c>
      <c r="X3760">
        <f t="shared" si="1714"/>
        <v>2012</v>
      </c>
    </row>
    <row r="3761" spans="1:24" ht="12" customHeight="1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735"/>
        <v>39999</v>
      </c>
      <c r="V3761">
        <f t="shared" si="1716"/>
        <v>5</v>
      </c>
      <c r="W3761">
        <f t="shared" si="1713"/>
        <v>7</v>
      </c>
      <c r="X3761">
        <f t="shared" si="1714"/>
        <v>2009</v>
      </c>
    </row>
    <row r="3762" spans="1:24" ht="12" customHeight="1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735"/>
        <v>41155</v>
      </c>
      <c r="V3762">
        <f t="shared" si="1716"/>
        <v>3</v>
      </c>
      <c r="W3762">
        <f t="shared" si="1713"/>
        <v>9</v>
      </c>
      <c r="X3762">
        <f t="shared" si="1714"/>
        <v>2012</v>
      </c>
    </row>
    <row r="3763" spans="1:24" ht="12" customHeight="1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  <c r="V3763">
        <f t="shared" si="1716"/>
        <v>4</v>
      </c>
      <c r="W3763">
        <f t="shared" si="1713"/>
        <v>3</v>
      </c>
      <c r="X3763">
        <f t="shared" si="1714"/>
        <v>2010</v>
      </c>
    </row>
    <row r="3764" spans="1:24" ht="12" customHeight="1">
      <c r="A3764" s="4">
        <v>6168</v>
      </c>
      <c r="B3764" s="4">
        <v>43745</v>
      </c>
      <c r="C3764" s="5">
        <f t="shared" ref="C3764:C3767" si="1736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  <c r="V3764">
        <f t="shared" si="1716"/>
        <v>1</v>
      </c>
      <c r="W3764">
        <f t="shared" si="1713"/>
        <v>11</v>
      </c>
      <c r="X3764">
        <f t="shared" si="1714"/>
        <v>2010</v>
      </c>
    </row>
    <row r="3765" spans="1:24" ht="12" customHeight="1">
      <c r="A3765" s="4">
        <v>6169</v>
      </c>
      <c r="B3765" s="4">
        <v>43745</v>
      </c>
      <c r="C3765" s="5">
        <f t="shared" si="1736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737">C3765+2</f>
        <v>40485</v>
      </c>
      <c r="V3765">
        <f t="shared" si="1716"/>
        <v>3</v>
      </c>
      <c r="W3765">
        <f t="shared" si="1713"/>
        <v>11</v>
      </c>
      <c r="X3765">
        <f t="shared" si="1714"/>
        <v>2010</v>
      </c>
    </row>
    <row r="3766" spans="1:24" ht="12" customHeight="1">
      <c r="A3766" s="4">
        <v>6170</v>
      </c>
      <c r="B3766" s="4">
        <v>43745</v>
      </c>
      <c r="C3766" s="5">
        <f t="shared" si="1736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737"/>
        <v>40485</v>
      </c>
      <c r="V3766">
        <f t="shared" si="1716"/>
        <v>3</v>
      </c>
      <c r="W3766">
        <f t="shared" si="1713"/>
        <v>11</v>
      </c>
      <c r="X3766">
        <f t="shared" si="1714"/>
        <v>2010</v>
      </c>
    </row>
    <row r="3767" spans="1:24" ht="12" customHeight="1">
      <c r="A3767" s="4">
        <v>6171</v>
      </c>
      <c r="B3767" s="4">
        <v>43745</v>
      </c>
      <c r="C3767" s="5">
        <f t="shared" si="1736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  <c r="V3767">
        <f t="shared" si="1716"/>
        <v>1</v>
      </c>
      <c r="W3767">
        <f t="shared" si="1713"/>
        <v>11</v>
      </c>
      <c r="X3767">
        <f t="shared" si="1714"/>
        <v>2010</v>
      </c>
    </row>
    <row r="3768" spans="1:24" ht="12" customHeight="1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  <c r="V3768">
        <f t="shared" si="1716"/>
        <v>24</v>
      </c>
      <c r="W3768">
        <f t="shared" si="1713"/>
        <v>8</v>
      </c>
      <c r="X3768">
        <f t="shared" si="1714"/>
        <v>2009</v>
      </c>
    </row>
    <row r="3769" spans="1:24" ht="12" customHeight="1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  <c r="V3769">
        <f t="shared" si="1716"/>
        <v>15</v>
      </c>
      <c r="W3769">
        <f t="shared" si="1713"/>
        <v>3</v>
      </c>
      <c r="X3769">
        <f t="shared" si="1714"/>
        <v>2010</v>
      </c>
    </row>
    <row r="3770" spans="1:24" ht="12" customHeight="1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  <c r="V3770">
        <f t="shared" si="1716"/>
        <v>20</v>
      </c>
      <c r="W3770">
        <f t="shared" si="1713"/>
        <v>7</v>
      </c>
      <c r="X3770">
        <f t="shared" si="1714"/>
        <v>2012</v>
      </c>
    </row>
    <row r="3771" spans="1:24" ht="12" customHeight="1">
      <c r="A3771" s="4">
        <v>6204</v>
      </c>
      <c r="B3771" s="4">
        <v>43940</v>
      </c>
      <c r="C3771" s="5">
        <f t="shared" ref="C3771:C3772" si="1738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739">C3771+1</f>
        <v>40231</v>
      </c>
      <c r="V3771">
        <f t="shared" si="1716"/>
        <v>22</v>
      </c>
      <c r="W3771">
        <f t="shared" si="1713"/>
        <v>2</v>
      </c>
      <c r="X3771">
        <f t="shared" si="1714"/>
        <v>2010</v>
      </c>
    </row>
    <row r="3772" spans="1:24" ht="12" customHeight="1">
      <c r="A3772" s="4">
        <v>6205</v>
      </c>
      <c r="B3772" s="4">
        <v>43940</v>
      </c>
      <c r="C3772" s="5">
        <f t="shared" si="1738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739"/>
        <v>40231</v>
      </c>
      <c r="V3772">
        <f t="shared" si="1716"/>
        <v>22</v>
      </c>
      <c r="W3772">
        <f t="shared" si="1713"/>
        <v>2</v>
      </c>
      <c r="X3772">
        <f t="shared" si="1714"/>
        <v>2010</v>
      </c>
    </row>
    <row r="3773" spans="1:24" ht="12" customHeight="1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740">C3773+2</f>
        <v>40921</v>
      </c>
      <c r="V3773">
        <f t="shared" si="1716"/>
        <v>13</v>
      </c>
      <c r="W3773">
        <f t="shared" si="1713"/>
        <v>1</v>
      </c>
      <c r="X3773">
        <f t="shared" si="1714"/>
        <v>2012</v>
      </c>
    </row>
    <row r="3774" spans="1:24" ht="12" customHeight="1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740"/>
        <v>39908</v>
      </c>
      <c r="V3774">
        <f t="shared" si="1716"/>
        <v>5</v>
      </c>
      <c r="W3774">
        <f t="shared" si="1713"/>
        <v>4</v>
      </c>
      <c r="X3774">
        <f t="shared" si="1714"/>
        <v>2009</v>
      </c>
    </row>
    <row r="3775" spans="1:24" ht="12" customHeight="1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740"/>
        <v>40073</v>
      </c>
      <c r="V3775">
        <f t="shared" si="1716"/>
        <v>17</v>
      </c>
      <c r="W3775">
        <f t="shared" si="1713"/>
        <v>9</v>
      </c>
      <c r="X3775">
        <f t="shared" si="1714"/>
        <v>2009</v>
      </c>
    </row>
    <row r="3776" spans="1:24" ht="12" customHeight="1">
      <c r="A3776" s="4">
        <v>6286</v>
      </c>
      <c r="B3776" s="4">
        <v>44487</v>
      </c>
      <c r="C3776" s="5">
        <f t="shared" ref="C3776:C3777" si="1741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  <c r="V3776">
        <f t="shared" si="1716"/>
        <v>12</v>
      </c>
      <c r="W3776">
        <f t="shared" si="1713"/>
        <v>9</v>
      </c>
      <c r="X3776">
        <f t="shared" si="1714"/>
        <v>2009</v>
      </c>
    </row>
    <row r="3777" spans="1:24" ht="12" customHeight="1">
      <c r="A3777" s="4">
        <v>6287</v>
      </c>
      <c r="B3777" s="4">
        <v>44487</v>
      </c>
      <c r="C3777" s="5">
        <f t="shared" si="1741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  <c r="V3777">
        <f t="shared" si="1716"/>
        <v>13</v>
      </c>
      <c r="W3777">
        <f t="shared" si="1713"/>
        <v>9</v>
      </c>
      <c r="X3777">
        <f t="shared" si="1714"/>
        <v>2009</v>
      </c>
    </row>
    <row r="3778" spans="1:24" ht="12" customHeight="1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  <c r="V3778">
        <f t="shared" si="1716"/>
        <v>30</v>
      </c>
      <c r="W3778">
        <f t="shared" si="1713"/>
        <v>9</v>
      </c>
      <c r="X3778">
        <f t="shared" si="1714"/>
        <v>2009</v>
      </c>
    </row>
    <row r="3779" spans="1:24" ht="12" customHeight="1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  <c r="V3779">
        <f t="shared" si="1716"/>
        <v>2</v>
      </c>
      <c r="W3779">
        <f t="shared" ref="W3779:W3842" si="1742">MONTH(U3779)</f>
        <v>5</v>
      </c>
      <c r="X3779">
        <f t="shared" ref="X3779:X3842" si="1743">YEAR(U3779)</f>
        <v>2012</v>
      </c>
    </row>
    <row r="3780" spans="1:24" ht="12" customHeight="1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  <c r="V3780">
        <f t="shared" ref="V3780:V3843" si="1744">DAY(U3780)</f>
        <v>14</v>
      </c>
      <c r="W3780">
        <f t="shared" si="1742"/>
        <v>2</v>
      </c>
      <c r="X3780">
        <f t="shared" si="1743"/>
        <v>2011</v>
      </c>
    </row>
    <row r="3781" spans="1:24" ht="12" customHeight="1">
      <c r="A3781" s="4">
        <v>6552</v>
      </c>
      <c r="B3781" s="4">
        <v>46597</v>
      </c>
      <c r="C3781" s="5">
        <f t="shared" ref="C3781:C3783" si="174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  <c r="V3781">
        <f t="shared" si="1744"/>
        <v>31</v>
      </c>
      <c r="W3781">
        <f t="shared" si="1742"/>
        <v>12</v>
      </c>
      <c r="X3781">
        <f t="shared" si="1743"/>
        <v>2009</v>
      </c>
    </row>
    <row r="3782" spans="1:24" ht="12" customHeight="1">
      <c r="A3782" s="4">
        <v>6553</v>
      </c>
      <c r="B3782" s="4">
        <v>46597</v>
      </c>
      <c r="C3782" s="5">
        <f t="shared" si="174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746">C3782+2</f>
        <v>40180</v>
      </c>
      <c r="V3782">
        <f t="shared" si="1744"/>
        <v>2</v>
      </c>
      <c r="W3782">
        <f t="shared" si="1742"/>
        <v>1</v>
      </c>
      <c r="X3782">
        <f t="shared" si="1743"/>
        <v>2010</v>
      </c>
    </row>
    <row r="3783" spans="1:24" ht="12" customHeight="1">
      <c r="A3783" s="4">
        <v>6554</v>
      </c>
      <c r="B3783" s="4">
        <v>46597</v>
      </c>
      <c r="C3783" s="5">
        <f t="shared" si="174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746"/>
        <v>40180</v>
      </c>
      <c r="V3783">
        <f t="shared" si="1744"/>
        <v>2</v>
      </c>
      <c r="W3783">
        <f t="shared" si="1742"/>
        <v>1</v>
      </c>
      <c r="X3783">
        <f t="shared" si="1743"/>
        <v>2010</v>
      </c>
    </row>
    <row r="3784" spans="1:24" ht="12" customHeight="1">
      <c r="A3784" s="4">
        <v>6570</v>
      </c>
      <c r="B3784" s="4">
        <v>46725</v>
      </c>
      <c r="C3784" s="5">
        <f t="shared" ref="C3784:C3785" si="174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746"/>
        <v>40443</v>
      </c>
      <c r="V3784">
        <f t="shared" si="1744"/>
        <v>22</v>
      </c>
      <c r="W3784">
        <f t="shared" si="1742"/>
        <v>9</v>
      </c>
      <c r="X3784">
        <f t="shared" si="1743"/>
        <v>2010</v>
      </c>
    </row>
    <row r="3785" spans="1:24" ht="12" customHeight="1">
      <c r="A3785" s="4">
        <v>6571</v>
      </c>
      <c r="B3785" s="4">
        <v>46725</v>
      </c>
      <c r="C3785" s="5">
        <f t="shared" si="174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  <c r="V3785">
        <f t="shared" si="1744"/>
        <v>21</v>
      </c>
      <c r="W3785">
        <f t="shared" si="1742"/>
        <v>9</v>
      </c>
      <c r="X3785">
        <f t="shared" si="1743"/>
        <v>2010</v>
      </c>
    </row>
    <row r="3786" spans="1:24" ht="12" customHeight="1">
      <c r="A3786" s="4">
        <v>6575</v>
      </c>
      <c r="B3786" s="4">
        <v>46787</v>
      </c>
      <c r="C3786" s="5">
        <f t="shared" ref="C3786:C3787" si="174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749">C3786+2</f>
        <v>40999</v>
      </c>
      <c r="V3786">
        <f t="shared" si="1744"/>
        <v>31</v>
      </c>
      <c r="W3786">
        <f t="shared" si="1742"/>
        <v>3</v>
      </c>
      <c r="X3786">
        <f t="shared" si="1743"/>
        <v>2012</v>
      </c>
    </row>
    <row r="3787" spans="1:24" ht="12" customHeight="1">
      <c r="A3787" s="4">
        <v>6576</v>
      </c>
      <c r="B3787" s="4">
        <v>46787</v>
      </c>
      <c r="C3787" s="5">
        <f t="shared" si="174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749"/>
        <v>40999</v>
      </c>
      <c r="V3787">
        <f t="shared" si="1744"/>
        <v>31</v>
      </c>
      <c r="W3787">
        <f t="shared" si="1742"/>
        <v>3</v>
      </c>
      <c r="X3787">
        <f t="shared" si="1743"/>
        <v>2012</v>
      </c>
    </row>
    <row r="3788" spans="1:24" ht="12" customHeight="1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749"/>
        <v>40821</v>
      </c>
      <c r="V3788">
        <f t="shared" si="1744"/>
        <v>5</v>
      </c>
      <c r="W3788">
        <f t="shared" si="1742"/>
        <v>10</v>
      </c>
      <c r="X3788">
        <f t="shared" si="1743"/>
        <v>2011</v>
      </c>
    </row>
    <row r="3789" spans="1:24" ht="12" customHeight="1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  <c r="V3789">
        <f t="shared" si="1744"/>
        <v>11</v>
      </c>
      <c r="W3789">
        <f t="shared" si="1742"/>
        <v>12</v>
      </c>
      <c r="X3789">
        <f t="shared" si="1743"/>
        <v>2011</v>
      </c>
    </row>
    <row r="3790" spans="1:24" ht="12" customHeight="1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750">C3790+2</f>
        <v>40191</v>
      </c>
      <c r="V3790">
        <f t="shared" si="1744"/>
        <v>13</v>
      </c>
      <c r="W3790">
        <f t="shared" si="1742"/>
        <v>1</v>
      </c>
      <c r="X3790">
        <f t="shared" si="1743"/>
        <v>2010</v>
      </c>
    </row>
    <row r="3791" spans="1:24" ht="12" customHeight="1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750"/>
        <v>41132</v>
      </c>
      <c r="V3791">
        <f t="shared" si="1744"/>
        <v>11</v>
      </c>
      <c r="W3791">
        <f t="shared" si="1742"/>
        <v>8</v>
      </c>
      <c r="X3791">
        <f t="shared" si="1743"/>
        <v>2012</v>
      </c>
    </row>
    <row r="3792" spans="1:24" ht="12" customHeight="1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  <c r="V3792">
        <f t="shared" si="1744"/>
        <v>14</v>
      </c>
      <c r="W3792">
        <f t="shared" si="1742"/>
        <v>12</v>
      </c>
      <c r="X3792">
        <f t="shared" si="1743"/>
        <v>2012</v>
      </c>
    </row>
    <row r="3793" spans="1:24" ht="12" customHeight="1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  <c r="V3793">
        <f t="shared" si="1744"/>
        <v>10</v>
      </c>
      <c r="W3793">
        <f t="shared" si="1742"/>
        <v>8</v>
      </c>
      <c r="X3793">
        <f t="shared" si="1743"/>
        <v>2009</v>
      </c>
    </row>
    <row r="3794" spans="1:24" ht="12" customHeight="1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751">C3794+2</f>
        <v>40711</v>
      </c>
      <c r="V3794">
        <f t="shared" si="1744"/>
        <v>17</v>
      </c>
      <c r="W3794">
        <f t="shared" si="1742"/>
        <v>6</v>
      </c>
      <c r="X3794">
        <f t="shared" si="1743"/>
        <v>2011</v>
      </c>
    </row>
    <row r="3795" spans="1:24" ht="12" customHeight="1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751"/>
        <v>40415</v>
      </c>
      <c r="V3795">
        <f t="shared" si="1744"/>
        <v>25</v>
      </c>
      <c r="W3795">
        <f t="shared" si="1742"/>
        <v>8</v>
      </c>
      <c r="X3795">
        <f t="shared" si="1743"/>
        <v>2010</v>
      </c>
    </row>
    <row r="3796" spans="1:24" ht="12" customHeight="1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  <c r="V3796">
        <f t="shared" si="1744"/>
        <v>10</v>
      </c>
      <c r="W3796">
        <f t="shared" si="1742"/>
        <v>2</v>
      </c>
      <c r="X3796">
        <f t="shared" si="1743"/>
        <v>2011</v>
      </c>
    </row>
    <row r="3797" spans="1:24" ht="12" customHeight="1">
      <c r="A3797" s="4">
        <v>7001</v>
      </c>
      <c r="B3797" s="4">
        <v>49988</v>
      </c>
      <c r="C3797" s="5">
        <f t="shared" ref="C3797:C3799" si="175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  <c r="V3797">
        <f t="shared" si="1744"/>
        <v>23</v>
      </c>
      <c r="W3797">
        <f t="shared" si="1742"/>
        <v>12</v>
      </c>
      <c r="X3797">
        <f t="shared" si="1743"/>
        <v>2010</v>
      </c>
    </row>
    <row r="3798" spans="1:24" ht="12" customHeight="1">
      <c r="A3798" s="4">
        <v>7002</v>
      </c>
      <c r="B3798" s="4">
        <v>49988</v>
      </c>
      <c r="C3798" s="5">
        <f t="shared" si="175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  <c r="V3798">
        <f t="shared" si="1744"/>
        <v>22</v>
      </c>
      <c r="W3798">
        <f t="shared" si="1742"/>
        <v>12</v>
      </c>
      <c r="X3798">
        <f t="shared" si="1743"/>
        <v>2010</v>
      </c>
    </row>
    <row r="3799" spans="1:24" ht="12" customHeight="1">
      <c r="A3799" s="4">
        <v>7003</v>
      </c>
      <c r="B3799" s="4">
        <v>49988</v>
      </c>
      <c r="C3799" s="5">
        <f t="shared" si="175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  <c r="V3799">
        <f t="shared" si="1744"/>
        <v>23</v>
      </c>
      <c r="W3799">
        <f t="shared" si="1742"/>
        <v>12</v>
      </c>
      <c r="X3799">
        <f t="shared" si="1743"/>
        <v>2010</v>
      </c>
    </row>
    <row r="3800" spans="1:24" ht="12" customHeight="1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  <c r="V3800">
        <f t="shared" si="1744"/>
        <v>25</v>
      </c>
      <c r="W3800">
        <f t="shared" si="1742"/>
        <v>10</v>
      </c>
      <c r="X3800">
        <f t="shared" si="1743"/>
        <v>2012</v>
      </c>
    </row>
    <row r="3801" spans="1:24" ht="12" customHeight="1">
      <c r="A3801" s="4">
        <v>7104</v>
      </c>
      <c r="B3801" s="4">
        <v>50692</v>
      </c>
      <c r="C3801" s="5">
        <f t="shared" ref="C3801:C3802" si="175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754">C3801+2</f>
        <v>40440</v>
      </c>
      <c r="V3801">
        <f t="shared" si="1744"/>
        <v>19</v>
      </c>
      <c r="W3801">
        <f t="shared" si="1742"/>
        <v>9</v>
      </c>
      <c r="X3801">
        <f t="shared" si="1743"/>
        <v>2010</v>
      </c>
    </row>
    <row r="3802" spans="1:24" ht="12" customHeight="1">
      <c r="A3802" s="4">
        <v>7105</v>
      </c>
      <c r="B3802" s="4">
        <v>50692</v>
      </c>
      <c r="C3802" s="5">
        <f t="shared" si="175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754"/>
        <v>40440</v>
      </c>
      <c r="V3802">
        <f t="shared" si="1744"/>
        <v>19</v>
      </c>
      <c r="W3802">
        <f t="shared" si="1742"/>
        <v>9</v>
      </c>
      <c r="X3802">
        <f t="shared" si="1743"/>
        <v>2010</v>
      </c>
    </row>
    <row r="3803" spans="1:24" ht="12" customHeight="1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755">C3803+1</f>
        <v>40506</v>
      </c>
      <c r="V3803">
        <f t="shared" si="1744"/>
        <v>24</v>
      </c>
      <c r="W3803">
        <f t="shared" si="1742"/>
        <v>11</v>
      </c>
      <c r="X3803">
        <f t="shared" si="1743"/>
        <v>2010</v>
      </c>
    </row>
    <row r="3804" spans="1:24" ht="12" customHeight="1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755"/>
        <v>41016</v>
      </c>
      <c r="V3804">
        <f t="shared" si="1744"/>
        <v>17</v>
      </c>
      <c r="W3804">
        <f t="shared" si="1742"/>
        <v>4</v>
      </c>
      <c r="X3804">
        <f t="shared" si="1743"/>
        <v>2012</v>
      </c>
    </row>
    <row r="3805" spans="1:24" ht="12" customHeight="1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  <c r="V3805">
        <f t="shared" si="1744"/>
        <v>22</v>
      </c>
      <c r="W3805">
        <f t="shared" si="1742"/>
        <v>8</v>
      </c>
      <c r="X3805">
        <f t="shared" si="1743"/>
        <v>2011</v>
      </c>
    </row>
    <row r="3806" spans="1:24" ht="12" customHeight="1">
      <c r="A3806" s="4">
        <v>7211</v>
      </c>
      <c r="B3806" s="4">
        <v>51463</v>
      </c>
      <c r="C3806" s="5">
        <f t="shared" ref="C3806:C3807" si="175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  <c r="V3806">
        <f t="shared" si="1744"/>
        <v>26</v>
      </c>
      <c r="W3806">
        <f t="shared" si="1742"/>
        <v>12</v>
      </c>
      <c r="X3806">
        <f t="shared" si="1743"/>
        <v>2011</v>
      </c>
    </row>
    <row r="3807" spans="1:24" ht="12" customHeight="1">
      <c r="A3807" s="4">
        <v>7212</v>
      </c>
      <c r="B3807" s="4">
        <v>51463</v>
      </c>
      <c r="C3807" s="5">
        <f t="shared" si="175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  <c r="V3807">
        <f t="shared" si="1744"/>
        <v>17</v>
      </c>
      <c r="W3807">
        <f t="shared" si="1742"/>
        <v>12</v>
      </c>
      <c r="X3807">
        <f t="shared" si="1743"/>
        <v>2011</v>
      </c>
    </row>
    <row r="3808" spans="1:24" ht="12" customHeight="1">
      <c r="A3808" s="4">
        <v>7279</v>
      </c>
      <c r="B3808" s="4">
        <v>51943</v>
      </c>
      <c r="C3808" s="5">
        <f t="shared" ref="C3808:C3810" si="175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758">C3808+1</f>
        <v>39928</v>
      </c>
      <c r="V3808">
        <f t="shared" si="1744"/>
        <v>25</v>
      </c>
      <c r="W3808">
        <f t="shared" si="1742"/>
        <v>4</v>
      </c>
      <c r="X3808">
        <f t="shared" si="1743"/>
        <v>2009</v>
      </c>
    </row>
    <row r="3809" spans="1:24" ht="12" customHeight="1">
      <c r="A3809" s="4">
        <v>7280</v>
      </c>
      <c r="B3809" s="4">
        <v>51943</v>
      </c>
      <c r="C3809" s="5">
        <f t="shared" si="175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758"/>
        <v>39928</v>
      </c>
      <c r="V3809">
        <f t="shared" si="1744"/>
        <v>25</v>
      </c>
      <c r="W3809">
        <f t="shared" si="1742"/>
        <v>4</v>
      </c>
      <c r="X3809">
        <f t="shared" si="1743"/>
        <v>2009</v>
      </c>
    </row>
    <row r="3810" spans="1:24" ht="12" customHeight="1">
      <c r="A3810" s="4">
        <v>7281</v>
      </c>
      <c r="B3810" s="4">
        <v>51943</v>
      </c>
      <c r="C3810" s="5">
        <f t="shared" si="175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  <c r="V3810">
        <f t="shared" si="1744"/>
        <v>27</v>
      </c>
      <c r="W3810">
        <f t="shared" si="1742"/>
        <v>4</v>
      </c>
      <c r="X3810">
        <f t="shared" si="1743"/>
        <v>2009</v>
      </c>
    </row>
    <row r="3811" spans="1:24" ht="12" customHeight="1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  <c r="V3811">
        <f t="shared" si="1744"/>
        <v>4</v>
      </c>
      <c r="W3811">
        <f t="shared" si="1742"/>
        <v>8</v>
      </c>
      <c r="X3811">
        <f t="shared" si="1743"/>
        <v>2012</v>
      </c>
    </row>
    <row r="3812" spans="1:24" ht="12" customHeight="1">
      <c r="A3812" s="4">
        <v>7336</v>
      </c>
      <c r="B3812" s="4">
        <v>52290</v>
      </c>
      <c r="C3812" s="5">
        <f t="shared" ref="C3812:C3813" si="175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  <c r="V3812">
        <f t="shared" si="1744"/>
        <v>25</v>
      </c>
      <c r="W3812">
        <f t="shared" si="1742"/>
        <v>5</v>
      </c>
      <c r="X3812">
        <f t="shared" si="1743"/>
        <v>2012</v>
      </c>
    </row>
    <row r="3813" spans="1:24" ht="12" customHeight="1">
      <c r="A3813" s="4">
        <v>7337</v>
      </c>
      <c r="B3813" s="4">
        <v>52290</v>
      </c>
      <c r="C3813" s="5">
        <f t="shared" si="175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  <c r="V3813">
        <f t="shared" si="1744"/>
        <v>30</v>
      </c>
      <c r="W3813">
        <f t="shared" si="1742"/>
        <v>5</v>
      </c>
      <c r="X3813">
        <f t="shared" si="1743"/>
        <v>2012</v>
      </c>
    </row>
    <row r="3814" spans="1:24" ht="12" customHeight="1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  <c r="V3814">
        <f t="shared" si="1744"/>
        <v>29</v>
      </c>
      <c r="W3814">
        <f t="shared" si="1742"/>
        <v>7</v>
      </c>
      <c r="X3814">
        <f t="shared" si="1743"/>
        <v>2010</v>
      </c>
    </row>
    <row r="3815" spans="1:24" ht="12" customHeight="1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  <c r="V3815">
        <f t="shared" si="1744"/>
        <v>5</v>
      </c>
      <c r="W3815">
        <f t="shared" si="1742"/>
        <v>1</v>
      </c>
      <c r="X3815">
        <f t="shared" si="1743"/>
        <v>2011</v>
      </c>
    </row>
    <row r="3816" spans="1:24" ht="12" customHeight="1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  <c r="V3816">
        <f t="shared" si="1744"/>
        <v>1</v>
      </c>
      <c r="W3816">
        <f t="shared" si="1742"/>
        <v>5</v>
      </c>
      <c r="X3816">
        <f t="shared" si="1743"/>
        <v>2012</v>
      </c>
    </row>
    <row r="3817" spans="1:24" ht="12" customHeight="1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  <c r="V3817">
        <f t="shared" si="1744"/>
        <v>5</v>
      </c>
      <c r="W3817">
        <f t="shared" si="1742"/>
        <v>3</v>
      </c>
      <c r="X3817">
        <f t="shared" si="1743"/>
        <v>2009</v>
      </c>
    </row>
    <row r="3818" spans="1:24" ht="12" customHeight="1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  <c r="V3818">
        <f t="shared" si="1744"/>
        <v>6</v>
      </c>
      <c r="W3818">
        <f t="shared" si="1742"/>
        <v>11</v>
      </c>
      <c r="X3818">
        <f t="shared" si="1743"/>
        <v>2012</v>
      </c>
    </row>
    <row r="3819" spans="1:24" ht="12" customHeight="1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  <c r="V3819">
        <f t="shared" si="1744"/>
        <v>21</v>
      </c>
      <c r="W3819">
        <f t="shared" si="1742"/>
        <v>7</v>
      </c>
      <c r="X3819">
        <f t="shared" si="1743"/>
        <v>2012</v>
      </c>
    </row>
    <row r="3820" spans="1:24" ht="12" customHeight="1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760">C3820+1</f>
        <v>40481</v>
      </c>
      <c r="V3820">
        <f t="shared" si="1744"/>
        <v>30</v>
      </c>
      <c r="W3820">
        <f t="shared" si="1742"/>
        <v>10</v>
      </c>
      <c r="X3820">
        <f t="shared" si="1743"/>
        <v>2010</v>
      </c>
    </row>
    <row r="3821" spans="1:24" ht="12" customHeight="1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760"/>
        <v>40877</v>
      </c>
      <c r="V3821">
        <f t="shared" si="1744"/>
        <v>30</v>
      </c>
      <c r="W3821">
        <f t="shared" si="1742"/>
        <v>11</v>
      </c>
      <c r="X3821">
        <f t="shared" si="1743"/>
        <v>2011</v>
      </c>
    </row>
    <row r="3822" spans="1:24" ht="12" customHeight="1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760"/>
        <v>40269</v>
      </c>
      <c r="V3822">
        <f t="shared" si="1744"/>
        <v>1</v>
      </c>
      <c r="W3822">
        <f t="shared" si="1742"/>
        <v>4</v>
      </c>
      <c r="X3822">
        <f t="shared" si="1743"/>
        <v>2010</v>
      </c>
    </row>
    <row r="3823" spans="1:24" ht="12" customHeight="1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760"/>
        <v>41273</v>
      </c>
      <c r="V3823">
        <f t="shared" si="1744"/>
        <v>30</v>
      </c>
      <c r="W3823">
        <f t="shared" si="1742"/>
        <v>12</v>
      </c>
      <c r="X3823">
        <f t="shared" si="1743"/>
        <v>2012</v>
      </c>
    </row>
    <row r="3824" spans="1:24" ht="12" customHeight="1">
      <c r="A3824" s="4">
        <v>7550</v>
      </c>
      <c r="B3824" s="4">
        <v>54020</v>
      </c>
      <c r="C3824" s="5">
        <f t="shared" ref="C3824:C3825" si="176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  <c r="V3824">
        <f t="shared" si="1744"/>
        <v>4</v>
      </c>
      <c r="W3824">
        <f t="shared" si="1742"/>
        <v>2</v>
      </c>
      <c r="X3824">
        <f t="shared" si="1743"/>
        <v>2012</v>
      </c>
    </row>
    <row r="3825" spans="1:24" ht="12" customHeight="1">
      <c r="A3825" s="4">
        <v>7551</v>
      </c>
      <c r="B3825" s="4">
        <v>54020</v>
      </c>
      <c r="C3825" s="5">
        <f t="shared" si="176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  <c r="V3825">
        <f t="shared" si="1744"/>
        <v>5</v>
      </c>
      <c r="W3825">
        <f t="shared" si="1742"/>
        <v>2</v>
      </c>
      <c r="X3825">
        <f t="shared" si="1743"/>
        <v>2012</v>
      </c>
    </row>
    <row r="3826" spans="1:24" ht="12" customHeight="1">
      <c r="A3826" s="4">
        <v>7596</v>
      </c>
      <c r="B3826" s="4">
        <v>54368</v>
      </c>
      <c r="C3826" s="5">
        <f t="shared" ref="C3826:C3828" si="176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  <c r="V3826">
        <f t="shared" si="1744"/>
        <v>3</v>
      </c>
      <c r="W3826">
        <f t="shared" si="1742"/>
        <v>11</v>
      </c>
      <c r="X3826">
        <f t="shared" si="1743"/>
        <v>2011</v>
      </c>
    </row>
    <row r="3827" spans="1:24" ht="12" customHeight="1">
      <c r="A3827" s="4">
        <v>7597</v>
      </c>
      <c r="B3827" s="4">
        <v>54368</v>
      </c>
      <c r="C3827" s="5">
        <f t="shared" si="176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763">C3827+1</f>
        <v>40849</v>
      </c>
      <c r="V3827">
        <f t="shared" si="1744"/>
        <v>2</v>
      </c>
      <c r="W3827">
        <f t="shared" si="1742"/>
        <v>11</v>
      </c>
      <c r="X3827">
        <f t="shared" si="1743"/>
        <v>2011</v>
      </c>
    </row>
    <row r="3828" spans="1:24" ht="12" customHeight="1">
      <c r="A3828" s="4">
        <v>7598</v>
      </c>
      <c r="B3828" s="4">
        <v>54368</v>
      </c>
      <c r="C3828" s="5">
        <f t="shared" si="176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763"/>
        <v>40849</v>
      </c>
      <c r="V3828">
        <f t="shared" si="1744"/>
        <v>2</v>
      </c>
      <c r="W3828">
        <f t="shared" si="1742"/>
        <v>11</v>
      </c>
      <c r="X3828">
        <f t="shared" si="1743"/>
        <v>2011</v>
      </c>
    </row>
    <row r="3829" spans="1:24" ht="12" customHeight="1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763"/>
        <v>41201</v>
      </c>
      <c r="V3829">
        <f t="shared" si="1744"/>
        <v>19</v>
      </c>
      <c r="W3829">
        <f t="shared" si="1742"/>
        <v>10</v>
      </c>
      <c r="X3829">
        <f t="shared" si="1743"/>
        <v>2012</v>
      </c>
    </row>
    <row r="3830" spans="1:24" ht="12" customHeight="1">
      <c r="A3830" s="4">
        <v>7673</v>
      </c>
      <c r="B3830" s="4">
        <v>55013</v>
      </c>
      <c r="C3830" s="5">
        <f t="shared" ref="C3830:C3831" si="176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  <c r="V3830">
        <f t="shared" si="1744"/>
        <v>19</v>
      </c>
      <c r="W3830">
        <f t="shared" si="1742"/>
        <v>7</v>
      </c>
      <c r="X3830">
        <f t="shared" si="1743"/>
        <v>2011</v>
      </c>
    </row>
    <row r="3831" spans="1:24" ht="12" customHeight="1">
      <c r="A3831" s="4">
        <v>7674</v>
      </c>
      <c r="B3831" s="4">
        <v>55013</v>
      </c>
      <c r="C3831" s="5">
        <f t="shared" si="176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  <c r="V3831">
        <f t="shared" si="1744"/>
        <v>17</v>
      </c>
      <c r="W3831">
        <f t="shared" si="1742"/>
        <v>7</v>
      </c>
      <c r="X3831">
        <f t="shared" si="1743"/>
        <v>2011</v>
      </c>
    </row>
    <row r="3832" spans="1:24" ht="12" customHeight="1">
      <c r="A3832" s="4">
        <v>7686</v>
      </c>
      <c r="B3832" s="4">
        <v>55077</v>
      </c>
      <c r="C3832" s="5">
        <f t="shared" ref="C3832:C3833" si="176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766">C3832+2</f>
        <v>40822</v>
      </c>
      <c r="V3832">
        <f t="shared" si="1744"/>
        <v>6</v>
      </c>
      <c r="W3832">
        <f t="shared" si="1742"/>
        <v>10</v>
      </c>
      <c r="X3832">
        <f t="shared" si="1743"/>
        <v>2011</v>
      </c>
    </row>
    <row r="3833" spans="1:24" ht="12" customHeight="1">
      <c r="A3833" s="4">
        <v>7687</v>
      </c>
      <c r="B3833" s="4">
        <v>55077</v>
      </c>
      <c r="C3833" s="5">
        <f t="shared" si="176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766"/>
        <v>40822</v>
      </c>
      <c r="V3833">
        <f t="shared" si="1744"/>
        <v>6</v>
      </c>
      <c r="W3833">
        <f t="shared" si="1742"/>
        <v>10</v>
      </c>
      <c r="X3833">
        <f t="shared" si="1743"/>
        <v>2011</v>
      </c>
    </row>
    <row r="3834" spans="1:24" ht="12" customHeight="1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  <c r="V3834">
        <f t="shared" si="1744"/>
        <v>3</v>
      </c>
      <c r="W3834">
        <f t="shared" si="1742"/>
        <v>11</v>
      </c>
      <c r="X3834">
        <f t="shared" si="1743"/>
        <v>2011</v>
      </c>
    </row>
    <row r="3835" spans="1:24" ht="12" customHeight="1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  <c r="V3835">
        <f t="shared" si="1744"/>
        <v>21</v>
      </c>
      <c r="W3835">
        <f t="shared" si="1742"/>
        <v>9</v>
      </c>
      <c r="X3835">
        <f t="shared" si="1743"/>
        <v>2011</v>
      </c>
    </row>
    <row r="3836" spans="1:24" ht="12" customHeight="1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  <c r="V3836">
        <f t="shared" si="1744"/>
        <v>21</v>
      </c>
      <c r="W3836">
        <f t="shared" si="1742"/>
        <v>10</v>
      </c>
      <c r="X3836">
        <f t="shared" si="1743"/>
        <v>2011</v>
      </c>
    </row>
    <row r="3837" spans="1:24" ht="12" customHeight="1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  <c r="V3837">
        <f t="shared" si="1744"/>
        <v>2</v>
      </c>
      <c r="W3837">
        <f t="shared" si="1742"/>
        <v>10</v>
      </c>
      <c r="X3837">
        <f t="shared" si="1743"/>
        <v>2012</v>
      </c>
    </row>
    <row r="3838" spans="1:24" ht="12" customHeight="1">
      <c r="A3838" s="4">
        <v>7868</v>
      </c>
      <c r="B3838" s="4">
        <v>56288</v>
      </c>
      <c r="C3838" s="5">
        <f t="shared" ref="C3838:C3839" si="176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  <c r="V3838">
        <f t="shared" si="1744"/>
        <v>30</v>
      </c>
      <c r="W3838">
        <f t="shared" si="1742"/>
        <v>6</v>
      </c>
      <c r="X3838">
        <f t="shared" si="1743"/>
        <v>2010</v>
      </c>
    </row>
    <row r="3839" spans="1:24" ht="12" customHeight="1">
      <c r="A3839" s="4">
        <v>7869</v>
      </c>
      <c r="B3839" s="4">
        <v>56288</v>
      </c>
      <c r="C3839" s="5">
        <f t="shared" si="176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768">C3839+2</f>
        <v>40361</v>
      </c>
      <c r="V3839">
        <f t="shared" si="1744"/>
        <v>2</v>
      </c>
      <c r="W3839">
        <f t="shared" si="1742"/>
        <v>7</v>
      </c>
      <c r="X3839">
        <f t="shared" si="1743"/>
        <v>2010</v>
      </c>
    </row>
    <row r="3840" spans="1:24" ht="12" customHeight="1">
      <c r="A3840" s="4">
        <v>7870</v>
      </c>
      <c r="B3840" s="4">
        <v>56291</v>
      </c>
      <c r="C3840" s="5">
        <f t="shared" ref="C3840:C3842" si="176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768"/>
        <v>41171</v>
      </c>
      <c r="V3840">
        <f t="shared" si="1744"/>
        <v>19</v>
      </c>
      <c r="W3840">
        <f t="shared" si="1742"/>
        <v>9</v>
      </c>
      <c r="X3840">
        <f t="shared" si="1743"/>
        <v>2012</v>
      </c>
    </row>
    <row r="3841" spans="1:24" ht="12" customHeight="1">
      <c r="A3841" s="4">
        <v>7871</v>
      </c>
      <c r="B3841" s="4">
        <v>56291</v>
      </c>
      <c r="C3841" s="5">
        <f t="shared" si="176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  <c r="V3841">
        <f t="shared" si="1744"/>
        <v>17</v>
      </c>
      <c r="W3841">
        <f t="shared" si="1742"/>
        <v>9</v>
      </c>
      <c r="X3841">
        <f t="shared" si="1743"/>
        <v>2012</v>
      </c>
    </row>
    <row r="3842" spans="1:24" ht="12" customHeight="1">
      <c r="A3842" s="4">
        <v>7872</v>
      </c>
      <c r="B3842" s="4">
        <v>56291</v>
      </c>
      <c r="C3842" s="5">
        <f t="shared" si="176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770">C3842+1</f>
        <v>41170</v>
      </c>
      <c r="V3842">
        <f t="shared" si="1744"/>
        <v>18</v>
      </c>
      <c r="W3842">
        <f t="shared" si="1742"/>
        <v>9</v>
      </c>
      <c r="X3842">
        <f t="shared" si="1743"/>
        <v>2012</v>
      </c>
    </row>
    <row r="3843" spans="1:24" ht="12" customHeight="1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770"/>
        <v>39962</v>
      </c>
      <c r="V3843">
        <f t="shared" si="1744"/>
        <v>29</v>
      </c>
      <c r="W3843">
        <f t="shared" ref="W3843:W3906" si="1771">MONTH(U3843)</f>
        <v>5</v>
      </c>
      <c r="X3843">
        <f t="shared" ref="X3843:X3906" si="1772">YEAR(U3843)</f>
        <v>2009</v>
      </c>
    </row>
    <row r="3844" spans="1:24" ht="12" customHeight="1">
      <c r="A3844" s="4">
        <v>7899</v>
      </c>
      <c r="B3844" s="4">
        <v>56514</v>
      </c>
      <c r="C3844" s="5">
        <f t="shared" ref="C3844:C3845" si="1773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774">C3844+7</f>
        <v>40957</v>
      </c>
      <c r="V3844">
        <f t="shared" ref="V3844:V3907" si="1775">DAY(U3844)</f>
        <v>18</v>
      </c>
      <c r="W3844">
        <f t="shared" si="1771"/>
        <v>2</v>
      </c>
      <c r="X3844">
        <f t="shared" si="1772"/>
        <v>2012</v>
      </c>
    </row>
    <row r="3845" spans="1:24" ht="12" customHeight="1">
      <c r="A3845" s="4">
        <v>7900</v>
      </c>
      <c r="B3845" s="4">
        <v>56514</v>
      </c>
      <c r="C3845" s="5">
        <f t="shared" si="1773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774"/>
        <v>40957</v>
      </c>
      <c r="V3845">
        <f t="shared" si="1775"/>
        <v>18</v>
      </c>
      <c r="W3845">
        <f t="shared" si="1771"/>
        <v>2</v>
      </c>
      <c r="X3845">
        <f t="shared" si="1772"/>
        <v>2012</v>
      </c>
    </row>
    <row r="3846" spans="1:24" ht="12" customHeight="1">
      <c r="A3846" s="4">
        <v>7928</v>
      </c>
      <c r="B3846" s="4">
        <v>56672</v>
      </c>
      <c r="C3846" s="5">
        <f t="shared" ref="C3846:C3848" si="1776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  <c r="V3846">
        <f t="shared" si="1775"/>
        <v>13</v>
      </c>
      <c r="W3846">
        <f t="shared" si="1771"/>
        <v>5</v>
      </c>
      <c r="X3846">
        <f t="shared" si="1772"/>
        <v>2012</v>
      </c>
    </row>
    <row r="3847" spans="1:24" ht="12" customHeight="1">
      <c r="A3847" s="4">
        <v>7929</v>
      </c>
      <c r="B3847" s="4">
        <v>56672</v>
      </c>
      <c r="C3847" s="5">
        <f t="shared" si="1776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777">C3847+2</f>
        <v>41043</v>
      </c>
      <c r="V3847">
        <f t="shared" si="1775"/>
        <v>14</v>
      </c>
      <c r="W3847">
        <f t="shared" si="1771"/>
        <v>5</v>
      </c>
      <c r="X3847">
        <f t="shared" si="1772"/>
        <v>2012</v>
      </c>
    </row>
    <row r="3848" spans="1:24" ht="12" customHeight="1">
      <c r="A3848" s="4">
        <v>7930</v>
      </c>
      <c r="B3848" s="4">
        <v>56672</v>
      </c>
      <c r="C3848" s="5">
        <f t="shared" si="1776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777"/>
        <v>41043</v>
      </c>
      <c r="V3848">
        <f t="shared" si="1775"/>
        <v>14</v>
      </c>
      <c r="W3848">
        <f t="shared" si="1771"/>
        <v>5</v>
      </c>
      <c r="X3848">
        <f t="shared" si="1772"/>
        <v>2012</v>
      </c>
    </row>
    <row r="3849" spans="1:24" ht="12" customHeight="1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777"/>
        <v>40214</v>
      </c>
      <c r="V3849">
        <f t="shared" si="1775"/>
        <v>5</v>
      </c>
      <c r="W3849">
        <f t="shared" si="1771"/>
        <v>2</v>
      </c>
      <c r="X3849">
        <f t="shared" si="1772"/>
        <v>2010</v>
      </c>
    </row>
    <row r="3850" spans="1:24" ht="12" customHeight="1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777"/>
        <v>41088</v>
      </c>
      <c r="V3850">
        <f t="shared" si="1775"/>
        <v>28</v>
      </c>
      <c r="W3850">
        <f t="shared" si="1771"/>
        <v>6</v>
      </c>
      <c r="X3850">
        <f t="shared" si="1772"/>
        <v>2012</v>
      </c>
    </row>
    <row r="3851" spans="1:24" ht="12" customHeight="1">
      <c r="A3851" s="4">
        <v>7979</v>
      </c>
      <c r="B3851" s="4">
        <v>57061</v>
      </c>
      <c r="C3851" s="5">
        <f t="shared" ref="C3851:C3853" si="1778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  <c r="V3851">
        <f t="shared" si="1775"/>
        <v>7</v>
      </c>
      <c r="W3851">
        <f t="shared" si="1771"/>
        <v>12</v>
      </c>
      <c r="X3851">
        <f t="shared" si="1772"/>
        <v>2009</v>
      </c>
    </row>
    <row r="3852" spans="1:24" ht="12" customHeight="1">
      <c r="A3852" s="4">
        <v>7980</v>
      </c>
      <c r="B3852" s="4">
        <v>57061</v>
      </c>
      <c r="C3852" s="5">
        <f t="shared" si="1778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  <c r="V3852">
        <f t="shared" si="1775"/>
        <v>30</v>
      </c>
      <c r="W3852">
        <f t="shared" si="1771"/>
        <v>11</v>
      </c>
      <c r="X3852">
        <f t="shared" si="1772"/>
        <v>2009</v>
      </c>
    </row>
    <row r="3853" spans="1:24" ht="12" customHeight="1">
      <c r="A3853" s="4">
        <v>7981</v>
      </c>
      <c r="B3853" s="4">
        <v>57061</v>
      </c>
      <c r="C3853" s="5">
        <f t="shared" si="1778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779">C3853+2</f>
        <v>40149</v>
      </c>
      <c r="V3853">
        <f t="shared" si="1775"/>
        <v>2</v>
      </c>
      <c r="W3853">
        <f t="shared" si="1771"/>
        <v>12</v>
      </c>
      <c r="X3853">
        <f t="shared" si="1772"/>
        <v>2009</v>
      </c>
    </row>
    <row r="3854" spans="1:24" ht="12" customHeight="1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779"/>
        <v>40566</v>
      </c>
      <c r="V3854">
        <f t="shared" si="1775"/>
        <v>23</v>
      </c>
      <c r="W3854">
        <f t="shared" si="1771"/>
        <v>1</v>
      </c>
      <c r="X3854">
        <f t="shared" si="1772"/>
        <v>2011</v>
      </c>
    </row>
    <row r="3855" spans="1:24" ht="12" customHeight="1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780">C3855+3</f>
        <v>40032</v>
      </c>
      <c r="V3855">
        <f t="shared" si="1775"/>
        <v>7</v>
      </c>
      <c r="W3855">
        <f t="shared" si="1771"/>
        <v>8</v>
      </c>
      <c r="X3855">
        <f t="shared" si="1772"/>
        <v>2009</v>
      </c>
    </row>
    <row r="3856" spans="1:24" ht="12" customHeight="1">
      <c r="A3856" s="4">
        <v>8083</v>
      </c>
      <c r="B3856" s="4">
        <v>57666</v>
      </c>
      <c r="C3856" s="5">
        <f t="shared" ref="C3856:C3857" si="1781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780"/>
        <v>39958</v>
      </c>
      <c r="V3856">
        <f t="shared" si="1775"/>
        <v>25</v>
      </c>
      <c r="W3856">
        <f t="shared" si="1771"/>
        <v>5</v>
      </c>
      <c r="X3856">
        <f t="shared" si="1772"/>
        <v>2009</v>
      </c>
    </row>
    <row r="3857" spans="1:24" ht="12" customHeight="1">
      <c r="A3857" s="4">
        <v>8084</v>
      </c>
      <c r="B3857" s="4">
        <v>57666</v>
      </c>
      <c r="C3857" s="5">
        <f t="shared" si="1781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  <c r="V3857">
        <f t="shared" si="1775"/>
        <v>22</v>
      </c>
      <c r="W3857">
        <f t="shared" si="1771"/>
        <v>5</v>
      </c>
      <c r="X3857">
        <f t="shared" si="1772"/>
        <v>2009</v>
      </c>
    </row>
    <row r="3858" spans="1:24" ht="12" customHeight="1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  <c r="V3858">
        <f t="shared" si="1775"/>
        <v>13</v>
      </c>
      <c r="W3858">
        <f t="shared" si="1771"/>
        <v>6</v>
      </c>
      <c r="X3858">
        <f t="shared" si="1772"/>
        <v>2011</v>
      </c>
    </row>
    <row r="3859" spans="1:24" ht="12" customHeight="1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782">C3859+1</f>
        <v>39897</v>
      </c>
      <c r="V3859">
        <f t="shared" si="1775"/>
        <v>25</v>
      </c>
      <c r="W3859">
        <f t="shared" si="1771"/>
        <v>3</v>
      </c>
      <c r="X3859">
        <f t="shared" si="1772"/>
        <v>2009</v>
      </c>
    </row>
    <row r="3860" spans="1:24" ht="12" customHeight="1">
      <c r="A3860" s="4">
        <v>8234</v>
      </c>
      <c r="B3860" s="4">
        <v>58854</v>
      </c>
      <c r="C3860" s="5">
        <f t="shared" ref="C3860:C3861" si="1783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782"/>
        <v>40293</v>
      </c>
      <c r="V3860">
        <f t="shared" si="1775"/>
        <v>25</v>
      </c>
      <c r="W3860">
        <f t="shared" si="1771"/>
        <v>4</v>
      </c>
      <c r="X3860">
        <f t="shared" si="1772"/>
        <v>2010</v>
      </c>
    </row>
    <row r="3861" spans="1:24" ht="12" customHeight="1">
      <c r="A3861" s="4">
        <v>8235</v>
      </c>
      <c r="B3861" s="4">
        <v>58854</v>
      </c>
      <c r="C3861" s="5">
        <f t="shared" si="1783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  <c r="V3861">
        <f t="shared" si="1775"/>
        <v>26</v>
      </c>
      <c r="W3861">
        <f t="shared" si="1771"/>
        <v>4</v>
      </c>
      <c r="X3861">
        <f t="shared" si="1772"/>
        <v>2010</v>
      </c>
    </row>
    <row r="3862" spans="1:24" ht="12" customHeight="1">
      <c r="A3862" s="4">
        <v>8243</v>
      </c>
      <c r="B3862" s="4">
        <v>58917</v>
      </c>
      <c r="C3862" s="5">
        <f t="shared" ref="C3862:C3863" si="1784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  <c r="V3862">
        <f t="shared" si="1775"/>
        <v>3</v>
      </c>
      <c r="W3862">
        <f t="shared" si="1771"/>
        <v>3</v>
      </c>
      <c r="X3862">
        <f t="shared" si="1772"/>
        <v>2012</v>
      </c>
    </row>
    <row r="3863" spans="1:24" ht="12" customHeight="1">
      <c r="A3863" s="4">
        <v>8244</v>
      </c>
      <c r="B3863" s="4">
        <v>58917</v>
      </c>
      <c r="C3863" s="5">
        <f t="shared" si="1784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  <c r="V3863">
        <f t="shared" si="1775"/>
        <v>2</v>
      </c>
      <c r="W3863">
        <f t="shared" si="1771"/>
        <v>3</v>
      </c>
      <c r="X3863">
        <f t="shared" si="1772"/>
        <v>2012</v>
      </c>
    </row>
    <row r="3864" spans="1:24" ht="12" customHeight="1">
      <c r="A3864" s="4">
        <v>8266</v>
      </c>
      <c r="B3864" s="4">
        <v>59104</v>
      </c>
      <c r="C3864" s="5">
        <f t="shared" ref="C3864:C3866" si="1785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786">C3864+3</f>
        <v>39859</v>
      </c>
      <c r="V3864">
        <f t="shared" si="1775"/>
        <v>15</v>
      </c>
      <c r="W3864">
        <f t="shared" si="1771"/>
        <v>2</v>
      </c>
      <c r="X3864">
        <f t="shared" si="1772"/>
        <v>2009</v>
      </c>
    </row>
    <row r="3865" spans="1:24" ht="12" customHeight="1">
      <c r="A3865" s="4">
        <v>8267</v>
      </c>
      <c r="B3865" s="4">
        <v>59104</v>
      </c>
      <c r="C3865" s="5">
        <f t="shared" si="1785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786"/>
        <v>39859</v>
      </c>
      <c r="V3865">
        <f t="shared" si="1775"/>
        <v>15</v>
      </c>
      <c r="W3865">
        <f t="shared" si="1771"/>
        <v>2</v>
      </c>
      <c r="X3865">
        <f t="shared" si="1772"/>
        <v>2009</v>
      </c>
    </row>
    <row r="3866" spans="1:24" ht="12" customHeight="1">
      <c r="A3866" s="4">
        <v>8268</v>
      </c>
      <c r="B3866" s="4">
        <v>59104</v>
      </c>
      <c r="C3866" s="5">
        <f t="shared" si="1785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  <c r="V3866">
        <f t="shared" si="1775"/>
        <v>14</v>
      </c>
      <c r="W3866">
        <f t="shared" si="1771"/>
        <v>2</v>
      </c>
      <c r="X3866">
        <f t="shared" si="1772"/>
        <v>2009</v>
      </c>
    </row>
    <row r="3867" spans="1:24" ht="12" customHeight="1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  <c r="V3867">
        <f t="shared" si="1775"/>
        <v>29</v>
      </c>
      <c r="W3867">
        <f t="shared" si="1771"/>
        <v>12</v>
      </c>
      <c r="X3867">
        <f t="shared" si="1772"/>
        <v>2009</v>
      </c>
    </row>
    <row r="3868" spans="1:24" ht="12" customHeight="1">
      <c r="A3868" s="4">
        <v>66</v>
      </c>
      <c r="B3868" s="4">
        <v>386</v>
      </c>
      <c r="C3868" s="5">
        <f t="shared" ref="C3868:C3869" si="1787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788">C3868+2</f>
        <v>40569</v>
      </c>
      <c r="V3868">
        <f t="shared" si="1775"/>
        <v>26</v>
      </c>
      <c r="W3868">
        <f t="shared" si="1771"/>
        <v>1</v>
      </c>
      <c r="X3868">
        <f t="shared" si="1772"/>
        <v>2011</v>
      </c>
    </row>
    <row r="3869" spans="1:24" ht="12" customHeight="1">
      <c r="A3869" s="4">
        <v>67</v>
      </c>
      <c r="B3869" s="4">
        <v>386</v>
      </c>
      <c r="C3869" s="5">
        <f t="shared" si="1787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788"/>
        <v>40569</v>
      </c>
      <c r="V3869">
        <f t="shared" si="1775"/>
        <v>26</v>
      </c>
      <c r="W3869">
        <f t="shared" si="1771"/>
        <v>1</v>
      </c>
      <c r="X3869">
        <f t="shared" si="1772"/>
        <v>2011</v>
      </c>
    </row>
    <row r="3870" spans="1:24" ht="12" customHeight="1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  <c r="V3870">
        <f t="shared" si="1775"/>
        <v>1</v>
      </c>
      <c r="W3870">
        <f t="shared" si="1771"/>
        <v>10</v>
      </c>
      <c r="X3870">
        <f t="shared" si="1772"/>
        <v>2010</v>
      </c>
    </row>
    <row r="3871" spans="1:24" ht="12" customHeight="1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  <c r="V3871">
        <f t="shared" si="1775"/>
        <v>30</v>
      </c>
      <c r="W3871">
        <f t="shared" si="1771"/>
        <v>4</v>
      </c>
      <c r="X3871">
        <f t="shared" si="1772"/>
        <v>2011</v>
      </c>
    </row>
    <row r="3872" spans="1:24" ht="12" customHeight="1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789">C3872+2</f>
        <v>40206</v>
      </c>
      <c r="V3872">
        <f t="shared" si="1775"/>
        <v>28</v>
      </c>
      <c r="W3872">
        <f t="shared" si="1771"/>
        <v>1</v>
      </c>
      <c r="X3872">
        <f t="shared" si="1772"/>
        <v>2010</v>
      </c>
    </row>
    <row r="3873" spans="1:24" ht="12" customHeight="1">
      <c r="A3873" s="4">
        <v>124</v>
      </c>
      <c r="B3873" s="4">
        <v>802</v>
      </c>
      <c r="C3873" s="5">
        <f t="shared" ref="C3873:C3874" si="1790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789"/>
        <v>40549</v>
      </c>
      <c r="V3873">
        <f t="shared" si="1775"/>
        <v>6</v>
      </c>
      <c r="W3873">
        <f t="shared" si="1771"/>
        <v>1</v>
      </c>
      <c r="X3873">
        <f t="shared" si="1772"/>
        <v>2011</v>
      </c>
    </row>
    <row r="3874" spans="1:24" ht="12" customHeight="1">
      <c r="A3874" s="4">
        <v>125</v>
      </c>
      <c r="B3874" s="4">
        <v>802</v>
      </c>
      <c r="C3874" s="5">
        <f t="shared" si="1790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  <c r="V3874">
        <f t="shared" si="1775"/>
        <v>4</v>
      </c>
      <c r="W3874">
        <f t="shared" si="1771"/>
        <v>1</v>
      </c>
      <c r="X3874">
        <f t="shared" si="1772"/>
        <v>2011</v>
      </c>
    </row>
    <row r="3875" spans="1:24" ht="12" customHeight="1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  <c r="V3875">
        <f t="shared" si="1775"/>
        <v>21</v>
      </c>
      <c r="W3875">
        <f t="shared" si="1771"/>
        <v>9</v>
      </c>
      <c r="X3875">
        <f t="shared" si="1772"/>
        <v>2009</v>
      </c>
    </row>
    <row r="3876" spans="1:24" ht="12" customHeight="1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  <c r="V3876">
        <f t="shared" si="1775"/>
        <v>21</v>
      </c>
      <c r="W3876">
        <f t="shared" si="1771"/>
        <v>5</v>
      </c>
      <c r="X3876">
        <f t="shared" si="1772"/>
        <v>2011</v>
      </c>
    </row>
    <row r="3877" spans="1:24" ht="12" customHeight="1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  <c r="V3877">
        <f t="shared" si="1775"/>
        <v>19</v>
      </c>
      <c r="W3877">
        <f t="shared" si="1771"/>
        <v>9</v>
      </c>
      <c r="X3877">
        <f t="shared" si="1772"/>
        <v>2011</v>
      </c>
    </row>
    <row r="3878" spans="1:24" ht="12" customHeight="1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791">C3878+2</f>
        <v>40466</v>
      </c>
      <c r="V3878">
        <f t="shared" si="1775"/>
        <v>15</v>
      </c>
      <c r="W3878">
        <f t="shared" si="1771"/>
        <v>10</v>
      </c>
      <c r="X3878">
        <f t="shared" si="1772"/>
        <v>2010</v>
      </c>
    </row>
    <row r="3879" spans="1:24" ht="12" customHeight="1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791"/>
        <v>39942</v>
      </c>
      <c r="V3879">
        <f t="shared" si="1775"/>
        <v>9</v>
      </c>
      <c r="W3879">
        <f t="shared" si="1771"/>
        <v>5</v>
      </c>
      <c r="X3879">
        <f t="shared" si="1772"/>
        <v>2009</v>
      </c>
    </row>
    <row r="3880" spans="1:24" ht="12" customHeight="1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792">C3880+0</f>
        <v>39887</v>
      </c>
      <c r="V3880">
        <f t="shared" si="1775"/>
        <v>15</v>
      </c>
      <c r="W3880">
        <f t="shared" si="1771"/>
        <v>3</v>
      </c>
      <c r="X3880">
        <f t="shared" si="1772"/>
        <v>2009</v>
      </c>
    </row>
    <row r="3881" spans="1:24" ht="12" customHeight="1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792"/>
        <v>40511</v>
      </c>
      <c r="V3881">
        <f t="shared" si="1775"/>
        <v>29</v>
      </c>
      <c r="W3881">
        <f t="shared" si="1771"/>
        <v>11</v>
      </c>
      <c r="X3881">
        <f t="shared" si="1772"/>
        <v>2010</v>
      </c>
    </row>
    <row r="3882" spans="1:24" ht="12" customHeight="1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  <c r="V3882">
        <f t="shared" si="1775"/>
        <v>15</v>
      </c>
      <c r="W3882">
        <f t="shared" si="1771"/>
        <v>1</v>
      </c>
      <c r="X3882">
        <f t="shared" si="1772"/>
        <v>2010</v>
      </c>
    </row>
    <row r="3883" spans="1:24" ht="12" customHeight="1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  <c r="V3883">
        <f t="shared" si="1775"/>
        <v>21</v>
      </c>
      <c r="W3883">
        <f t="shared" si="1771"/>
        <v>8</v>
      </c>
      <c r="X3883">
        <f t="shared" si="1772"/>
        <v>2010</v>
      </c>
    </row>
    <row r="3884" spans="1:24" ht="12" customHeight="1">
      <c r="A3884" s="4">
        <v>365</v>
      </c>
      <c r="B3884" s="4">
        <v>2560</v>
      </c>
      <c r="C3884" s="5">
        <f t="shared" ref="C3884:C3885" si="1793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  <c r="V3884">
        <f t="shared" si="1775"/>
        <v>5</v>
      </c>
      <c r="W3884">
        <f t="shared" si="1771"/>
        <v>9</v>
      </c>
      <c r="X3884">
        <f t="shared" si="1772"/>
        <v>2012</v>
      </c>
    </row>
    <row r="3885" spans="1:24" ht="12" customHeight="1">
      <c r="A3885" s="4">
        <v>366</v>
      </c>
      <c r="B3885" s="4">
        <v>2560</v>
      </c>
      <c r="C3885" s="5">
        <f t="shared" si="1793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794">C3885+2</f>
        <v>41158</v>
      </c>
      <c r="V3885">
        <f t="shared" si="1775"/>
        <v>6</v>
      </c>
      <c r="W3885">
        <f t="shared" si="1771"/>
        <v>9</v>
      </c>
      <c r="X3885">
        <f t="shared" si="1772"/>
        <v>2012</v>
      </c>
    </row>
    <row r="3886" spans="1:24" ht="12" customHeight="1">
      <c r="A3886" s="4">
        <v>400</v>
      </c>
      <c r="B3886" s="4">
        <v>2754</v>
      </c>
      <c r="C3886" s="5">
        <f t="shared" ref="C3886:C3887" si="1795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794"/>
        <v>39907</v>
      </c>
      <c r="V3886">
        <f t="shared" si="1775"/>
        <v>4</v>
      </c>
      <c r="W3886">
        <f t="shared" si="1771"/>
        <v>4</v>
      </c>
      <c r="X3886">
        <f t="shared" si="1772"/>
        <v>2009</v>
      </c>
    </row>
    <row r="3887" spans="1:24" ht="12" customHeight="1">
      <c r="A3887" s="4">
        <v>401</v>
      </c>
      <c r="B3887" s="4">
        <v>2754</v>
      </c>
      <c r="C3887" s="5">
        <f t="shared" si="1795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794"/>
        <v>39907</v>
      </c>
      <c r="V3887">
        <f t="shared" si="1775"/>
        <v>4</v>
      </c>
      <c r="W3887">
        <f t="shared" si="1771"/>
        <v>4</v>
      </c>
      <c r="X3887">
        <f t="shared" si="1772"/>
        <v>2009</v>
      </c>
    </row>
    <row r="3888" spans="1:24" ht="12" customHeight="1">
      <c r="A3888" s="4">
        <v>402</v>
      </c>
      <c r="B3888" s="4">
        <v>2755</v>
      </c>
      <c r="C3888" s="5">
        <f t="shared" ref="C3888:C3889" si="1796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797">C3888+0</f>
        <v>40945</v>
      </c>
      <c r="V3888">
        <f t="shared" si="1775"/>
        <v>6</v>
      </c>
      <c r="W3888">
        <f t="shared" si="1771"/>
        <v>2</v>
      </c>
      <c r="X3888">
        <f t="shared" si="1772"/>
        <v>2012</v>
      </c>
    </row>
    <row r="3889" spans="1:24" ht="12" customHeight="1">
      <c r="A3889" s="4">
        <v>403</v>
      </c>
      <c r="B3889" s="4">
        <v>2755</v>
      </c>
      <c r="C3889" s="5">
        <f t="shared" si="1796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797"/>
        <v>40945</v>
      </c>
      <c r="V3889">
        <f t="shared" si="1775"/>
        <v>6</v>
      </c>
      <c r="W3889">
        <f t="shared" si="1771"/>
        <v>2</v>
      </c>
      <c r="X3889">
        <f t="shared" si="1772"/>
        <v>2012</v>
      </c>
    </row>
    <row r="3890" spans="1:24" ht="12" customHeight="1">
      <c r="A3890" s="4">
        <v>481</v>
      </c>
      <c r="B3890" s="4">
        <v>3333</v>
      </c>
      <c r="C3890" s="5">
        <f t="shared" ref="C3890:C3891" si="1798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  <c r="V3890">
        <f t="shared" si="1775"/>
        <v>17</v>
      </c>
      <c r="W3890">
        <f t="shared" si="1771"/>
        <v>9</v>
      </c>
      <c r="X3890">
        <f t="shared" si="1772"/>
        <v>2012</v>
      </c>
    </row>
    <row r="3891" spans="1:24" ht="12" customHeight="1">
      <c r="A3891" s="4">
        <v>482</v>
      </c>
      <c r="B3891" s="4">
        <v>3333</v>
      </c>
      <c r="C3891" s="5">
        <f t="shared" si="1798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  <c r="V3891">
        <f t="shared" si="1775"/>
        <v>15</v>
      </c>
      <c r="W3891">
        <f t="shared" si="1771"/>
        <v>9</v>
      </c>
      <c r="X3891">
        <f t="shared" si="1772"/>
        <v>2012</v>
      </c>
    </row>
    <row r="3892" spans="1:24" ht="12" customHeight="1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799">C3892+2</f>
        <v>40820</v>
      </c>
      <c r="V3892">
        <f t="shared" si="1775"/>
        <v>4</v>
      </c>
      <c r="W3892">
        <f t="shared" si="1771"/>
        <v>10</v>
      </c>
      <c r="X3892">
        <f t="shared" si="1772"/>
        <v>2011</v>
      </c>
    </row>
    <row r="3893" spans="1:24" ht="12" customHeight="1">
      <c r="A3893" s="4">
        <v>530</v>
      </c>
      <c r="B3893" s="4">
        <v>3591</v>
      </c>
      <c r="C3893" s="5">
        <f t="shared" ref="C3893:C3894" si="1800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799"/>
        <v>40521</v>
      </c>
      <c r="V3893">
        <f t="shared" si="1775"/>
        <v>9</v>
      </c>
      <c r="W3893">
        <f t="shared" si="1771"/>
        <v>12</v>
      </c>
      <c r="X3893">
        <f t="shared" si="1772"/>
        <v>2010</v>
      </c>
    </row>
    <row r="3894" spans="1:24" ht="12" customHeight="1">
      <c r="A3894" s="4">
        <v>531</v>
      </c>
      <c r="B3894" s="4">
        <v>3591</v>
      </c>
      <c r="C3894" s="5">
        <f t="shared" si="1800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801">C3894+1</f>
        <v>40520</v>
      </c>
      <c r="V3894">
        <f t="shared" si="1775"/>
        <v>8</v>
      </c>
      <c r="W3894">
        <f t="shared" si="1771"/>
        <v>12</v>
      </c>
      <c r="X3894">
        <f t="shared" si="1772"/>
        <v>2010</v>
      </c>
    </row>
    <row r="3895" spans="1:24" ht="12" customHeight="1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801"/>
        <v>40547</v>
      </c>
      <c r="V3895">
        <f t="shared" si="1775"/>
        <v>4</v>
      </c>
      <c r="W3895">
        <f t="shared" si="1771"/>
        <v>1</v>
      </c>
      <c r="X3895">
        <f t="shared" si="1772"/>
        <v>2011</v>
      </c>
    </row>
    <row r="3896" spans="1:24" ht="12" customHeight="1">
      <c r="A3896" s="4">
        <v>611</v>
      </c>
      <c r="B3896" s="4">
        <v>4193</v>
      </c>
      <c r="C3896" s="5">
        <f t="shared" ref="C3896:C3897" si="1802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803">C3896+0</f>
        <v>39821</v>
      </c>
      <c r="V3896">
        <f t="shared" si="1775"/>
        <v>8</v>
      </c>
      <c r="W3896">
        <f t="shared" si="1771"/>
        <v>1</v>
      </c>
      <c r="X3896">
        <f t="shared" si="1772"/>
        <v>2009</v>
      </c>
    </row>
    <row r="3897" spans="1:24" ht="12" customHeight="1">
      <c r="A3897" s="4">
        <v>612</v>
      </c>
      <c r="B3897" s="4">
        <v>4193</v>
      </c>
      <c r="C3897" s="5">
        <f t="shared" si="1802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803"/>
        <v>39821</v>
      </c>
      <c r="V3897">
        <f t="shared" si="1775"/>
        <v>8</v>
      </c>
      <c r="W3897">
        <f t="shared" si="1771"/>
        <v>1</v>
      </c>
      <c r="X3897">
        <f t="shared" si="1772"/>
        <v>2009</v>
      </c>
    </row>
    <row r="3898" spans="1:24" ht="12" customHeight="1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  <c r="V3898">
        <f t="shared" si="1775"/>
        <v>23</v>
      </c>
      <c r="W3898">
        <f t="shared" si="1771"/>
        <v>10</v>
      </c>
      <c r="X3898">
        <f t="shared" si="1772"/>
        <v>2011</v>
      </c>
    </row>
    <row r="3899" spans="1:24" ht="12" customHeight="1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  <c r="V3899">
        <f t="shared" si="1775"/>
        <v>29</v>
      </c>
      <c r="W3899">
        <f t="shared" si="1771"/>
        <v>10</v>
      </c>
      <c r="X3899">
        <f t="shared" si="1772"/>
        <v>2011</v>
      </c>
    </row>
    <row r="3900" spans="1:24" ht="12" customHeight="1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  <c r="V3900">
        <f t="shared" si="1775"/>
        <v>24</v>
      </c>
      <c r="W3900">
        <f t="shared" si="1771"/>
        <v>12</v>
      </c>
      <c r="X3900">
        <f t="shared" si="1772"/>
        <v>2011</v>
      </c>
    </row>
    <row r="3901" spans="1:24" ht="12" customHeight="1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  <c r="V3901">
        <f t="shared" si="1775"/>
        <v>9</v>
      </c>
      <c r="W3901">
        <f t="shared" si="1771"/>
        <v>5</v>
      </c>
      <c r="X3901">
        <f t="shared" si="1772"/>
        <v>2009</v>
      </c>
    </row>
    <row r="3902" spans="1:24" ht="12" customHeight="1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  <c r="V3902">
        <f t="shared" si="1775"/>
        <v>27</v>
      </c>
      <c r="W3902">
        <f t="shared" si="1771"/>
        <v>5</v>
      </c>
      <c r="X3902">
        <f t="shared" si="1772"/>
        <v>2010</v>
      </c>
    </row>
    <row r="3903" spans="1:24" ht="12" customHeight="1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804">C3903+2</f>
        <v>40587</v>
      </c>
      <c r="V3903">
        <f t="shared" si="1775"/>
        <v>13</v>
      </c>
      <c r="W3903">
        <f t="shared" si="1771"/>
        <v>2</v>
      </c>
      <c r="X3903">
        <f t="shared" si="1772"/>
        <v>2011</v>
      </c>
    </row>
    <row r="3904" spans="1:24" ht="12" customHeight="1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804"/>
        <v>40768</v>
      </c>
      <c r="V3904">
        <f t="shared" si="1775"/>
        <v>13</v>
      </c>
      <c r="W3904">
        <f t="shared" si="1771"/>
        <v>8</v>
      </c>
      <c r="X3904">
        <f t="shared" si="1772"/>
        <v>2011</v>
      </c>
    </row>
    <row r="3905" spans="1:24" ht="12" customHeight="1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  <c r="V3905">
        <f t="shared" si="1775"/>
        <v>9</v>
      </c>
      <c r="W3905">
        <f t="shared" si="1771"/>
        <v>10</v>
      </c>
      <c r="X3905">
        <f t="shared" si="1772"/>
        <v>2010</v>
      </c>
    </row>
    <row r="3906" spans="1:24" ht="12" customHeight="1">
      <c r="A3906" s="4">
        <v>1048</v>
      </c>
      <c r="B3906" s="4">
        <v>7744</v>
      </c>
      <c r="C3906" s="5">
        <f t="shared" ref="C3906:C3907" si="1805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  <c r="V3906">
        <f t="shared" si="1775"/>
        <v>17</v>
      </c>
      <c r="W3906">
        <f t="shared" si="1771"/>
        <v>11</v>
      </c>
      <c r="X3906">
        <f t="shared" si="1772"/>
        <v>2009</v>
      </c>
    </row>
    <row r="3907" spans="1:24" ht="12" customHeight="1">
      <c r="A3907" s="4">
        <v>1049</v>
      </c>
      <c r="B3907" s="4">
        <v>7744</v>
      </c>
      <c r="C3907" s="5">
        <f t="shared" si="1805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  <c r="V3907">
        <f t="shared" si="1775"/>
        <v>26</v>
      </c>
      <c r="W3907">
        <f t="shared" ref="W3907:W3970" si="1806">MONTH(U3907)</f>
        <v>11</v>
      </c>
      <c r="X3907">
        <f t="shared" ref="X3907:X3970" si="1807">YEAR(U3907)</f>
        <v>2009</v>
      </c>
    </row>
    <row r="3908" spans="1:24" ht="12" customHeight="1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808">C3908+2</f>
        <v>40699</v>
      </c>
      <c r="V3908">
        <f t="shared" ref="V3908:V3971" si="1809">DAY(U3908)</f>
        <v>5</v>
      </c>
      <c r="W3908">
        <f t="shared" si="1806"/>
        <v>6</v>
      </c>
      <c r="X3908">
        <f t="shared" si="1807"/>
        <v>2011</v>
      </c>
    </row>
    <row r="3909" spans="1:24" ht="12" customHeight="1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808"/>
        <v>40948</v>
      </c>
      <c r="V3909">
        <f t="shared" si="1809"/>
        <v>9</v>
      </c>
      <c r="W3909">
        <f t="shared" si="1806"/>
        <v>2</v>
      </c>
      <c r="X3909">
        <f t="shared" si="1807"/>
        <v>2012</v>
      </c>
    </row>
    <row r="3910" spans="1:24" ht="12" customHeight="1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  <c r="V3910">
        <f t="shared" si="1809"/>
        <v>7</v>
      </c>
      <c r="W3910">
        <f t="shared" si="1806"/>
        <v>9</v>
      </c>
      <c r="X3910">
        <f t="shared" si="1807"/>
        <v>2011</v>
      </c>
    </row>
    <row r="3911" spans="1:24" ht="12" customHeight="1">
      <c r="A3911" s="4">
        <v>1163</v>
      </c>
      <c r="B3911" s="4">
        <v>8480</v>
      </c>
      <c r="C3911" s="5">
        <f t="shared" ref="C3911:C3912" si="1810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811">C3911+2</f>
        <v>40574</v>
      </c>
      <c r="V3911">
        <f t="shared" si="1809"/>
        <v>31</v>
      </c>
      <c r="W3911">
        <f t="shared" si="1806"/>
        <v>1</v>
      </c>
      <c r="X3911">
        <f t="shared" si="1807"/>
        <v>2011</v>
      </c>
    </row>
    <row r="3912" spans="1:24" ht="12" customHeight="1">
      <c r="A3912" s="4">
        <v>1164</v>
      </c>
      <c r="B3912" s="4">
        <v>8480</v>
      </c>
      <c r="C3912" s="5">
        <f t="shared" si="1810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811"/>
        <v>40574</v>
      </c>
      <c r="V3912">
        <f t="shared" si="1809"/>
        <v>31</v>
      </c>
      <c r="W3912">
        <f t="shared" si="1806"/>
        <v>1</v>
      </c>
      <c r="X3912">
        <f t="shared" si="1807"/>
        <v>2011</v>
      </c>
    </row>
    <row r="3913" spans="1:24" ht="12" customHeight="1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811"/>
        <v>40246</v>
      </c>
      <c r="V3913">
        <f t="shared" si="1809"/>
        <v>9</v>
      </c>
      <c r="W3913">
        <f t="shared" si="1806"/>
        <v>3</v>
      </c>
      <c r="X3913">
        <f t="shared" si="1807"/>
        <v>2010</v>
      </c>
    </row>
    <row r="3914" spans="1:24" ht="12" customHeight="1">
      <c r="A3914" s="4">
        <v>1331</v>
      </c>
      <c r="B3914" s="4">
        <v>9701</v>
      </c>
      <c r="C3914" s="5">
        <f t="shared" ref="C3914:C3915" si="1812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  <c r="V3914">
        <f t="shared" si="1809"/>
        <v>4</v>
      </c>
      <c r="W3914">
        <f t="shared" si="1806"/>
        <v>3</v>
      </c>
      <c r="X3914">
        <f t="shared" si="1807"/>
        <v>2010</v>
      </c>
    </row>
    <row r="3915" spans="1:24" ht="12" customHeight="1">
      <c r="A3915" s="4">
        <v>1332</v>
      </c>
      <c r="B3915" s="4">
        <v>9701</v>
      </c>
      <c r="C3915" s="5">
        <f t="shared" si="1812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  <c r="V3915">
        <f t="shared" si="1809"/>
        <v>3</v>
      </c>
      <c r="W3915">
        <f t="shared" si="1806"/>
        <v>3</v>
      </c>
      <c r="X3915">
        <f t="shared" si="1807"/>
        <v>2010</v>
      </c>
    </row>
    <row r="3916" spans="1:24" ht="12" customHeight="1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813">C3916+2</f>
        <v>40099</v>
      </c>
      <c r="V3916">
        <f t="shared" si="1809"/>
        <v>13</v>
      </c>
      <c r="W3916">
        <f t="shared" si="1806"/>
        <v>10</v>
      </c>
      <c r="X3916">
        <f t="shared" si="1807"/>
        <v>2009</v>
      </c>
    </row>
    <row r="3917" spans="1:24" ht="12" customHeight="1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813"/>
        <v>40356</v>
      </c>
      <c r="V3917">
        <f t="shared" si="1809"/>
        <v>27</v>
      </c>
      <c r="W3917">
        <f t="shared" si="1806"/>
        <v>6</v>
      </c>
      <c r="X3917">
        <f t="shared" si="1807"/>
        <v>2010</v>
      </c>
    </row>
    <row r="3918" spans="1:24" ht="12" customHeight="1">
      <c r="A3918" s="4">
        <v>1452</v>
      </c>
      <c r="B3918" s="4">
        <v>10470</v>
      </c>
      <c r="C3918" s="5">
        <f t="shared" ref="C3918:C3920" si="1814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813"/>
        <v>41035</v>
      </c>
      <c r="V3918">
        <f t="shared" si="1809"/>
        <v>6</v>
      </c>
      <c r="W3918">
        <f t="shared" si="1806"/>
        <v>5</v>
      </c>
      <c r="X3918">
        <f t="shared" si="1807"/>
        <v>2012</v>
      </c>
    </row>
    <row r="3919" spans="1:24" ht="12" customHeight="1">
      <c r="A3919" s="4">
        <v>1453</v>
      </c>
      <c r="B3919" s="4">
        <v>10470</v>
      </c>
      <c r="C3919" s="5">
        <f t="shared" si="1814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  <c r="V3919">
        <f t="shared" si="1809"/>
        <v>11</v>
      </c>
      <c r="W3919">
        <f t="shared" si="1806"/>
        <v>5</v>
      </c>
      <c r="X3919">
        <f t="shared" si="1807"/>
        <v>2012</v>
      </c>
    </row>
    <row r="3920" spans="1:24" ht="12" customHeight="1">
      <c r="A3920" s="4">
        <v>1454</v>
      </c>
      <c r="B3920" s="4">
        <v>10470</v>
      </c>
      <c r="C3920" s="5">
        <f t="shared" si="1814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815">C3920+2</f>
        <v>41035</v>
      </c>
      <c r="V3920">
        <f t="shared" si="1809"/>
        <v>6</v>
      </c>
      <c r="W3920">
        <f t="shared" si="1806"/>
        <v>5</v>
      </c>
      <c r="X3920">
        <f t="shared" si="1807"/>
        <v>2012</v>
      </c>
    </row>
    <row r="3921" spans="1:24" ht="12" customHeight="1">
      <c r="A3921" s="4">
        <v>1542</v>
      </c>
      <c r="B3921" s="4">
        <v>11111</v>
      </c>
      <c r="C3921" s="5">
        <f t="shared" ref="C3921:C3922" si="1816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815"/>
        <v>40562</v>
      </c>
      <c r="V3921">
        <f t="shared" si="1809"/>
        <v>19</v>
      </c>
      <c r="W3921">
        <f t="shared" si="1806"/>
        <v>1</v>
      </c>
      <c r="X3921">
        <f t="shared" si="1807"/>
        <v>2011</v>
      </c>
    </row>
    <row r="3922" spans="1:24" ht="12" customHeight="1">
      <c r="A3922" s="4">
        <v>1543</v>
      </c>
      <c r="B3922" s="4">
        <v>11111</v>
      </c>
      <c r="C3922" s="5">
        <f t="shared" si="1816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815"/>
        <v>40562</v>
      </c>
      <c r="V3922">
        <f t="shared" si="1809"/>
        <v>19</v>
      </c>
      <c r="W3922">
        <f t="shared" si="1806"/>
        <v>1</v>
      </c>
      <c r="X3922">
        <f t="shared" si="1807"/>
        <v>2011</v>
      </c>
    </row>
    <row r="3923" spans="1:24" ht="12" customHeight="1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815"/>
        <v>41000</v>
      </c>
      <c r="V3923">
        <f t="shared" si="1809"/>
        <v>1</v>
      </c>
      <c r="W3923">
        <f t="shared" si="1806"/>
        <v>4</v>
      </c>
      <c r="X3923">
        <f t="shared" si="1807"/>
        <v>2012</v>
      </c>
    </row>
    <row r="3924" spans="1:24" ht="12" customHeight="1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815"/>
        <v>40950</v>
      </c>
      <c r="V3924">
        <f t="shared" si="1809"/>
        <v>11</v>
      </c>
      <c r="W3924">
        <f t="shared" si="1806"/>
        <v>2</v>
      </c>
      <c r="X3924">
        <f t="shared" si="1807"/>
        <v>2012</v>
      </c>
    </row>
    <row r="3925" spans="1:24" ht="12" customHeight="1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817">C3925+1</f>
        <v>41112</v>
      </c>
      <c r="V3925">
        <f t="shared" si="1809"/>
        <v>22</v>
      </c>
      <c r="W3925">
        <f t="shared" si="1806"/>
        <v>7</v>
      </c>
      <c r="X3925">
        <f t="shared" si="1807"/>
        <v>2012</v>
      </c>
    </row>
    <row r="3926" spans="1:24" ht="12" customHeight="1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817"/>
        <v>41122</v>
      </c>
      <c r="V3926">
        <f t="shared" si="1809"/>
        <v>1</v>
      </c>
      <c r="W3926">
        <f t="shared" si="1806"/>
        <v>8</v>
      </c>
      <c r="X3926">
        <f t="shared" si="1807"/>
        <v>2012</v>
      </c>
    </row>
    <row r="3927" spans="1:24" ht="12" customHeight="1">
      <c r="A3927" s="4">
        <v>1642</v>
      </c>
      <c r="B3927" s="4">
        <v>11874</v>
      </c>
      <c r="C3927" s="5">
        <f t="shared" ref="C3927:C3928" si="1818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  <c r="V3927">
        <f t="shared" si="1809"/>
        <v>11</v>
      </c>
      <c r="W3927">
        <f t="shared" si="1806"/>
        <v>9</v>
      </c>
      <c r="X3927">
        <f t="shared" si="1807"/>
        <v>2012</v>
      </c>
    </row>
    <row r="3928" spans="1:24" ht="12" customHeight="1">
      <c r="A3928" s="4">
        <v>1643</v>
      </c>
      <c r="B3928" s="4">
        <v>11874</v>
      </c>
      <c r="C3928" s="5">
        <f t="shared" si="1818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  <c r="V3928">
        <f t="shared" si="1809"/>
        <v>9</v>
      </c>
      <c r="W3928">
        <f t="shared" si="1806"/>
        <v>9</v>
      </c>
      <c r="X3928">
        <f t="shared" si="1807"/>
        <v>2012</v>
      </c>
    </row>
    <row r="3929" spans="1:24" ht="12" customHeight="1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  <c r="V3929">
        <f t="shared" si="1809"/>
        <v>13</v>
      </c>
      <c r="W3929">
        <f t="shared" si="1806"/>
        <v>5</v>
      </c>
      <c r="X3929">
        <f t="shared" si="1807"/>
        <v>2011</v>
      </c>
    </row>
    <row r="3930" spans="1:24" ht="12" customHeight="1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  <c r="V3930">
        <f t="shared" si="1809"/>
        <v>8</v>
      </c>
      <c r="W3930">
        <f t="shared" si="1806"/>
        <v>7</v>
      </c>
      <c r="X3930">
        <f t="shared" si="1807"/>
        <v>2009</v>
      </c>
    </row>
    <row r="3931" spans="1:24" ht="12" customHeight="1">
      <c r="A3931" s="4">
        <v>1749</v>
      </c>
      <c r="B3931" s="4">
        <v>12516</v>
      </c>
      <c r="C3931" s="5">
        <f t="shared" ref="C3931:C3932" si="1819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  <c r="V3931">
        <f t="shared" si="1809"/>
        <v>29</v>
      </c>
      <c r="W3931">
        <f t="shared" si="1806"/>
        <v>5</v>
      </c>
      <c r="X3931">
        <f t="shared" si="1807"/>
        <v>2009</v>
      </c>
    </row>
    <row r="3932" spans="1:24" ht="12" customHeight="1">
      <c r="A3932" s="4">
        <v>1750</v>
      </c>
      <c r="B3932" s="4">
        <v>12516</v>
      </c>
      <c r="C3932" s="5">
        <f t="shared" si="1819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  <c r="V3932">
        <f t="shared" si="1809"/>
        <v>28</v>
      </c>
      <c r="W3932">
        <f t="shared" si="1806"/>
        <v>5</v>
      </c>
      <c r="X3932">
        <f t="shared" si="1807"/>
        <v>2009</v>
      </c>
    </row>
    <row r="3933" spans="1:24" ht="12" customHeight="1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  <c r="V3933">
        <f t="shared" si="1809"/>
        <v>24</v>
      </c>
      <c r="W3933">
        <f t="shared" si="1806"/>
        <v>4</v>
      </c>
      <c r="X3933">
        <f t="shared" si="1807"/>
        <v>2010</v>
      </c>
    </row>
    <row r="3934" spans="1:24" ht="12" customHeight="1">
      <c r="A3934" s="4">
        <v>1828</v>
      </c>
      <c r="B3934" s="4">
        <v>13121</v>
      </c>
      <c r="C3934" s="5">
        <f t="shared" ref="C3934:C3935" si="1820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  <c r="V3934">
        <f t="shared" si="1809"/>
        <v>8</v>
      </c>
      <c r="W3934">
        <f t="shared" si="1806"/>
        <v>3</v>
      </c>
      <c r="X3934">
        <f t="shared" si="1807"/>
        <v>2010</v>
      </c>
    </row>
    <row r="3935" spans="1:24" ht="12" customHeight="1">
      <c r="A3935" s="4">
        <v>1829</v>
      </c>
      <c r="B3935" s="4">
        <v>13121</v>
      </c>
      <c r="C3935" s="5">
        <f t="shared" si="1820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  <c r="V3935">
        <f t="shared" si="1809"/>
        <v>10</v>
      </c>
      <c r="W3935">
        <f t="shared" si="1806"/>
        <v>3</v>
      </c>
      <c r="X3935">
        <f t="shared" si="1807"/>
        <v>2010</v>
      </c>
    </row>
    <row r="3936" spans="1:24" ht="12" customHeight="1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  <c r="V3936">
        <f t="shared" si="1809"/>
        <v>8</v>
      </c>
      <c r="W3936">
        <f t="shared" si="1806"/>
        <v>11</v>
      </c>
      <c r="X3936">
        <f t="shared" si="1807"/>
        <v>2010</v>
      </c>
    </row>
    <row r="3937" spans="1:24" ht="12" customHeight="1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821">C3937+2</f>
        <v>40209</v>
      </c>
      <c r="V3937">
        <f t="shared" si="1809"/>
        <v>31</v>
      </c>
      <c r="W3937">
        <f t="shared" si="1806"/>
        <v>1</v>
      </c>
      <c r="X3937">
        <f t="shared" si="1807"/>
        <v>2010</v>
      </c>
    </row>
    <row r="3938" spans="1:24" ht="12" customHeight="1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821"/>
        <v>40188</v>
      </c>
      <c r="V3938">
        <f t="shared" si="1809"/>
        <v>10</v>
      </c>
      <c r="W3938">
        <f t="shared" si="1806"/>
        <v>1</v>
      </c>
      <c r="X3938">
        <f t="shared" si="1807"/>
        <v>2010</v>
      </c>
    </row>
    <row r="3939" spans="1:24" ht="12" customHeight="1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821"/>
        <v>40818</v>
      </c>
      <c r="V3939">
        <f t="shared" si="1809"/>
        <v>2</v>
      </c>
      <c r="W3939">
        <f t="shared" si="1806"/>
        <v>10</v>
      </c>
      <c r="X3939">
        <f t="shared" si="1807"/>
        <v>2011</v>
      </c>
    </row>
    <row r="3940" spans="1:24" ht="12" customHeight="1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  <c r="V3940">
        <f t="shared" si="1809"/>
        <v>21</v>
      </c>
      <c r="W3940">
        <f t="shared" si="1806"/>
        <v>10</v>
      </c>
      <c r="X3940">
        <f t="shared" si="1807"/>
        <v>2009</v>
      </c>
    </row>
    <row r="3941" spans="1:24" ht="12" customHeight="1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  <c r="V3941">
        <f t="shared" si="1809"/>
        <v>18</v>
      </c>
      <c r="W3941">
        <f t="shared" si="1806"/>
        <v>8</v>
      </c>
      <c r="X3941">
        <f t="shared" si="1807"/>
        <v>2011</v>
      </c>
    </row>
    <row r="3942" spans="1:24" ht="12" customHeight="1">
      <c r="A3942" s="4">
        <v>2061</v>
      </c>
      <c r="B3942" s="4">
        <v>14755</v>
      </c>
      <c r="C3942" s="5">
        <f t="shared" ref="C3942:C3943" si="1822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  <c r="V3942">
        <f t="shared" si="1809"/>
        <v>5</v>
      </c>
      <c r="W3942">
        <f t="shared" si="1806"/>
        <v>1</v>
      </c>
      <c r="X3942">
        <f t="shared" si="1807"/>
        <v>2010</v>
      </c>
    </row>
    <row r="3943" spans="1:24" ht="12" customHeight="1">
      <c r="A3943" s="4">
        <v>2062</v>
      </c>
      <c r="B3943" s="4">
        <v>14755</v>
      </c>
      <c r="C3943" s="5">
        <f t="shared" si="1822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  <c r="V3943">
        <f t="shared" si="1809"/>
        <v>7</v>
      </c>
      <c r="W3943">
        <f t="shared" si="1806"/>
        <v>1</v>
      </c>
      <c r="X3943">
        <f t="shared" si="1807"/>
        <v>2010</v>
      </c>
    </row>
    <row r="3944" spans="1:24" ht="12" customHeight="1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  <c r="V3944">
        <f t="shared" si="1809"/>
        <v>2</v>
      </c>
      <c r="W3944">
        <f t="shared" si="1806"/>
        <v>5</v>
      </c>
      <c r="X3944">
        <f t="shared" si="1807"/>
        <v>2010</v>
      </c>
    </row>
    <row r="3945" spans="1:24" ht="12" customHeight="1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  <c r="V3945">
        <f t="shared" si="1809"/>
        <v>10</v>
      </c>
      <c r="W3945">
        <f t="shared" si="1806"/>
        <v>11</v>
      </c>
      <c r="X3945">
        <f t="shared" si="1807"/>
        <v>2010</v>
      </c>
    </row>
    <row r="3946" spans="1:24" ht="12" customHeight="1">
      <c r="A3946" s="4">
        <v>2183</v>
      </c>
      <c r="B3946" s="4">
        <v>15718</v>
      </c>
      <c r="C3946" s="5">
        <f t="shared" ref="C3946:C3947" si="1823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  <c r="V3946">
        <f t="shared" si="1809"/>
        <v>29</v>
      </c>
      <c r="W3946">
        <f t="shared" si="1806"/>
        <v>1</v>
      </c>
      <c r="X3946">
        <f t="shared" si="1807"/>
        <v>2009</v>
      </c>
    </row>
    <row r="3947" spans="1:24" ht="12" customHeight="1">
      <c r="A3947" s="4">
        <v>2184</v>
      </c>
      <c r="B3947" s="4">
        <v>15718</v>
      </c>
      <c r="C3947" s="5">
        <f t="shared" si="1823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  <c r="V3947">
        <f t="shared" si="1809"/>
        <v>30</v>
      </c>
      <c r="W3947">
        <f t="shared" si="1806"/>
        <v>1</v>
      </c>
      <c r="X3947">
        <f t="shared" si="1807"/>
        <v>2009</v>
      </c>
    </row>
    <row r="3948" spans="1:24" ht="12" customHeight="1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  <c r="V3948">
        <f t="shared" si="1809"/>
        <v>22</v>
      </c>
      <c r="W3948">
        <f t="shared" si="1806"/>
        <v>3</v>
      </c>
      <c r="X3948">
        <f t="shared" si="1807"/>
        <v>2010</v>
      </c>
    </row>
    <row r="3949" spans="1:24" ht="12" customHeight="1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824">C3949+0</f>
        <v>41040</v>
      </c>
      <c r="V3949">
        <f t="shared" si="1809"/>
        <v>11</v>
      </c>
      <c r="W3949">
        <f t="shared" si="1806"/>
        <v>5</v>
      </c>
      <c r="X3949">
        <f t="shared" si="1807"/>
        <v>2012</v>
      </c>
    </row>
    <row r="3950" spans="1:24" ht="12" customHeight="1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824"/>
        <v>39891</v>
      </c>
      <c r="V3950">
        <f t="shared" si="1809"/>
        <v>19</v>
      </c>
      <c r="W3950">
        <f t="shared" si="1806"/>
        <v>3</v>
      </c>
      <c r="X3950">
        <f t="shared" si="1807"/>
        <v>2009</v>
      </c>
    </row>
    <row r="3951" spans="1:24" ht="12" customHeight="1">
      <c r="A3951" s="4">
        <v>2344</v>
      </c>
      <c r="B3951" s="4">
        <v>16897</v>
      </c>
      <c r="C3951" s="5">
        <f t="shared" ref="C3951:C3952" si="1825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826">C3951+2</f>
        <v>41077</v>
      </c>
      <c r="V3951">
        <f t="shared" si="1809"/>
        <v>17</v>
      </c>
      <c r="W3951">
        <f t="shared" si="1806"/>
        <v>6</v>
      </c>
      <c r="X3951">
        <f t="shared" si="1807"/>
        <v>2012</v>
      </c>
    </row>
    <row r="3952" spans="1:24" ht="12" customHeight="1">
      <c r="A3952" s="4">
        <v>2345</v>
      </c>
      <c r="B3952" s="4">
        <v>16897</v>
      </c>
      <c r="C3952" s="5">
        <f t="shared" si="1825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826"/>
        <v>41077</v>
      </c>
      <c r="V3952">
        <f t="shared" si="1809"/>
        <v>17</v>
      </c>
      <c r="W3952">
        <f t="shared" si="1806"/>
        <v>6</v>
      </c>
      <c r="X3952">
        <f t="shared" si="1807"/>
        <v>2012</v>
      </c>
    </row>
    <row r="3953" spans="1:24" ht="12" customHeight="1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826"/>
        <v>39834</v>
      </c>
      <c r="V3953">
        <f t="shared" si="1809"/>
        <v>21</v>
      </c>
      <c r="W3953">
        <f t="shared" si="1806"/>
        <v>1</v>
      </c>
      <c r="X3953">
        <f t="shared" si="1807"/>
        <v>2009</v>
      </c>
    </row>
    <row r="3954" spans="1:24" ht="12" customHeight="1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  <c r="V3954">
        <f t="shared" si="1809"/>
        <v>22</v>
      </c>
      <c r="W3954">
        <f t="shared" si="1806"/>
        <v>7</v>
      </c>
      <c r="X3954">
        <f t="shared" si="1807"/>
        <v>2012</v>
      </c>
    </row>
    <row r="3955" spans="1:24" ht="12" customHeight="1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827">C3955+2</f>
        <v>40448</v>
      </c>
      <c r="V3955">
        <f t="shared" si="1809"/>
        <v>27</v>
      </c>
      <c r="W3955">
        <f t="shared" si="1806"/>
        <v>9</v>
      </c>
      <c r="X3955">
        <f t="shared" si="1807"/>
        <v>2010</v>
      </c>
    </row>
    <row r="3956" spans="1:24" ht="12" customHeight="1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827"/>
        <v>40052</v>
      </c>
      <c r="V3956">
        <f t="shared" si="1809"/>
        <v>27</v>
      </c>
      <c r="W3956">
        <f t="shared" si="1806"/>
        <v>8</v>
      </c>
      <c r="X3956">
        <f t="shared" si="1807"/>
        <v>2009</v>
      </c>
    </row>
    <row r="3957" spans="1:24" ht="12" customHeight="1">
      <c r="A3957" s="4">
        <v>2448</v>
      </c>
      <c r="B3957" s="4">
        <v>17797</v>
      </c>
      <c r="C3957" s="5">
        <f t="shared" ref="C3957:C3958" si="1828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827"/>
        <v>41102</v>
      </c>
      <c r="V3957">
        <f t="shared" si="1809"/>
        <v>12</v>
      </c>
      <c r="W3957">
        <f t="shared" si="1806"/>
        <v>7</v>
      </c>
      <c r="X3957">
        <f t="shared" si="1807"/>
        <v>2012</v>
      </c>
    </row>
    <row r="3958" spans="1:24" ht="12" customHeight="1">
      <c r="A3958" s="4">
        <v>2449</v>
      </c>
      <c r="B3958" s="4">
        <v>17797</v>
      </c>
      <c r="C3958" s="5">
        <f t="shared" si="1828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  <c r="V3958">
        <f t="shared" si="1809"/>
        <v>14</v>
      </c>
      <c r="W3958">
        <f t="shared" si="1806"/>
        <v>7</v>
      </c>
      <c r="X3958">
        <f t="shared" si="1807"/>
        <v>2012</v>
      </c>
    </row>
    <row r="3959" spans="1:24" ht="12" customHeight="1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829">C3959+2</f>
        <v>40433</v>
      </c>
      <c r="V3959">
        <f t="shared" si="1809"/>
        <v>12</v>
      </c>
      <c r="W3959">
        <f t="shared" si="1806"/>
        <v>9</v>
      </c>
      <c r="X3959">
        <f t="shared" si="1807"/>
        <v>2010</v>
      </c>
    </row>
    <row r="3960" spans="1:24" ht="12" customHeight="1">
      <c r="A3960" s="4">
        <v>2510</v>
      </c>
      <c r="B3960" s="4">
        <v>18241</v>
      </c>
      <c r="C3960" s="5">
        <f t="shared" ref="C3960:C3961" si="1830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829"/>
        <v>40388</v>
      </c>
      <c r="V3960">
        <f t="shared" si="1809"/>
        <v>29</v>
      </c>
      <c r="W3960">
        <f t="shared" si="1806"/>
        <v>7</v>
      </c>
      <c r="X3960">
        <f t="shared" si="1807"/>
        <v>2010</v>
      </c>
    </row>
    <row r="3961" spans="1:24" ht="12" customHeight="1">
      <c r="A3961" s="4">
        <v>2511</v>
      </c>
      <c r="B3961" s="4">
        <v>18241</v>
      </c>
      <c r="C3961" s="5">
        <f t="shared" si="1830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829"/>
        <v>40388</v>
      </c>
      <c r="V3961">
        <f t="shared" si="1809"/>
        <v>29</v>
      </c>
      <c r="W3961">
        <f t="shared" si="1806"/>
        <v>7</v>
      </c>
      <c r="X3961">
        <f t="shared" si="1807"/>
        <v>2010</v>
      </c>
    </row>
    <row r="3962" spans="1:24" ht="12" customHeight="1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829"/>
        <v>40587</v>
      </c>
      <c r="V3962">
        <f t="shared" si="1809"/>
        <v>13</v>
      </c>
      <c r="W3962">
        <f t="shared" si="1806"/>
        <v>2</v>
      </c>
      <c r="X3962">
        <f t="shared" si="1807"/>
        <v>2011</v>
      </c>
    </row>
    <row r="3963" spans="1:24" ht="12" customHeight="1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829"/>
        <v>40285</v>
      </c>
      <c r="V3963">
        <f t="shared" si="1809"/>
        <v>17</v>
      </c>
      <c r="W3963">
        <f t="shared" si="1806"/>
        <v>4</v>
      </c>
      <c r="X3963">
        <f t="shared" si="1807"/>
        <v>2010</v>
      </c>
    </row>
    <row r="3964" spans="1:24" ht="12" customHeight="1">
      <c r="A3964" s="4">
        <v>2561</v>
      </c>
      <c r="B3964" s="4">
        <v>18528</v>
      </c>
      <c r="C3964" s="5">
        <f t="shared" ref="C3964:C3965" si="1831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  <c r="V3964">
        <f t="shared" si="1809"/>
        <v>1</v>
      </c>
      <c r="W3964">
        <f t="shared" si="1806"/>
        <v>5</v>
      </c>
      <c r="X3964">
        <f t="shared" si="1807"/>
        <v>2011</v>
      </c>
    </row>
    <row r="3965" spans="1:24" ht="12" customHeight="1">
      <c r="A3965" s="4">
        <v>2562</v>
      </c>
      <c r="B3965" s="4">
        <v>18528</v>
      </c>
      <c r="C3965" s="5">
        <f t="shared" si="1831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832">C3965+2</f>
        <v>40665</v>
      </c>
      <c r="V3965">
        <f t="shared" si="1809"/>
        <v>2</v>
      </c>
      <c r="W3965">
        <f t="shared" si="1806"/>
        <v>5</v>
      </c>
      <c r="X3965">
        <f t="shared" si="1807"/>
        <v>2011</v>
      </c>
    </row>
    <row r="3966" spans="1:24" ht="12" customHeight="1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832"/>
        <v>41034</v>
      </c>
      <c r="V3966">
        <f t="shared" si="1809"/>
        <v>5</v>
      </c>
      <c r="W3966">
        <f t="shared" si="1806"/>
        <v>5</v>
      </c>
      <c r="X3966">
        <f t="shared" si="1807"/>
        <v>2012</v>
      </c>
    </row>
    <row r="3967" spans="1:24" ht="12" customHeight="1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833">C3967+1</f>
        <v>39847</v>
      </c>
      <c r="V3967">
        <f t="shared" si="1809"/>
        <v>3</v>
      </c>
      <c r="W3967">
        <f t="shared" si="1806"/>
        <v>2</v>
      </c>
      <c r="X3967">
        <f t="shared" si="1807"/>
        <v>2009</v>
      </c>
    </row>
    <row r="3968" spans="1:24" ht="12" customHeight="1">
      <c r="A3968" s="4">
        <v>2714</v>
      </c>
      <c r="B3968" s="4">
        <v>19616</v>
      </c>
      <c r="C3968" s="5">
        <f t="shared" ref="C3968:C3969" si="1834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833"/>
        <v>40900</v>
      </c>
      <c r="V3968">
        <f t="shared" si="1809"/>
        <v>23</v>
      </c>
      <c r="W3968">
        <f t="shared" si="1806"/>
        <v>12</v>
      </c>
      <c r="X3968">
        <f t="shared" si="1807"/>
        <v>2011</v>
      </c>
    </row>
    <row r="3969" spans="1:24" ht="12" customHeight="1">
      <c r="A3969" s="4">
        <v>2715</v>
      </c>
      <c r="B3969" s="4">
        <v>19616</v>
      </c>
      <c r="C3969" s="5">
        <f t="shared" si="1834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833"/>
        <v>40900</v>
      </c>
      <c r="V3969">
        <f t="shared" si="1809"/>
        <v>23</v>
      </c>
      <c r="W3969">
        <f t="shared" si="1806"/>
        <v>12</v>
      </c>
      <c r="X3969">
        <f t="shared" si="1807"/>
        <v>2011</v>
      </c>
    </row>
    <row r="3970" spans="1:24" ht="12" customHeight="1">
      <c r="A3970" s="4">
        <v>2827</v>
      </c>
      <c r="B3970" s="4">
        <v>20390</v>
      </c>
      <c r="C3970" s="5">
        <f t="shared" ref="C3970:C3971" si="1835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  <c r="V3970">
        <f t="shared" si="1809"/>
        <v>3</v>
      </c>
      <c r="W3970">
        <f t="shared" si="1806"/>
        <v>9</v>
      </c>
      <c r="X3970">
        <f t="shared" si="1807"/>
        <v>2009</v>
      </c>
    </row>
    <row r="3971" spans="1:24" ht="12" customHeight="1">
      <c r="A3971" s="4">
        <v>2828</v>
      </c>
      <c r="B3971" s="4">
        <v>20390</v>
      </c>
      <c r="C3971" s="5">
        <f t="shared" si="1835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836">C3971+2</f>
        <v>40058</v>
      </c>
      <c r="V3971">
        <f t="shared" si="1809"/>
        <v>2</v>
      </c>
      <c r="W3971">
        <f t="shared" ref="W3971:W4034" si="1837">MONTH(U3971)</f>
        <v>9</v>
      </c>
      <c r="X3971">
        <f t="shared" ref="X3971:X4034" si="1838">YEAR(U3971)</f>
        <v>2009</v>
      </c>
    </row>
    <row r="3972" spans="1:24" ht="12" customHeight="1">
      <c r="A3972" s="4">
        <v>2834</v>
      </c>
      <c r="B3972" s="4">
        <v>20451</v>
      </c>
      <c r="C3972" s="5">
        <f t="shared" ref="C3972:C3974" si="1839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836"/>
        <v>41056</v>
      </c>
      <c r="V3972">
        <f t="shared" ref="V3972:V4035" si="1840">DAY(U3972)</f>
        <v>27</v>
      </c>
      <c r="W3972">
        <f t="shared" si="1837"/>
        <v>5</v>
      </c>
      <c r="X3972">
        <f t="shared" si="1838"/>
        <v>2012</v>
      </c>
    </row>
    <row r="3973" spans="1:24" ht="12" customHeight="1">
      <c r="A3973" s="4">
        <v>2835</v>
      </c>
      <c r="B3973" s="4">
        <v>20451</v>
      </c>
      <c r="C3973" s="5">
        <f t="shared" si="1839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836"/>
        <v>41056</v>
      </c>
      <c r="V3973">
        <f t="shared" si="1840"/>
        <v>27</v>
      </c>
      <c r="W3973">
        <f t="shared" si="1837"/>
        <v>5</v>
      </c>
      <c r="X3973">
        <f t="shared" si="1838"/>
        <v>2012</v>
      </c>
    </row>
    <row r="3974" spans="1:24" ht="12" customHeight="1">
      <c r="A3974" s="4">
        <v>2836</v>
      </c>
      <c r="B3974" s="4">
        <v>20451</v>
      </c>
      <c r="C3974" s="5">
        <f t="shared" si="1839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836"/>
        <v>41056</v>
      </c>
      <c r="V3974">
        <f t="shared" si="1840"/>
        <v>27</v>
      </c>
      <c r="W3974">
        <f t="shared" si="1837"/>
        <v>5</v>
      </c>
      <c r="X3974">
        <f t="shared" si="1838"/>
        <v>2012</v>
      </c>
    </row>
    <row r="3975" spans="1:24" ht="12" customHeight="1">
      <c r="A3975" s="4">
        <v>2845</v>
      </c>
      <c r="B3975" s="4">
        <v>20486</v>
      </c>
      <c r="C3975" s="5">
        <f t="shared" ref="C3975:C3976" si="1841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842">C3975+1</f>
        <v>40608</v>
      </c>
      <c r="V3975">
        <f t="shared" si="1840"/>
        <v>6</v>
      </c>
      <c r="W3975">
        <f t="shared" si="1837"/>
        <v>3</v>
      </c>
      <c r="X3975">
        <f t="shared" si="1838"/>
        <v>2011</v>
      </c>
    </row>
    <row r="3976" spans="1:24" ht="12" customHeight="1">
      <c r="A3976" s="4">
        <v>2846</v>
      </c>
      <c r="B3976" s="4">
        <v>20486</v>
      </c>
      <c r="C3976" s="5">
        <f t="shared" si="1841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842"/>
        <v>40608</v>
      </c>
      <c r="V3976">
        <f t="shared" si="1840"/>
        <v>6</v>
      </c>
      <c r="W3976">
        <f t="shared" si="1837"/>
        <v>3</v>
      </c>
      <c r="X3976">
        <f t="shared" si="1838"/>
        <v>2011</v>
      </c>
    </row>
    <row r="3977" spans="1:24" ht="12" customHeight="1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  <c r="V3977">
        <f t="shared" si="1840"/>
        <v>21</v>
      </c>
      <c r="W3977">
        <f t="shared" si="1837"/>
        <v>4</v>
      </c>
      <c r="X3977">
        <f t="shared" si="1838"/>
        <v>2010</v>
      </c>
    </row>
    <row r="3978" spans="1:24" ht="12" customHeight="1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  <c r="V3978">
        <f t="shared" si="1840"/>
        <v>30</v>
      </c>
      <c r="W3978">
        <f t="shared" si="1837"/>
        <v>7</v>
      </c>
      <c r="X3978">
        <f t="shared" si="1838"/>
        <v>2011</v>
      </c>
    </row>
    <row r="3979" spans="1:24" ht="12" customHeight="1">
      <c r="A3979" s="4">
        <v>3001</v>
      </c>
      <c r="B3979" s="4">
        <v>21634</v>
      </c>
      <c r="C3979" s="5">
        <f t="shared" ref="C3979:C3980" si="1843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  <c r="V3979">
        <f t="shared" si="1840"/>
        <v>29</v>
      </c>
      <c r="W3979">
        <f t="shared" si="1837"/>
        <v>10</v>
      </c>
      <c r="X3979">
        <f t="shared" si="1838"/>
        <v>2012</v>
      </c>
    </row>
    <row r="3980" spans="1:24" ht="12" customHeight="1">
      <c r="A3980" s="4">
        <v>3002</v>
      </c>
      <c r="B3980" s="4">
        <v>21634</v>
      </c>
      <c r="C3980" s="5">
        <f t="shared" si="1843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  <c r="V3980">
        <f t="shared" si="1840"/>
        <v>31</v>
      </c>
      <c r="W3980">
        <f t="shared" si="1837"/>
        <v>10</v>
      </c>
      <c r="X3980">
        <f t="shared" si="1838"/>
        <v>2012</v>
      </c>
    </row>
    <row r="3981" spans="1:24" ht="12" customHeight="1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  <c r="V3981">
        <f t="shared" si="1840"/>
        <v>16</v>
      </c>
      <c r="W3981">
        <f t="shared" si="1837"/>
        <v>10</v>
      </c>
      <c r="X3981">
        <f t="shared" si="1838"/>
        <v>2012</v>
      </c>
    </row>
    <row r="3982" spans="1:24" ht="12" customHeight="1">
      <c r="A3982" s="4">
        <v>3020</v>
      </c>
      <c r="B3982" s="4">
        <v>21729</v>
      </c>
      <c r="C3982" s="5">
        <f t="shared" ref="C3982:C3983" si="1844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  <c r="V3982">
        <f t="shared" si="1840"/>
        <v>10</v>
      </c>
      <c r="W3982">
        <f t="shared" si="1837"/>
        <v>12</v>
      </c>
      <c r="X3982">
        <f t="shared" si="1838"/>
        <v>2012</v>
      </c>
    </row>
    <row r="3983" spans="1:24" ht="12" customHeight="1">
      <c r="A3983" s="4">
        <v>3021</v>
      </c>
      <c r="B3983" s="4">
        <v>21729</v>
      </c>
      <c r="C3983" s="5">
        <f t="shared" si="1844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  <c r="V3983">
        <f t="shared" si="1840"/>
        <v>13</v>
      </c>
      <c r="W3983">
        <f t="shared" si="1837"/>
        <v>12</v>
      </c>
      <c r="X3983">
        <f t="shared" si="1838"/>
        <v>2012</v>
      </c>
    </row>
    <row r="3984" spans="1:24" ht="12" customHeight="1">
      <c r="A3984" s="4">
        <v>3032</v>
      </c>
      <c r="B3984" s="4">
        <v>21796</v>
      </c>
      <c r="C3984" s="5">
        <f t="shared" ref="C3984:C3987" si="1845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  <c r="V3984">
        <f t="shared" si="1840"/>
        <v>10</v>
      </c>
      <c r="W3984">
        <f t="shared" si="1837"/>
        <v>5</v>
      </c>
      <c r="X3984">
        <f t="shared" si="1838"/>
        <v>2012</v>
      </c>
    </row>
    <row r="3985" spans="1:24" ht="12" customHeight="1">
      <c r="A3985" s="4">
        <v>3033</v>
      </c>
      <c r="B3985" s="4">
        <v>21796</v>
      </c>
      <c r="C3985" s="5">
        <f t="shared" si="1845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  <c r="V3985">
        <f t="shared" si="1840"/>
        <v>6</v>
      </c>
      <c r="W3985">
        <f t="shared" si="1837"/>
        <v>5</v>
      </c>
      <c r="X3985">
        <f t="shared" si="1838"/>
        <v>2012</v>
      </c>
    </row>
    <row r="3986" spans="1:24" ht="12" customHeight="1">
      <c r="A3986" s="4">
        <v>3034</v>
      </c>
      <c r="B3986" s="4">
        <v>21796</v>
      </c>
      <c r="C3986" s="5">
        <f t="shared" si="1845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  <c r="V3986">
        <f t="shared" si="1840"/>
        <v>13</v>
      </c>
      <c r="W3986">
        <f t="shared" si="1837"/>
        <v>5</v>
      </c>
      <c r="X3986">
        <f t="shared" si="1838"/>
        <v>2012</v>
      </c>
    </row>
    <row r="3987" spans="1:24" ht="12" customHeight="1">
      <c r="A3987" s="4">
        <v>3035</v>
      </c>
      <c r="B3987" s="4">
        <v>21796</v>
      </c>
      <c r="C3987" s="5">
        <f t="shared" si="1845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  <c r="V3987">
        <f t="shared" si="1840"/>
        <v>11</v>
      </c>
      <c r="W3987">
        <f t="shared" si="1837"/>
        <v>5</v>
      </c>
      <c r="X3987">
        <f t="shared" si="1838"/>
        <v>2012</v>
      </c>
    </row>
    <row r="3988" spans="1:24" ht="12" customHeight="1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  <c r="V3988">
        <f t="shared" si="1840"/>
        <v>6</v>
      </c>
      <c r="W3988">
        <f t="shared" si="1837"/>
        <v>6</v>
      </c>
      <c r="X3988">
        <f t="shared" si="1838"/>
        <v>2009</v>
      </c>
    </row>
    <row r="3989" spans="1:24" ht="12" customHeight="1">
      <c r="A3989" s="4">
        <v>3130</v>
      </c>
      <c r="B3989" s="4">
        <v>22468</v>
      </c>
      <c r="C3989" s="5">
        <f t="shared" ref="C3989:C3991" si="1846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  <c r="V3989">
        <f t="shared" si="1840"/>
        <v>10</v>
      </c>
      <c r="W3989">
        <f t="shared" si="1837"/>
        <v>6</v>
      </c>
      <c r="X3989">
        <f t="shared" si="1838"/>
        <v>2010</v>
      </c>
    </row>
    <row r="3990" spans="1:24" ht="12" customHeight="1">
      <c r="A3990" s="4">
        <v>3131</v>
      </c>
      <c r="B3990" s="4">
        <v>22468</v>
      </c>
      <c r="C3990" s="5">
        <f t="shared" si="1846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  <c r="V3990">
        <f t="shared" si="1840"/>
        <v>11</v>
      </c>
      <c r="W3990">
        <f t="shared" si="1837"/>
        <v>6</v>
      </c>
      <c r="X3990">
        <f t="shared" si="1838"/>
        <v>2010</v>
      </c>
    </row>
    <row r="3991" spans="1:24" ht="12" customHeight="1">
      <c r="A3991" s="4">
        <v>3132</v>
      </c>
      <c r="B3991" s="4">
        <v>22468</v>
      </c>
      <c r="C3991" s="5">
        <f t="shared" si="1846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847">C3991+2</f>
        <v>40341</v>
      </c>
      <c r="V3991">
        <f t="shared" si="1840"/>
        <v>12</v>
      </c>
      <c r="W3991">
        <f t="shared" si="1837"/>
        <v>6</v>
      </c>
      <c r="X3991">
        <f t="shared" si="1838"/>
        <v>2010</v>
      </c>
    </row>
    <row r="3992" spans="1:24" ht="12" customHeight="1">
      <c r="A3992" s="4">
        <v>3149</v>
      </c>
      <c r="B3992" s="4">
        <v>22626</v>
      </c>
      <c r="C3992" s="5">
        <f t="shared" ref="C3992:C3993" si="1848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847"/>
        <v>40360</v>
      </c>
      <c r="V3992">
        <f t="shared" si="1840"/>
        <v>1</v>
      </c>
      <c r="W3992">
        <f t="shared" si="1837"/>
        <v>7</v>
      </c>
      <c r="X3992">
        <f t="shared" si="1838"/>
        <v>2010</v>
      </c>
    </row>
    <row r="3993" spans="1:24" ht="12" customHeight="1">
      <c r="A3993" s="4">
        <v>3150</v>
      </c>
      <c r="B3993" s="4">
        <v>22626</v>
      </c>
      <c r="C3993" s="5">
        <f t="shared" si="1848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847"/>
        <v>40360</v>
      </c>
      <c r="V3993">
        <f t="shared" si="1840"/>
        <v>1</v>
      </c>
      <c r="W3993">
        <f t="shared" si="1837"/>
        <v>7</v>
      </c>
      <c r="X3993">
        <f t="shared" si="1838"/>
        <v>2010</v>
      </c>
    </row>
    <row r="3994" spans="1:24" ht="12" customHeight="1">
      <c r="A3994" s="4">
        <v>3235</v>
      </c>
      <c r="B3994" s="4">
        <v>23205</v>
      </c>
      <c r="C3994" s="5">
        <f t="shared" ref="C3994:C3996" si="1849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850">C3994+1</f>
        <v>39958</v>
      </c>
      <c r="V3994">
        <f t="shared" si="1840"/>
        <v>25</v>
      </c>
      <c r="W3994">
        <f t="shared" si="1837"/>
        <v>5</v>
      </c>
      <c r="X3994">
        <f t="shared" si="1838"/>
        <v>2009</v>
      </c>
    </row>
    <row r="3995" spans="1:24" ht="12" customHeight="1">
      <c r="A3995" s="4">
        <v>3236</v>
      </c>
      <c r="B3995" s="4">
        <v>23205</v>
      </c>
      <c r="C3995" s="5">
        <f t="shared" si="1849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850"/>
        <v>39958</v>
      </c>
      <c r="V3995">
        <f t="shared" si="1840"/>
        <v>25</v>
      </c>
      <c r="W3995">
        <f t="shared" si="1837"/>
        <v>5</v>
      </c>
      <c r="X3995">
        <f t="shared" si="1838"/>
        <v>2009</v>
      </c>
    </row>
    <row r="3996" spans="1:24" ht="12" customHeight="1">
      <c r="A3996" s="4">
        <v>3237</v>
      </c>
      <c r="B3996" s="4">
        <v>23205</v>
      </c>
      <c r="C3996" s="5">
        <f t="shared" si="1849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850"/>
        <v>39958</v>
      </c>
      <c r="V3996">
        <f t="shared" si="1840"/>
        <v>25</v>
      </c>
      <c r="W3996">
        <f t="shared" si="1837"/>
        <v>5</v>
      </c>
      <c r="X3996">
        <f t="shared" si="1838"/>
        <v>2009</v>
      </c>
    </row>
    <row r="3997" spans="1:24" ht="12" customHeight="1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850"/>
        <v>40298</v>
      </c>
      <c r="V3997">
        <f t="shared" si="1840"/>
        <v>30</v>
      </c>
      <c r="W3997">
        <f t="shared" si="1837"/>
        <v>4</v>
      </c>
      <c r="X3997">
        <f t="shared" si="1838"/>
        <v>2010</v>
      </c>
    </row>
    <row r="3998" spans="1:24" ht="12" customHeight="1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851">C3998+2</f>
        <v>41068</v>
      </c>
      <c r="V3998">
        <f t="shared" si="1840"/>
        <v>8</v>
      </c>
      <c r="W3998">
        <f t="shared" si="1837"/>
        <v>6</v>
      </c>
      <c r="X3998">
        <f t="shared" si="1838"/>
        <v>2012</v>
      </c>
    </row>
    <row r="3999" spans="1:24" ht="12" customHeight="1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851"/>
        <v>41030</v>
      </c>
      <c r="V3999">
        <f t="shared" si="1840"/>
        <v>1</v>
      </c>
      <c r="W3999">
        <f t="shared" si="1837"/>
        <v>5</v>
      </c>
      <c r="X3999">
        <f t="shared" si="1838"/>
        <v>2012</v>
      </c>
    </row>
    <row r="4000" spans="1:24" ht="12" customHeight="1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  <c r="V4000">
        <f t="shared" si="1840"/>
        <v>8</v>
      </c>
      <c r="W4000">
        <f t="shared" si="1837"/>
        <v>5</v>
      </c>
      <c r="X4000">
        <f t="shared" si="1838"/>
        <v>2011</v>
      </c>
    </row>
    <row r="4001" spans="1:24" ht="12" customHeight="1">
      <c r="A4001" s="4">
        <v>3520</v>
      </c>
      <c r="B4001" s="4">
        <v>25062</v>
      </c>
      <c r="C4001" s="5">
        <f t="shared" ref="C4001:C4002" si="1852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853">C4001+2</f>
        <v>40483</v>
      </c>
      <c r="V4001">
        <f t="shared" si="1840"/>
        <v>1</v>
      </c>
      <c r="W4001">
        <f t="shared" si="1837"/>
        <v>11</v>
      </c>
      <c r="X4001">
        <f t="shared" si="1838"/>
        <v>2010</v>
      </c>
    </row>
    <row r="4002" spans="1:24" ht="12" customHeight="1">
      <c r="A4002" s="4">
        <v>3521</v>
      </c>
      <c r="B4002" s="4">
        <v>25062</v>
      </c>
      <c r="C4002" s="5">
        <f t="shared" si="1852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853"/>
        <v>40483</v>
      </c>
      <c r="V4002">
        <f t="shared" si="1840"/>
        <v>1</v>
      </c>
      <c r="W4002">
        <f t="shared" si="1837"/>
        <v>11</v>
      </c>
      <c r="X4002">
        <f t="shared" si="1838"/>
        <v>2010</v>
      </c>
    </row>
    <row r="4003" spans="1:24" ht="12" customHeight="1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853"/>
        <v>41199</v>
      </c>
      <c r="V4003">
        <f t="shared" si="1840"/>
        <v>17</v>
      </c>
      <c r="W4003">
        <f t="shared" si="1837"/>
        <v>10</v>
      </c>
      <c r="X4003">
        <f t="shared" si="1838"/>
        <v>2012</v>
      </c>
    </row>
    <row r="4004" spans="1:24" ht="12" customHeight="1">
      <c r="A4004" s="4">
        <v>3576</v>
      </c>
      <c r="B4004" s="4">
        <v>25478</v>
      </c>
      <c r="C4004" s="5">
        <f t="shared" ref="C4004:C4005" si="1854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  <c r="V4004">
        <f t="shared" si="1840"/>
        <v>24</v>
      </c>
      <c r="W4004">
        <f t="shared" si="1837"/>
        <v>4</v>
      </c>
      <c r="X4004">
        <f t="shared" si="1838"/>
        <v>2012</v>
      </c>
    </row>
    <row r="4005" spans="1:24" ht="12" customHeight="1">
      <c r="A4005" s="4">
        <v>3577</v>
      </c>
      <c r="B4005" s="4">
        <v>25478</v>
      </c>
      <c r="C4005" s="5">
        <f t="shared" si="1854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855">C4005+2</f>
        <v>41025</v>
      </c>
      <c r="V4005">
        <f t="shared" si="1840"/>
        <v>26</v>
      </c>
      <c r="W4005">
        <f t="shared" si="1837"/>
        <v>4</v>
      </c>
      <c r="X4005">
        <f t="shared" si="1838"/>
        <v>2012</v>
      </c>
    </row>
    <row r="4006" spans="1:24" ht="12" customHeight="1">
      <c r="A4006" s="4">
        <v>3708</v>
      </c>
      <c r="B4006" s="4">
        <v>26469</v>
      </c>
      <c r="C4006" s="5">
        <f t="shared" ref="C4006:C4007" si="1856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855"/>
        <v>41122</v>
      </c>
      <c r="V4006">
        <f t="shared" si="1840"/>
        <v>1</v>
      </c>
      <c r="W4006">
        <f t="shared" si="1837"/>
        <v>8</v>
      </c>
      <c r="X4006">
        <f t="shared" si="1838"/>
        <v>2012</v>
      </c>
    </row>
    <row r="4007" spans="1:24" ht="12" customHeight="1">
      <c r="A4007" s="4">
        <v>3709</v>
      </c>
      <c r="B4007" s="4">
        <v>26469</v>
      </c>
      <c r="C4007" s="5">
        <f t="shared" si="1856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857">C4007+1</f>
        <v>41121</v>
      </c>
      <c r="V4007">
        <f t="shared" si="1840"/>
        <v>31</v>
      </c>
      <c r="W4007">
        <f t="shared" si="1837"/>
        <v>7</v>
      </c>
      <c r="X4007">
        <f t="shared" si="1838"/>
        <v>2012</v>
      </c>
    </row>
    <row r="4008" spans="1:24" ht="12" customHeight="1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857"/>
        <v>39894</v>
      </c>
      <c r="V4008">
        <f t="shared" si="1840"/>
        <v>22</v>
      </c>
      <c r="W4008">
        <f t="shared" si="1837"/>
        <v>3</v>
      </c>
      <c r="X4008">
        <f t="shared" si="1838"/>
        <v>2009</v>
      </c>
    </row>
    <row r="4009" spans="1:24" ht="12" customHeight="1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857"/>
        <v>40108</v>
      </c>
      <c r="V4009">
        <f t="shared" si="1840"/>
        <v>22</v>
      </c>
      <c r="W4009">
        <f t="shared" si="1837"/>
        <v>10</v>
      </c>
      <c r="X4009">
        <f t="shared" si="1838"/>
        <v>2009</v>
      </c>
    </row>
    <row r="4010" spans="1:24" ht="12" customHeight="1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858">C4010+2</f>
        <v>40245</v>
      </c>
      <c r="V4010">
        <f t="shared" si="1840"/>
        <v>8</v>
      </c>
      <c r="W4010">
        <f t="shared" si="1837"/>
        <v>3</v>
      </c>
      <c r="X4010">
        <f t="shared" si="1838"/>
        <v>2010</v>
      </c>
    </row>
    <row r="4011" spans="1:24" ht="12" customHeight="1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858"/>
        <v>41128</v>
      </c>
      <c r="V4011">
        <f t="shared" si="1840"/>
        <v>7</v>
      </c>
      <c r="W4011">
        <f t="shared" si="1837"/>
        <v>8</v>
      </c>
      <c r="X4011">
        <f t="shared" si="1838"/>
        <v>2012</v>
      </c>
    </row>
    <row r="4012" spans="1:24" ht="12" customHeight="1">
      <c r="A4012" s="4">
        <v>3830</v>
      </c>
      <c r="B4012" s="4">
        <v>27300</v>
      </c>
      <c r="C4012" s="5">
        <f t="shared" ref="C4012:C4013" si="1859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  <c r="V4012">
        <f t="shared" si="1840"/>
        <v>1</v>
      </c>
      <c r="W4012">
        <f t="shared" si="1837"/>
        <v>10</v>
      </c>
      <c r="X4012">
        <f t="shared" si="1838"/>
        <v>2012</v>
      </c>
    </row>
    <row r="4013" spans="1:24" ht="12" customHeight="1">
      <c r="A4013" s="4">
        <v>3831</v>
      </c>
      <c r="B4013" s="4">
        <v>27300</v>
      </c>
      <c r="C4013" s="5">
        <f t="shared" si="1859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  <c r="V4013">
        <f t="shared" si="1840"/>
        <v>30</v>
      </c>
      <c r="W4013">
        <f t="shared" si="1837"/>
        <v>9</v>
      </c>
      <c r="X4013">
        <f t="shared" si="1838"/>
        <v>2012</v>
      </c>
    </row>
    <row r="4014" spans="1:24" ht="12" customHeight="1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  <c r="V4014">
        <f t="shared" si="1840"/>
        <v>13</v>
      </c>
      <c r="W4014">
        <f t="shared" si="1837"/>
        <v>2</v>
      </c>
      <c r="X4014">
        <f t="shared" si="1838"/>
        <v>2012</v>
      </c>
    </row>
    <row r="4015" spans="1:24" ht="12" customHeight="1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860">C4015+2</f>
        <v>40447</v>
      </c>
      <c r="V4015">
        <f t="shared" si="1840"/>
        <v>26</v>
      </c>
      <c r="W4015">
        <f t="shared" si="1837"/>
        <v>9</v>
      </c>
      <c r="X4015">
        <f t="shared" si="1838"/>
        <v>2010</v>
      </c>
    </row>
    <row r="4016" spans="1:24" ht="12" customHeight="1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860"/>
        <v>40793</v>
      </c>
      <c r="V4016">
        <f t="shared" si="1840"/>
        <v>7</v>
      </c>
      <c r="W4016">
        <f t="shared" si="1837"/>
        <v>9</v>
      </c>
      <c r="X4016">
        <f t="shared" si="1838"/>
        <v>2011</v>
      </c>
    </row>
    <row r="4017" spans="1:24" ht="12" customHeight="1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860"/>
        <v>40608</v>
      </c>
      <c r="V4017">
        <f t="shared" si="1840"/>
        <v>6</v>
      </c>
      <c r="W4017">
        <f t="shared" si="1837"/>
        <v>3</v>
      </c>
      <c r="X4017">
        <f t="shared" si="1838"/>
        <v>2011</v>
      </c>
    </row>
    <row r="4018" spans="1:24" ht="12" customHeight="1">
      <c r="A4018" s="4">
        <v>3938</v>
      </c>
      <c r="B4018" s="4">
        <v>28064</v>
      </c>
      <c r="C4018" s="5">
        <f t="shared" ref="C4018:C4019" si="1861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862">C4018+0</f>
        <v>40423</v>
      </c>
      <c r="V4018">
        <f t="shared" si="1840"/>
        <v>2</v>
      </c>
      <c r="W4018">
        <f t="shared" si="1837"/>
        <v>9</v>
      </c>
      <c r="X4018">
        <f t="shared" si="1838"/>
        <v>2010</v>
      </c>
    </row>
    <row r="4019" spans="1:24" ht="12" customHeight="1">
      <c r="A4019" s="4">
        <v>3939</v>
      </c>
      <c r="B4019" s="4">
        <v>28064</v>
      </c>
      <c r="C4019" s="5">
        <f t="shared" si="1861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862"/>
        <v>40423</v>
      </c>
      <c r="V4019">
        <f t="shared" si="1840"/>
        <v>2</v>
      </c>
      <c r="W4019">
        <f t="shared" si="1837"/>
        <v>9</v>
      </c>
      <c r="X4019">
        <f t="shared" si="1838"/>
        <v>2010</v>
      </c>
    </row>
    <row r="4020" spans="1:24" ht="12" customHeight="1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  <c r="V4020">
        <f t="shared" si="1840"/>
        <v>24</v>
      </c>
      <c r="W4020">
        <f t="shared" si="1837"/>
        <v>1</v>
      </c>
      <c r="X4020">
        <f t="shared" si="1838"/>
        <v>2009</v>
      </c>
    </row>
    <row r="4021" spans="1:24" ht="12" customHeight="1">
      <c r="A4021" s="4">
        <v>3959</v>
      </c>
      <c r="B4021" s="4">
        <v>28258</v>
      </c>
      <c r="C4021" s="5">
        <f t="shared" ref="C4021:C4022" si="1863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  <c r="V4021">
        <f t="shared" si="1840"/>
        <v>13</v>
      </c>
      <c r="W4021">
        <f t="shared" si="1837"/>
        <v>3</v>
      </c>
      <c r="X4021">
        <f t="shared" si="1838"/>
        <v>2009</v>
      </c>
    </row>
    <row r="4022" spans="1:24" ht="12" customHeight="1">
      <c r="A4022" s="4">
        <v>3960</v>
      </c>
      <c r="B4022" s="4">
        <v>28258</v>
      </c>
      <c r="C4022" s="5">
        <f t="shared" si="1863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  <c r="V4022">
        <f t="shared" si="1840"/>
        <v>14</v>
      </c>
      <c r="W4022">
        <f t="shared" si="1837"/>
        <v>3</v>
      </c>
      <c r="X4022">
        <f t="shared" si="1838"/>
        <v>2009</v>
      </c>
    </row>
    <row r="4023" spans="1:24" ht="12" customHeight="1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  <c r="V4023">
        <f t="shared" si="1840"/>
        <v>1</v>
      </c>
      <c r="W4023">
        <f t="shared" si="1837"/>
        <v>8</v>
      </c>
      <c r="X4023">
        <f t="shared" si="1838"/>
        <v>2010</v>
      </c>
    </row>
    <row r="4024" spans="1:24" ht="12" customHeight="1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  <c r="V4024">
        <f t="shared" si="1840"/>
        <v>7</v>
      </c>
      <c r="W4024">
        <f t="shared" si="1837"/>
        <v>8</v>
      </c>
      <c r="X4024">
        <f t="shared" si="1838"/>
        <v>2012</v>
      </c>
    </row>
    <row r="4025" spans="1:24" ht="12" customHeight="1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  <c r="V4025">
        <f t="shared" si="1840"/>
        <v>7</v>
      </c>
      <c r="W4025">
        <f t="shared" si="1837"/>
        <v>12</v>
      </c>
      <c r="X4025">
        <f t="shared" si="1838"/>
        <v>2011</v>
      </c>
    </row>
    <row r="4026" spans="1:24" ht="12" customHeight="1">
      <c r="A4026" s="4">
        <v>4139</v>
      </c>
      <c r="B4026" s="4">
        <v>29383</v>
      </c>
      <c r="C4026" s="5">
        <f t="shared" ref="C4026:C4029" si="1864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  <c r="V4026">
        <f t="shared" si="1840"/>
        <v>20</v>
      </c>
      <c r="W4026">
        <f t="shared" si="1837"/>
        <v>11</v>
      </c>
      <c r="X4026">
        <f t="shared" si="1838"/>
        <v>2011</v>
      </c>
    </row>
    <row r="4027" spans="1:24" ht="12" customHeight="1">
      <c r="A4027" s="4">
        <v>4140</v>
      </c>
      <c r="B4027" s="4">
        <v>29383</v>
      </c>
      <c r="C4027" s="5">
        <f t="shared" si="1864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  <c r="V4027">
        <f t="shared" si="1840"/>
        <v>19</v>
      </c>
      <c r="W4027">
        <f t="shared" si="1837"/>
        <v>11</v>
      </c>
      <c r="X4027">
        <f t="shared" si="1838"/>
        <v>2011</v>
      </c>
    </row>
    <row r="4028" spans="1:24" ht="12" customHeight="1">
      <c r="A4028" s="4">
        <v>4141</v>
      </c>
      <c r="B4028" s="4">
        <v>29383</v>
      </c>
      <c r="C4028" s="5">
        <f t="shared" si="1864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  <c r="V4028">
        <f t="shared" si="1840"/>
        <v>20</v>
      </c>
      <c r="W4028">
        <f t="shared" si="1837"/>
        <v>11</v>
      </c>
      <c r="X4028">
        <f t="shared" si="1838"/>
        <v>2011</v>
      </c>
    </row>
    <row r="4029" spans="1:24" ht="12" customHeight="1">
      <c r="A4029" s="4">
        <v>4142</v>
      </c>
      <c r="B4029" s="4">
        <v>29383</v>
      </c>
      <c r="C4029" s="5">
        <f t="shared" si="1864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  <c r="V4029">
        <f t="shared" si="1840"/>
        <v>19</v>
      </c>
      <c r="W4029">
        <f t="shared" si="1837"/>
        <v>11</v>
      </c>
      <c r="X4029">
        <f t="shared" si="1838"/>
        <v>2011</v>
      </c>
    </row>
    <row r="4030" spans="1:24" ht="12" customHeight="1">
      <c r="A4030" s="4">
        <v>4162</v>
      </c>
      <c r="B4030" s="4">
        <v>29507</v>
      </c>
      <c r="C4030" s="5">
        <f t="shared" ref="C4030:C4031" si="1865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  <c r="V4030">
        <f t="shared" si="1840"/>
        <v>11</v>
      </c>
      <c r="W4030">
        <f t="shared" si="1837"/>
        <v>2</v>
      </c>
      <c r="X4030">
        <f t="shared" si="1838"/>
        <v>2012</v>
      </c>
    </row>
    <row r="4031" spans="1:24" ht="12" customHeight="1">
      <c r="A4031" s="4">
        <v>4163</v>
      </c>
      <c r="B4031" s="4">
        <v>29507</v>
      </c>
      <c r="C4031" s="5">
        <f t="shared" si="1865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  <c r="V4031">
        <f t="shared" si="1840"/>
        <v>14</v>
      </c>
      <c r="W4031">
        <f t="shared" si="1837"/>
        <v>2</v>
      </c>
      <c r="X4031">
        <f t="shared" si="1838"/>
        <v>2012</v>
      </c>
    </row>
    <row r="4032" spans="1:24" ht="12" customHeight="1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  <c r="V4032">
        <f t="shared" si="1840"/>
        <v>4</v>
      </c>
      <c r="W4032">
        <f t="shared" si="1837"/>
        <v>6</v>
      </c>
      <c r="X4032">
        <f t="shared" si="1838"/>
        <v>2010</v>
      </c>
    </row>
    <row r="4033" spans="1:24" ht="12" customHeight="1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  <c r="V4033">
        <f t="shared" si="1840"/>
        <v>7</v>
      </c>
      <c r="W4033">
        <f t="shared" si="1837"/>
        <v>12</v>
      </c>
      <c r="X4033">
        <f t="shared" si="1838"/>
        <v>2009</v>
      </c>
    </row>
    <row r="4034" spans="1:24" ht="12" customHeight="1">
      <c r="A4034" s="4">
        <v>4206</v>
      </c>
      <c r="B4034" s="4">
        <v>29894</v>
      </c>
      <c r="C4034" s="5">
        <f t="shared" ref="C4034:C4035" si="1866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867">C4034+9</f>
        <v>40437</v>
      </c>
      <c r="V4034">
        <f t="shared" si="1840"/>
        <v>16</v>
      </c>
      <c r="W4034">
        <f t="shared" si="1837"/>
        <v>9</v>
      </c>
      <c r="X4034">
        <f t="shared" si="1838"/>
        <v>2010</v>
      </c>
    </row>
    <row r="4035" spans="1:24" ht="12" customHeight="1">
      <c r="A4035" s="4">
        <v>4207</v>
      </c>
      <c r="B4035" s="4">
        <v>29894</v>
      </c>
      <c r="C4035" s="5">
        <f t="shared" si="1866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867"/>
        <v>40437</v>
      </c>
      <c r="V4035">
        <f t="shared" si="1840"/>
        <v>16</v>
      </c>
      <c r="W4035">
        <f t="shared" ref="W4035:W4098" si="1868">MONTH(U4035)</f>
        <v>9</v>
      </c>
      <c r="X4035">
        <f t="shared" ref="X4035:X4098" si="1869">YEAR(U4035)</f>
        <v>2010</v>
      </c>
    </row>
    <row r="4036" spans="1:24" ht="12" customHeight="1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870">C4036+2</f>
        <v>41103</v>
      </c>
      <c r="V4036">
        <f t="shared" ref="V4036:V4099" si="1871">DAY(U4036)</f>
        <v>13</v>
      </c>
      <c r="W4036">
        <f t="shared" si="1868"/>
        <v>7</v>
      </c>
      <c r="X4036">
        <f t="shared" si="1869"/>
        <v>2012</v>
      </c>
    </row>
    <row r="4037" spans="1:24" ht="12" customHeight="1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870"/>
        <v>41155</v>
      </c>
      <c r="V4037">
        <f t="shared" si="1871"/>
        <v>3</v>
      </c>
      <c r="W4037">
        <f t="shared" si="1868"/>
        <v>9</v>
      </c>
      <c r="X4037">
        <f t="shared" si="1869"/>
        <v>2012</v>
      </c>
    </row>
    <row r="4038" spans="1:24" ht="12" customHeight="1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  <c r="V4038">
        <f t="shared" si="1871"/>
        <v>16</v>
      </c>
      <c r="W4038">
        <f t="shared" si="1868"/>
        <v>7</v>
      </c>
      <c r="X4038">
        <f t="shared" si="1869"/>
        <v>2012</v>
      </c>
    </row>
    <row r="4039" spans="1:24" ht="12" customHeight="1">
      <c r="A4039" s="4">
        <v>4265</v>
      </c>
      <c r="B4039" s="4">
        <v>30369</v>
      </c>
      <c r="C4039" s="5">
        <f t="shared" ref="C4039:C4040" si="1872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873">C4039+1</f>
        <v>40627</v>
      </c>
      <c r="V4039">
        <f t="shared" si="1871"/>
        <v>25</v>
      </c>
      <c r="W4039">
        <f t="shared" si="1868"/>
        <v>3</v>
      </c>
      <c r="X4039">
        <f t="shared" si="1869"/>
        <v>2011</v>
      </c>
    </row>
    <row r="4040" spans="1:24" ht="12" customHeight="1">
      <c r="A4040" s="4">
        <v>4266</v>
      </c>
      <c r="B4040" s="4">
        <v>30369</v>
      </c>
      <c r="C4040" s="5">
        <f t="shared" si="1872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873"/>
        <v>40627</v>
      </c>
      <c r="V4040">
        <f t="shared" si="1871"/>
        <v>25</v>
      </c>
      <c r="W4040">
        <f t="shared" si="1868"/>
        <v>3</v>
      </c>
      <c r="X4040">
        <f t="shared" si="1869"/>
        <v>2011</v>
      </c>
    </row>
    <row r="4041" spans="1:24" ht="12" customHeight="1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873"/>
        <v>40143</v>
      </c>
      <c r="V4041">
        <f t="shared" si="1871"/>
        <v>26</v>
      </c>
      <c r="W4041">
        <f t="shared" si="1868"/>
        <v>11</v>
      </c>
      <c r="X4041">
        <f t="shared" si="1869"/>
        <v>2009</v>
      </c>
    </row>
    <row r="4042" spans="1:24" ht="12" customHeight="1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  <c r="V4042">
        <f t="shared" si="1871"/>
        <v>27</v>
      </c>
      <c r="W4042">
        <f t="shared" si="1868"/>
        <v>7</v>
      </c>
      <c r="X4042">
        <f t="shared" si="1869"/>
        <v>2012</v>
      </c>
    </row>
    <row r="4043" spans="1:24" ht="12" customHeight="1">
      <c r="A4043" s="4">
        <v>4341</v>
      </c>
      <c r="B4043" s="4">
        <v>30915</v>
      </c>
      <c r="C4043" s="5">
        <f t="shared" ref="C4043:C4044" si="1874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  <c r="V4043">
        <f t="shared" si="1871"/>
        <v>16</v>
      </c>
      <c r="W4043">
        <f t="shared" si="1868"/>
        <v>1</v>
      </c>
      <c r="X4043">
        <f t="shared" si="1869"/>
        <v>2009</v>
      </c>
    </row>
    <row r="4044" spans="1:24" ht="12" customHeight="1">
      <c r="A4044" s="4">
        <v>4342</v>
      </c>
      <c r="B4044" s="4">
        <v>30915</v>
      </c>
      <c r="C4044" s="5">
        <f t="shared" si="1874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875">C4044+5</f>
        <v>39834</v>
      </c>
      <c r="V4044">
        <f t="shared" si="1871"/>
        <v>21</v>
      </c>
      <c r="W4044">
        <f t="shared" si="1868"/>
        <v>1</v>
      </c>
      <c r="X4044">
        <f t="shared" si="1869"/>
        <v>2009</v>
      </c>
    </row>
    <row r="4045" spans="1:24" ht="12" customHeight="1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875"/>
        <v>40516</v>
      </c>
      <c r="V4045">
        <f t="shared" si="1871"/>
        <v>4</v>
      </c>
      <c r="W4045">
        <f t="shared" si="1868"/>
        <v>12</v>
      </c>
      <c r="X4045">
        <f t="shared" si="1869"/>
        <v>2010</v>
      </c>
    </row>
    <row r="4046" spans="1:24" ht="12" customHeight="1">
      <c r="A4046" s="4">
        <v>4360</v>
      </c>
      <c r="B4046" s="4">
        <v>31073</v>
      </c>
      <c r="C4046" s="5">
        <f t="shared" ref="C4046:C4047" si="1876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  <c r="V4046">
        <f t="shared" si="1871"/>
        <v>28</v>
      </c>
      <c r="W4046">
        <f t="shared" si="1868"/>
        <v>7</v>
      </c>
      <c r="X4046">
        <f t="shared" si="1869"/>
        <v>2010</v>
      </c>
    </row>
    <row r="4047" spans="1:24" ht="12" customHeight="1">
      <c r="A4047" s="4">
        <v>4361</v>
      </c>
      <c r="B4047" s="4">
        <v>31073</v>
      </c>
      <c r="C4047" s="5">
        <f t="shared" si="1876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  <c r="V4047">
        <f t="shared" si="1871"/>
        <v>25</v>
      </c>
      <c r="W4047">
        <f t="shared" si="1868"/>
        <v>7</v>
      </c>
      <c r="X4047">
        <f t="shared" si="1869"/>
        <v>2010</v>
      </c>
    </row>
    <row r="4048" spans="1:24" ht="12" customHeight="1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  <c r="V4048">
        <f t="shared" si="1871"/>
        <v>23</v>
      </c>
      <c r="W4048">
        <f t="shared" si="1868"/>
        <v>1</v>
      </c>
      <c r="X4048">
        <f t="shared" si="1869"/>
        <v>2009</v>
      </c>
    </row>
    <row r="4049" spans="1:24" ht="12" customHeight="1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  <c r="V4049">
        <f t="shared" si="1871"/>
        <v>25</v>
      </c>
      <c r="W4049">
        <f t="shared" si="1868"/>
        <v>8</v>
      </c>
      <c r="X4049">
        <f t="shared" si="1869"/>
        <v>2012</v>
      </c>
    </row>
    <row r="4050" spans="1:24" ht="12" customHeight="1">
      <c r="A4050" s="4">
        <v>4463</v>
      </c>
      <c r="B4050" s="4">
        <v>31812</v>
      </c>
      <c r="C4050" s="5">
        <f t="shared" ref="C4050:C4051" si="1877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878">C4050+2</f>
        <v>40757</v>
      </c>
      <c r="V4050">
        <f t="shared" si="1871"/>
        <v>2</v>
      </c>
      <c r="W4050">
        <f t="shared" si="1868"/>
        <v>8</v>
      </c>
      <c r="X4050">
        <f t="shared" si="1869"/>
        <v>2011</v>
      </c>
    </row>
    <row r="4051" spans="1:24" ht="12" customHeight="1">
      <c r="A4051" s="4">
        <v>4464</v>
      </c>
      <c r="B4051" s="4">
        <v>31812</v>
      </c>
      <c r="C4051" s="5">
        <f t="shared" si="1877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878"/>
        <v>40757</v>
      </c>
      <c r="V4051">
        <f t="shared" si="1871"/>
        <v>2</v>
      </c>
      <c r="W4051">
        <f t="shared" si="1868"/>
        <v>8</v>
      </c>
      <c r="X4051">
        <f t="shared" si="1869"/>
        <v>2011</v>
      </c>
    </row>
    <row r="4052" spans="1:24" ht="12" customHeight="1">
      <c r="A4052" s="4">
        <v>4496</v>
      </c>
      <c r="B4052" s="4">
        <v>32002</v>
      </c>
      <c r="C4052" s="5">
        <f t="shared" ref="C4052:C4053" si="1879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  <c r="V4052">
        <f t="shared" si="1871"/>
        <v>24</v>
      </c>
      <c r="W4052">
        <f t="shared" si="1868"/>
        <v>7</v>
      </c>
      <c r="X4052">
        <f t="shared" si="1869"/>
        <v>2010</v>
      </c>
    </row>
    <row r="4053" spans="1:24" ht="12" customHeight="1">
      <c r="A4053" s="4">
        <v>4497</v>
      </c>
      <c r="B4053" s="4">
        <v>32002</v>
      </c>
      <c r="C4053" s="5">
        <f t="shared" si="1879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  <c r="V4053">
        <f t="shared" si="1871"/>
        <v>20</v>
      </c>
      <c r="W4053">
        <f t="shared" si="1868"/>
        <v>7</v>
      </c>
      <c r="X4053">
        <f t="shared" si="1869"/>
        <v>2010</v>
      </c>
    </row>
    <row r="4054" spans="1:24" ht="12" customHeight="1">
      <c r="A4054" s="4">
        <v>4541</v>
      </c>
      <c r="B4054" s="4">
        <v>32323</v>
      </c>
      <c r="C4054" s="5">
        <f t="shared" ref="C4054:C4056" si="1880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  <c r="V4054">
        <f t="shared" si="1871"/>
        <v>24</v>
      </c>
      <c r="W4054">
        <f t="shared" si="1868"/>
        <v>7</v>
      </c>
      <c r="X4054">
        <f t="shared" si="1869"/>
        <v>2010</v>
      </c>
    </row>
    <row r="4055" spans="1:24" ht="12" customHeight="1">
      <c r="A4055" s="4">
        <v>4542</v>
      </c>
      <c r="B4055" s="4">
        <v>32323</v>
      </c>
      <c r="C4055" s="5">
        <f t="shared" si="1880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  <c r="V4055">
        <f t="shared" si="1871"/>
        <v>23</v>
      </c>
      <c r="W4055">
        <f t="shared" si="1868"/>
        <v>7</v>
      </c>
      <c r="X4055">
        <f t="shared" si="1869"/>
        <v>2010</v>
      </c>
    </row>
    <row r="4056" spans="1:24" ht="12" customHeight="1">
      <c r="A4056" s="4">
        <v>4543</v>
      </c>
      <c r="B4056" s="4">
        <v>32323</v>
      </c>
      <c r="C4056" s="5">
        <f t="shared" si="1880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  <c r="V4056">
        <f t="shared" si="1871"/>
        <v>25</v>
      </c>
      <c r="W4056">
        <f t="shared" si="1868"/>
        <v>7</v>
      </c>
      <c r="X4056">
        <f t="shared" si="1869"/>
        <v>2010</v>
      </c>
    </row>
    <row r="4057" spans="1:24" ht="12" customHeight="1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  <c r="V4057">
        <f t="shared" si="1871"/>
        <v>1</v>
      </c>
      <c r="W4057">
        <f t="shared" si="1868"/>
        <v>4</v>
      </c>
      <c r="X4057">
        <f t="shared" si="1869"/>
        <v>2011</v>
      </c>
    </row>
    <row r="4058" spans="1:24" ht="12" customHeight="1">
      <c r="A4058" s="4">
        <v>4569</v>
      </c>
      <c r="B4058" s="4">
        <v>32516</v>
      </c>
      <c r="C4058" s="5">
        <f t="shared" ref="C4058:C4059" si="1881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882">C4058+2</f>
        <v>40477</v>
      </c>
      <c r="V4058">
        <f t="shared" si="1871"/>
        <v>26</v>
      </c>
      <c r="W4058">
        <f t="shared" si="1868"/>
        <v>10</v>
      </c>
      <c r="X4058">
        <f t="shared" si="1869"/>
        <v>2010</v>
      </c>
    </row>
    <row r="4059" spans="1:24" ht="12" customHeight="1">
      <c r="A4059" s="4">
        <v>4570</v>
      </c>
      <c r="B4059" s="4">
        <v>32516</v>
      </c>
      <c r="C4059" s="5">
        <f t="shared" si="1881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882"/>
        <v>40477</v>
      </c>
      <c r="V4059">
        <f t="shared" si="1871"/>
        <v>26</v>
      </c>
      <c r="W4059">
        <f t="shared" si="1868"/>
        <v>10</v>
      </c>
      <c r="X4059">
        <f t="shared" si="1869"/>
        <v>2010</v>
      </c>
    </row>
    <row r="4060" spans="1:24" ht="12" customHeight="1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882"/>
        <v>41053</v>
      </c>
      <c r="V4060">
        <f t="shared" si="1871"/>
        <v>24</v>
      </c>
      <c r="W4060">
        <f t="shared" si="1868"/>
        <v>5</v>
      </c>
      <c r="X4060">
        <f t="shared" si="1869"/>
        <v>2012</v>
      </c>
    </row>
    <row r="4061" spans="1:24" ht="12" customHeight="1">
      <c r="A4061" s="4">
        <v>4704</v>
      </c>
      <c r="B4061" s="4">
        <v>33510</v>
      </c>
      <c r="C4061" s="5">
        <f t="shared" ref="C4061:C4062" si="1883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  <c r="V4061">
        <f t="shared" si="1871"/>
        <v>3</v>
      </c>
      <c r="W4061">
        <f t="shared" si="1868"/>
        <v>12</v>
      </c>
      <c r="X4061">
        <f t="shared" si="1869"/>
        <v>2011</v>
      </c>
    </row>
    <row r="4062" spans="1:24" ht="12" customHeight="1">
      <c r="A4062" s="4">
        <v>4705</v>
      </c>
      <c r="B4062" s="4">
        <v>33510</v>
      </c>
      <c r="C4062" s="5">
        <f t="shared" si="1883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884">C4062+0</f>
        <v>40879</v>
      </c>
      <c r="V4062">
        <f t="shared" si="1871"/>
        <v>2</v>
      </c>
      <c r="W4062">
        <f t="shared" si="1868"/>
        <v>12</v>
      </c>
      <c r="X4062">
        <f t="shared" si="1869"/>
        <v>2011</v>
      </c>
    </row>
    <row r="4063" spans="1:24" ht="12" customHeight="1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884"/>
        <v>41079</v>
      </c>
      <c r="V4063">
        <f t="shared" si="1871"/>
        <v>19</v>
      </c>
      <c r="W4063">
        <f t="shared" si="1868"/>
        <v>6</v>
      </c>
      <c r="X4063">
        <f t="shared" si="1869"/>
        <v>2012</v>
      </c>
    </row>
    <row r="4064" spans="1:24" ht="12" customHeight="1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884"/>
        <v>40455</v>
      </c>
      <c r="V4064">
        <f t="shared" si="1871"/>
        <v>4</v>
      </c>
      <c r="W4064">
        <f t="shared" si="1868"/>
        <v>10</v>
      </c>
      <c r="X4064">
        <f t="shared" si="1869"/>
        <v>2010</v>
      </c>
    </row>
    <row r="4065" spans="1:24" ht="12" customHeight="1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885">C4065+2</f>
        <v>40271</v>
      </c>
      <c r="V4065">
        <f t="shared" si="1871"/>
        <v>3</v>
      </c>
      <c r="W4065">
        <f t="shared" si="1868"/>
        <v>4</v>
      </c>
      <c r="X4065">
        <f t="shared" si="1869"/>
        <v>2010</v>
      </c>
    </row>
    <row r="4066" spans="1:24" ht="12" customHeight="1">
      <c r="A4066" s="4">
        <v>4851</v>
      </c>
      <c r="B4066" s="4">
        <v>34530</v>
      </c>
      <c r="C4066" s="5">
        <f t="shared" ref="C4066:C4068" si="1886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885"/>
        <v>40422</v>
      </c>
      <c r="V4066">
        <f t="shared" si="1871"/>
        <v>1</v>
      </c>
      <c r="W4066">
        <f t="shared" si="1868"/>
        <v>9</v>
      </c>
      <c r="X4066">
        <f t="shared" si="1869"/>
        <v>2010</v>
      </c>
    </row>
    <row r="4067" spans="1:24" ht="12" customHeight="1">
      <c r="A4067" s="4">
        <v>4852</v>
      </c>
      <c r="B4067" s="4">
        <v>34530</v>
      </c>
      <c r="C4067" s="5">
        <f t="shared" si="1886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887">C4067+5</f>
        <v>40425</v>
      </c>
      <c r="V4067">
        <f t="shared" si="1871"/>
        <v>4</v>
      </c>
      <c r="W4067">
        <f t="shared" si="1868"/>
        <v>9</v>
      </c>
      <c r="X4067">
        <f t="shared" si="1869"/>
        <v>2010</v>
      </c>
    </row>
    <row r="4068" spans="1:24" ht="12" customHeight="1">
      <c r="A4068" s="4">
        <v>4853</v>
      </c>
      <c r="B4068" s="4">
        <v>34530</v>
      </c>
      <c r="C4068" s="5">
        <f t="shared" si="1886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887"/>
        <v>40425</v>
      </c>
      <c r="V4068">
        <f t="shared" si="1871"/>
        <v>4</v>
      </c>
      <c r="W4068">
        <f t="shared" si="1868"/>
        <v>9</v>
      </c>
      <c r="X4068">
        <f t="shared" si="1869"/>
        <v>2010</v>
      </c>
    </row>
    <row r="4069" spans="1:24" ht="12" customHeight="1">
      <c r="A4069" s="4">
        <v>4855</v>
      </c>
      <c r="B4069" s="4">
        <v>34562</v>
      </c>
      <c r="C4069" s="5">
        <f t="shared" ref="C4069:C4070" si="1888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  <c r="V4069">
        <f t="shared" si="1871"/>
        <v>26</v>
      </c>
      <c r="W4069">
        <f t="shared" si="1868"/>
        <v>8</v>
      </c>
      <c r="X4069">
        <f t="shared" si="1869"/>
        <v>2010</v>
      </c>
    </row>
    <row r="4070" spans="1:24" ht="12" customHeight="1">
      <c r="A4070" s="4">
        <v>4856</v>
      </c>
      <c r="B4070" s="4">
        <v>34562</v>
      </c>
      <c r="C4070" s="5">
        <f t="shared" si="1888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  <c r="V4070">
        <f t="shared" si="1871"/>
        <v>28</v>
      </c>
      <c r="W4070">
        <f t="shared" si="1868"/>
        <v>8</v>
      </c>
      <c r="X4070">
        <f t="shared" si="1869"/>
        <v>2010</v>
      </c>
    </row>
    <row r="4071" spans="1:24" ht="12" customHeight="1">
      <c r="A4071" s="4">
        <v>4980</v>
      </c>
      <c r="B4071" s="4">
        <v>35430</v>
      </c>
      <c r="C4071" s="5">
        <f t="shared" ref="C4071:C4073" si="1889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  <c r="V4071">
        <f t="shared" si="1871"/>
        <v>1</v>
      </c>
      <c r="W4071">
        <f t="shared" si="1868"/>
        <v>4</v>
      </c>
      <c r="X4071">
        <f t="shared" si="1869"/>
        <v>2010</v>
      </c>
    </row>
    <row r="4072" spans="1:24" ht="12" customHeight="1">
      <c r="A4072" s="4">
        <v>4981</v>
      </c>
      <c r="B4072" s="4">
        <v>35430</v>
      </c>
      <c r="C4072" s="5">
        <f t="shared" si="1889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  <c r="V4072">
        <f t="shared" si="1871"/>
        <v>29</v>
      </c>
      <c r="W4072">
        <f t="shared" si="1868"/>
        <v>3</v>
      </c>
      <c r="X4072">
        <f t="shared" si="1869"/>
        <v>2010</v>
      </c>
    </row>
    <row r="4073" spans="1:24" ht="12" customHeight="1">
      <c r="A4073" s="4">
        <v>4982</v>
      </c>
      <c r="B4073" s="4">
        <v>35430</v>
      </c>
      <c r="C4073" s="5">
        <f t="shared" si="1889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890">C4073+2</f>
        <v>40264</v>
      </c>
      <c r="V4073">
        <f t="shared" si="1871"/>
        <v>27</v>
      </c>
      <c r="W4073">
        <f t="shared" si="1868"/>
        <v>3</v>
      </c>
      <c r="X4073">
        <f t="shared" si="1869"/>
        <v>2010</v>
      </c>
    </row>
    <row r="4074" spans="1:24" ht="12" customHeight="1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890"/>
        <v>40344</v>
      </c>
      <c r="V4074">
        <f t="shared" si="1871"/>
        <v>15</v>
      </c>
      <c r="W4074">
        <f t="shared" si="1868"/>
        <v>6</v>
      </c>
      <c r="X4074">
        <f t="shared" si="1869"/>
        <v>2010</v>
      </c>
    </row>
    <row r="4075" spans="1:24" ht="12" customHeight="1">
      <c r="A4075" s="4">
        <v>5007</v>
      </c>
      <c r="B4075" s="4">
        <v>35712</v>
      </c>
      <c r="C4075" s="5">
        <f t="shared" ref="C4075:C4076" si="1891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  <c r="V4075">
        <f t="shared" si="1871"/>
        <v>24</v>
      </c>
      <c r="W4075">
        <f t="shared" si="1868"/>
        <v>10</v>
      </c>
      <c r="X4075">
        <f t="shared" si="1869"/>
        <v>2012</v>
      </c>
    </row>
    <row r="4076" spans="1:24" ht="12" customHeight="1">
      <c r="A4076" s="4">
        <v>5008</v>
      </c>
      <c r="B4076" s="4">
        <v>35712</v>
      </c>
      <c r="C4076" s="5">
        <f t="shared" si="1891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  <c r="V4076">
        <f t="shared" si="1871"/>
        <v>23</v>
      </c>
      <c r="W4076">
        <f t="shared" si="1868"/>
        <v>10</v>
      </c>
      <c r="X4076">
        <f t="shared" si="1869"/>
        <v>2012</v>
      </c>
    </row>
    <row r="4077" spans="1:24" ht="12" customHeight="1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  <c r="V4077">
        <f t="shared" si="1871"/>
        <v>14</v>
      </c>
      <c r="W4077">
        <f t="shared" si="1868"/>
        <v>9</v>
      </c>
      <c r="X4077">
        <f t="shared" si="1869"/>
        <v>2012</v>
      </c>
    </row>
    <row r="4078" spans="1:24" ht="12" customHeight="1">
      <c r="A4078" s="4">
        <v>5109</v>
      </c>
      <c r="B4078" s="4">
        <v>36416</v>
      </c>
      <c r="C4078" s="5">
        <f t="shared" ref="C4078:C4079" si="1892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893">C4078+4</f>
        <v>40151</v>
      </c>
      <c r="V4078">
        <f t="shared" si="1871"/>
        <v>4</v>
      </c>
      <c r="W4078">
        <f t="shared" si="1868"/>
        <v>12</v>
      </c>
      <c r="X4078">
        <f t="shared" si="1869"/>
        <v>2009</v>
      </c>
    </row>
    <row r="4079" spans="1:24" ht="12" customHeight="1">
      <c r="A4079" s="4">
        <v>5110</v>
      </c>
      <c r="B4079" s="4">
        <v>36416</v>
      </c>
      <c r="C4079" s="5">
        <f t="shared" si="1892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893"/>
        <v>40151</v>
      </c>
      <c r="V4079">
        <f t="shared" si="1871"/>
        <v>4</v>
      </c>
      <c r="W4079">
        <f t="shared" si="1868"/>
        <v>12</v>
      </c>
      <c r="X4079">
        <f t="shared" si="1869"/>
        <v>2009</v>
      </c>
    </row>
    <row r="4080" spans="1:24" ht="12" customHeight="1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894">C4080+1</f>
        <v>40936</v>
      </c>
      <c r="V4080">
        <f t="shared" si="1871"/>
        <v>28</v>
      </c>
      <c r="W4080">
        <f t="shared" si="1868"/>
        <v>1</v>
      </c>
      <c r="X4080">
        <f t="shared" si="1869"/>
        <v>2012</v>
      </c>
    </row>
    <row r="4081" spans="1:24" ht="12" customHeight="1">
      <c r="A4081" s="4">
        <v>5129</v>
      </c>
      <c r="B4081" s="4">
        <v>36517</v>
      </c>
      <c r="C4081" s="5">
        <f t="shared" ref="C4081:C4082" si="1895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894"/>
        <v>40239</v>
      </c>
      <c r="V4081">
        <f t="shared" si="1871"/>
        <v>2</v>
      </c>
      <c r="W4081">
        <f t="shared" si="1868"/>
        <v>3</v>
      </c>
      <c r="X4081">
        <f t="shared" si="1869"/>
        <v>2010</v>
      </c>
    </row>
    <row r="4082" spans="1:24" ht="12" customHeight="1">
      <c r="A4082" s="4">
        <v>5130</v>
      </c>
      <c r="B4082" s="4">
        <v>36517</v>
      </c>
      <c r="C4082" s="5">
        <f t="shared" si="1895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  <c r="V4082">
        <f t="shared" si="1871"/>
        <v>3</v>
      </c>
      <c r="W4082">
        <f t="shared" si="1868"/>
        <v>3</v>
      </c>
      <c r="X4082">
        <f t="shared" si="1869"/>
        <v>2010</v>
      </c>
    </row>
    <row r="4083" spans="1:24" ht="12" customHeight="1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  <c r="V4083">
        <f t="shared" si="1871"/>
        <v>25</v>
      </c>
      <c r="W4083">
        <f t="shared" si="1868"/>
        <v>6</v>
      </c>
      <c r="X4083">
        <f t="shared" si="1869"/>
        <v>2009</v>
      </c>
    </row>
    <row r="4084" spans="1:24" ht="12" customHeight="1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  <c r="V4084">
        <f t="shared" si="1871"/>
        <v>18</v>
      </c>
      <c r="W4084">
        <f t="shared" si="1868"/>
        <v>7</v>
      </c>
      <c r="X4084">
        <f t="shared" si="1869"/>
        <v>2012</v>
      </c>
    </row>
    <row r="4085" spans="1:24" ht="12" customHeight="1">
      <c r="A4085" s="4">
        <v>5190</v>
      </c>
      <c r="B4085" s="4">
        <v>36896</v>
      </c>
      <c r="C4085" s="5">
        <f t="shared" ref="C4085:C4087" si="1896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  <c r="V4085">
        <f t="shared" si="1871"/>
        <v>5</v>
      </c>
      <c r="W4085">
        <f t="shared" si="1868"/>
        <v>11</v>
      </c>
      <c r="X4085">
        <f t="shared" si="1869"/>
        <v>2009</v>
      </c>
    </row>
    <row r="4086" spans="1:24" ht="12" customHeight="1">
      <c r="A4086" s="4">
        <v>5191</v>
      </c>
      <c r="B4086" s="4">
        <v>36896</v>
      </c>
      <c r="C4086" s="5">
        <f t="shared" si="1896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  <c r="V4086">
        <f t="shared" si="1871"/>
        <v>6</v>
      </c>
      <c r="W4086">
        <f t="shared" si="1868"/>
        <v>11</v>
      </c>
      <c r="X4086">
        <f t="shared" si="1869"/>
        <v>2009</v>
      </c>
    </row>
    <row r="4087" spans="1:24" ht="12" customHeight="1">
      <c r="A4087" s="4">
        <v>5192</v>
      </c>
      <c r="B4087" s="4">
        <v>36896</v>
      </c>
      <c r="C4087" s="5">
        <f t="shared" si="1896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  <c r="V4087">
        <f t="shared" si="1871"/>
        <v>3</v>
      </c>
      <c r="W4087">
        <f t="shared" si="1868"/>
        <v>11</v>
      </c>
      <c r="X4087">
        <f t="shared" si="1869"/>
        <v>2009</v>
      </c>
    </row>
    <row r="4088" spans="1:24" ht="12" customHeight="1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  <c r="V4088">
        <f t="shared" si="1871"/>
        <v>19</v>
      </c>
      <c r="W4088">
        <f t="shared" si="1868"/>
        <v>2</v>
      </c>
      <c r="X4088">
        <f t="shared" si="1869"/>
        <v>2012</v>
      </c>
    </row>
    <row r="4089" spans="1:24" ht="12" customHeight="1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897">C4089+2</f>
        <v>40395</v>
      </c>
      <c r="V4089">
        <f t="shared" si="1871"/>
        <v>5</v>
      </c>
      <c r="W4089">
        <f t="shared" si="1868"/>
        <v>8</v>
      </c>
      <c r="X4089">
        <f t="shared" si="1869"/>
        <v>2010</v>
      </c>
    </row>
    <row r="4090" spans="1:24" ht="12" customHeight="1">
      <c r="A4090" s="4">
        <v>5290</v>
      </c>
      <c r="B4090" s="4">
        <v>37669</v>
      </c>
      <c r="C4090" s="5">
        <f t="shared" ref="C4090:C4092" si="1898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897"/>
        <v>40482</v>
      </c>
      <c r="V4090">
        <f t="shared" si="1871"/>
        <v>31</v>
      </c>
      <c r="W4090">
        <f t="shared" si="1868"/>
        <v>10</v>
      </c>
      <c r="X4090">
        <f t="shared" si="1869"/>
        <v>2010</v>
      </c>
    </row>
    <row r="4091" spans="1:24" ht="12" customHeight="1">
      <c r="A4091" s="4">
        <v>5291</v>
      </c>
      <c r="B4091" s="4">
        <v>37669</v>
      </c>
      <c r="C4091" s="5">
        <f t="shared" si="1898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897"/>
        <v>40482</v>
      </c>
      <c r="V4091">
        <f t="shared" si="1871"/>
        <v>31</v>
      </c>
      <c r="W4091">
        <f t="shared" si="1868"/>
        <v>10</v>
      </c>
      <c r="X4091">
        <f t="shared" si="1869"/>
        <v>2010</v>
      </c>
    </row>
    <row r="4092" spans="1:24" ht="12" customHeight="1">
      <c r="A4092" s="4">
        <v>5292</v>
      </c>
      <c r="B4092" s="4">
        <v>37669</v>
      </c>
      <c r="C4092" s="5">
        <f t="shared" si="1898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  <c r="V4092">
        <f t="shared" si="1871"/>
        <v>1</v>
      </c>
      <c r="W4092">
        <f t="shared" si="1868"/>
        <v>11</v>
      </c>
      <c r="X4092">
        <f t="shared" si="1869"/>
        <v>2010</v>
      </c>
    </row>
    <row r="4093" spans="1:24" ht="12" customHeight="1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  <c r="V4093">
        <f t="shared" si="1871"/>
        <v>25</v>
      </c>
      <c r="W4093">
        <f t="shared" si="1868"/>
        <v>4</v>
      </c>
      <c r="X4093">
        <f t="shared" si="1869"/>
        <v>2010</v>
      </c>
    </row>
    <row r="4094" spans="1:24" ht="12" customHeight="1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  <c r="V4094">
        <f t="shared" si="1871"/>
        <v>12</v>
      </c>
      <c r="W4094">
        <f t="shared" si="1868"/>
        <v>12</v>
      </c>
      <c r="X4094">
        <f t="shared" si="1869"/>
        <v>2010</v>
      </c>
    </row>
    <row r="4095" spans="1:24" ht="12" customHeight="1">
      <c r="A4095" s="4">
        <v>5381</v>
      </c>
      <c r="B4095" s="4">
        <v>38274</v>
      </c>
      <c r="C4095" s="5">
        <f t="shared" ref="C4095:C4097" si="1899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900">C4095+2</f>
        <v>40706</v>
      </c>
      <c r="V4095">
        <f t="shared" si="1871"/>
        <v>12</v>
      </c>
      <c r="W4095">
        <f t="shared" si="1868"/>
        <v>6</v>
      </c>
      <c r="X4095">
        <f t="shared" si="1869"/>
        <v>2011</v>
      </c>
    </row>
    <row r="4096" spans="1:24" ht="12" customHeight="1">
      <c r="A4096" s="4">
        <v>5382</v>
      </c>
      <c r="B4096" s="4">
        <v>38274</v>
      </c>
      <c r="C4096" s="5">
        <f t="shared" si="1899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900"/>
        <v>40706</v>
      </c>
      <c r="V4096">
        <f t="shared" si="1871"/>
        <v>12</v>
      </c>
      <c r="W4096">
        <f t="shared" si="1868"/>
        <v>6</v>
      </c>
      <c r="X4096">
        <f t="shared" si="1869"/>
        <v>2011</v>
      </c>
    </row>
    <row r="4097" spans="1:24" ht="12" customHeight="1">
      <c r="A4097" s="4">
        <v>5383</v>
      </c>
      <c r="B4097" s="4">
        <v>38274</v>
      </c>
      <c r="C4097" s="5">
        <f t="shared" si="1899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  <c r="V4097">
        <f t="shared" si="1871"/>
        <v>11</v>
      </c>
      <c r="W4097">
        <f t="shared" si="1868"/>
        <v>6</v>
      </c>
      <c r="X4097">
        <f t="shared" si="1869"/>
        <v>2011</v>
      </c>
    </row>
    <row r="4098" spans="1:24" ht="12" customHeight="1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  <c r="V4098">
        <f t="shared" si="1871"/>
        <v>5</v>
      </c>
      <c r="W4098">
        <f t="shared" si="1868"/>
        <v>4</v>
      </c>
      <c r="X4098">
        <f t="shared" si="1869"/>
        <v>2011</v>
      </c>
    </row>
    <row r="4099" spans="1:24" ht="12" customHeight="1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  <c r="V4099">
        <f t="shared" si="1871"/>
        <v>18</v>
      </c>
      <c r="W4099">
        <f t="shared" ref="W4099:W4162" si="1901">MONTH(U4099)</f>
        <v>7</v>
      </c>
      <c r="X4099">
        <f t="shared" ref="X4099:X4162" si="1902">YEAR(U4099)</f>
        <v>2010</v>
      </c>
    </row>
    <row r="4100" spans="1:24" ht="12" customHeight="1">
      <c r="A4100" s="4">
        <v>5409</v>
      </c>
      <c r="B4100" s="4">
        <v>38466</v>
      </c>
      <c r="C4100" s="5">
        <f t="shared" ref="C4100:C4102" si="1903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  <c r="V4100">
        <f t="shared" ref="V4100:V4163" si="1904">DAY(U4100)</f>
        <v>18</v>
      </c>
      <c r="W4100">
        <f t="shared" si="1901"/>
        <v>8</v>
      </c>
      <c r="X4100">
        <f t="shared" si="1902"/>
        <v>2011</v>
      </c>
    </row>
    <row r="4101" spans="1:24" ht="12" customHeight="1">
      <c r="A4101" s="4">
        <v>5410</v>
      </c>
      <c r="B4101" s="4">
        <v>38466</v>
      </c>
      <c r="C4101" s="5">
        <f t="shared" si="1903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  <c r="V4101">
        <f t="shared" si="1904"/>
        <v>19</v>
      </c>
      <c r="W4101">
        <f t="shared" si="1901"/>
        <v>8</v>
      </c>
      <c r="X4101">
        <f t="shared" si="1902"/>
        <v>2011</v>
      </c>
    </row>
    <row r="4102" spans="1:24" ht="12" customHeight="1">
      <c r="A4102" s="4">
        <v>5411</v>
      </c>
      <c r="B4102" s="4">
        <v>38466</v>
      </c>
      <c r="C4102" s="5">
        <f t="shared" si="1903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905">C4102+1</f>
        <v>40773</v>
      </c>
      <c r="V4102">
        <f t="shared" si="1904"/>
        <v>18</v>
      </c>
      <c r="W4102">
        <f t="shared" si="1901"/>
        <v>8</v>
      </c>
      <c r="X4102">
        <f t="shared" si="1902"/>
        <v>2011</v>
      </c>
    </row>
    <row r="4103" spans="1:24" ht="12" customHeight="1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905"/>
        <v>39932</v>
      </c>
      <c r="V4103">
        <f t="shared" si="1904"/>
        <v>29</v>
      </c>
      <c r="W4103">
        <f t="shared" si="1901"/>
        <v>4</v>
      </c>
      <c r="X4103">
        <f t="shared" si="1902"/>
        <v>2009</v>
      </c>
    </row>
    <row r="4104" spans="1:24" ht="12" customHeight="1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  <c r="V4104">
        <f t="shared" si="1904"/>
        <v>19</v>
      </c>
      <c r="W4104">
        <f t="shared" si="1901"/>
        <v>7</v>
      </c>
      <c r="X4104">
        <f t="shared" si="1902"/>
        <v>2012</v>
      </c>
    </row>
    <row r="4105" spans="1:24" ht="12" customHeight="1">
      <c r="A4105" s="4">
        <v>5428</v>
      </c>
      <c r="B4105" s="4">
        <v>38564</v>
      </c>
      <c r="C4105" s="5">
        <f t="shared" ref="C4105:C4106" si="1906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  <c r="V4105">
        <f t="shared" si="1904"/>
        <v>3</v>
      </c>
      <c r="W4105">
        <f t="shared" si="1901"/>
        <v>11</v>
      </c>
      <c r="X4105">
        <f t="shared" si="1902"/>
        <v>2009</v>
      </c>
    </row>
    <row r="4106" spans="1:24" ht="12" customHeight="1">
      <c r="A4106" s="4">
        <v>5429</v>
      </c>
      <c r="B4106" s="4">
        <v>38564</v>
      </c>
      <c r="C4106" s="5">
        <f t="shared" si="1906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  <c r="V4106">
        <f t="shared" si="1904"/>
        <v>4</v>
      </c>
      <c r="W4106">
        <f t="shared" si="1901"/>
        <v>11</v>
      </c>
      <c r="X4106">
        <f t="shared" si="1902"/>
        <v>2009</v>
      </c>
    </row>
    <row r="4107" spans="1:24" ht="12" customHeight="1">
      <c r="A4107" s="4">
        <v>5481</v>
      </c>
      <c r="B4107" s="4">
        <v>38915</v>
      </c>
      <c r="C4107" s="5">
        <f t="shared" ref="C4107:C4108" si="1907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  <c r="V4107">
        <f t="shared" si="1904"/>
        <v>18</v>
      </c>
      <c r="W4107">
        <f t="shared" si="1901"/>
        <v>9</v>
      </c>
      <c r="X4107">
        <f t="shared" si="1902"/>
        <v>2009</v>
      </c>
    </row>
    <row r="4108" spans="1:24" ht="12" customHeight="1">
      <c r="A4108" s="4">
        <v>5482</v>
      </c>
      <c r="B4108" s="4">
        <v>38915</v>
      </c>
      <c r="C4108" s="5">
        <f t="shared" si="1907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908">C4108+2</f>
        <v>40075</v>
      </c>
      <c r="V4108">
        <f t="shared" si="1904"/>
        <v>19</v>
      </c>
      <c r="W4108">
        <f t="shared" si="1901"/>
        <v>9</v>
      </c>
      <c r="X4108">
        <f t="shared" si="1902"/>
        <v>2009</v>
      </c>
    </row>
    <row r="4109" spans="1:24" ht="12" customHeight="1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908"/>
        <v>40148</v>
      </c>
      <c r="V4109">
        <f t="shared" si="1904"/>
        <v>1</v>
      </c>
      <c r="W4109">
        <f t="shared" si="1901"/>
        <v>12</v>
      </c>
      <c r="X4109">
        <f t="shared" si="1902"/>
        <v>2009</v>
      </c>
    </row>
    <row r="4110" spans="1:24" ht="12" customHeight="1">
      <c r="A4110" s="4">
        <v>5512</v>
      </c>
      <c r="B4110" s="4">
        <v>39078</v>
      </c>
      <c r="C4110" s="5">
        <f t="shared" ref="C4110:C4112" si="1909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  <c r="V4110">
        <f t="shared" si="1904"/>
        <v>23</v>
      </c>
      <c r="W4110">
        <f t="shared" si="1901"/>
        <v>6</v>
      </c>
      <c r="X4110">
        <f t="shared" si="1902"/>
        <v>2009</v>
      </c>
    </row>
    <row r="4111" spans="1:24" ht="12" customHeight="1">
      <c r="A4111" s="4">
        <v>5513</v>
      </c>
      <c r="B4111" s="4">
        <v>39078</v>
      </c>
      <c r="C4111" s="5">
        <f t="shared" si="1909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  <c r="V4111">
        <f t="shared" si="1904"/>
        <v>30</v>
      </c>
      <c r="W4111">
        <f t="shared" si="1901"/>
        <v>6</v>
      </c>
      <c r="X4111">
        <f t="shared" si="1902"/>
        <v>2009</v>
      </c>
    </row>
    <row r="4112" spans="1:24" ht="12" customHeight="1">
      <c r="A4112" s="4">
        <v>5514</v>
      </c>
      <c r="B4112" s="4">
        <v>39078</v>
      </c>
      <c r="C4112" s="5">
        <f t="shared" si="1909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910">C4112+2</f>
        <v>39989</v>
      </c>
      <c r="V4112">
        <f t="shared" si="1904"/>
        <v>25</v>
      </c>
      <c r="W4112">
        <f t="shared" si="1901"/>
        <v>6</v>
      </c>
      <c r="X4112">
        <f t="shared" si="1902"/>
        <v>2009</v>
      </c>
    </row>
    <row r="4113" spans="1:24" ht="12" customHeight="1">
      <c r="A4113" s="4">
        <v>5524</v>
      </c>
      <c r="B4113" s="4">
        <v>39141</v>
      </c>
      <c r="C4113" s="5">
        <f t="shared" ref="C4113:C4114" si="1911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910"/>
        <v>39938</v>
      </c>
      <c r="V4113">
        <f t="shared" si="1904"/>
        <v>5</v>
      </c>
      <c r="W4113">
        <f t="shared" si="1901"/>
        <v>5</v>
      </c>
      <c r="X4113">
        <f t="shared" si="1902"/>
        <v>2009</v>
      </c>
    </row>
    <row r="4114" spans="1:24" ht="12" customHeight="1">
      <c r="A4114" s="4">
        <v>5525</v>
      </c>
      <c r="B4114" s="4">
        <v>39141</v>
      </c>
      <c r="C4114" s="5">
        <f t="shared" si="1911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910"/>
        <v>39938</v>
      </c>
      <c r="V4114">
        <f t="shared" si="1904"/>
        <v>5</v>
      </c>
      <c r="W4114">
        <f t="shared" si="1901"/>
        <v>5</v>
      </c>
      <c r="X4114">
        <f t="shared" si="1902"/>
        <v>2009</v>
      </c>
    </row>
    <row r="4115" spans="1:24" ht="12" customHeight="1">
      <c r="A4115" s="4">
        <v>5570</v>
      </c>
      <c r="B4115" s="4">
        <v>39460</v>
      </c>
      <c r="C4115" s="5">
        <f t="shared" ref="C4115:C4116" si="1912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910"/>
        <v>39937</v>
      </c>
      <c r="V4115">
        <f t="shared" si="1904"/>
        <v>4</v>
      </c>
      <c r="W4115">
        <f t="shared" si="1901"/>
        <v>5</v>
      </c>
      <c r="X4115">
        <f t="shared" si="1902"/>
        <v>2009</v>
      </c>
    </row>
    <row r="4116" spans="1:24" ht="12" customHeight="1">
      <c r="A4116" s="4">
        <v>5571</v>
      </c>
      <c r="B4116" s="4">
        <v>39460</v>
      </c>
      <c r="C4116" s="5">
        <f t="shared" si="1912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913">C4116+1</f>
        <v>39936</v>
      </c>
      <c r="V4116">
        <f t="shared" si="1904"/>
        <v>3</v>
      </c>
      <c r="W4116">
        <f t="shared" si="1901"/>
        <v>5</v>
      </c>
      <c r="X4116">
        <f t="shared" si="1902"/>
        <v>2009</v>
      </c>
    </row>
    <row r="4117" spans="1:24" ht="12" customHeight="1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913"/>
        <v>39847</v>
      </c>
      <c r="V4117">
        <f t="shared" si="1904"/>
        <v>3</v>
      </c>
      <c r="W4117">
        <f t="shared" si="1901"/>
        <v>2</v>
      </c>
      <c r="X4117">
        <f t="shared" si="1902"/>
        <v>2009</v>
      </c>
    </row>
    <row r="4118" spans="1:24" ht="12" customHeight="1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  <c r="V4118">
        <f t="shared" si="1904"/>
        <v>4</v>
      </c>
      <c r="W4118">
        <f t="shared" si="1901"/>
        <v>3</v>
      </c>
      <c r="X4118">
        <f t="shared" si="1902"/>
        <v>2011</v>
      </c>
    </row>
    <row r="4119" spans="1:24" ht="12" customHeight="1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  <c r="V4119">
        <f t="shared" si="1904"/>
        <v>8</v>
      </c>
      <c r="W4119">
        <f t="shared" si="1901"/>
        <v>2</v>
      </c>
      <c r="X4119">
        <f t="shared" si="1902"/>
        <v>2012</v>
      </c>
    </row>
    <row r="4120" spans="1:24" ht="12" customHeight="1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  <c r="V4120">
        <f t="shared" si="1904"/>
        <v>7</v>
      </c>
      <c r="W4120">
        <f t="shared" si="1901"/>
        <v>7</v>
      </c>
      <c r="X4120">
        <f t="shared" si="1902"/>
        <v>2009</v>
      </c>
    </row>
    <row r="4121" spans="1:24" ht="12" customHeight="1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  <c r="V4121">
        <f t="shared" si="1904"/>
        <v>20</v>
      </c>
      <c r="W4121">
        <f t="shared" si="1901"/>
        <v>7</v>
      </c>
      <c r="X4121">
        <f t="shared" si="1902"/>
        <v>2011</v>
      </c>
    </row>
    <row r="4122" spans="1:24" ht="12" customHeight="1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914">C4122+1</f>
        <v>41156</v>
      </c>
      <c r="V4122">
        <f t="shared" si="1904"/>
        <v>4</v>
      </c>
      <c r="W4122">
        <f t="shared" si="1901"/>
        <v>9</v>
      </c>
      <c r="X4122">
        <f t="shared" si="1902"/>
        <v>2012</v>
      </c>
    </row>
    <row r="4123" spans="1:24" ht="12" customHeight="1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914"/>
        <v>41000</v>
      </c>
      <c r="V4123">
        <f t="shared" si="1904"/>
        <v>1</v>
      </c>
      <c r="W4123">
        <f t="shared" si="1901"/>
        <v>4</v>
      </c>
      <c r="X4123">
        <f t="shared" si="1902"/>
        <v>2012</v>
      </c>
    </row>
    <row r="4124" spans="1:24" ht="12" customHeight="1">
      <c r="A4124" s="4">
        <v>5777</v>
      </c>
      <c r="B4124" s="4">
        <v>40997</v>
      </c>
      <c r="C4124" s="5">
        <f t="shared" ref="C4124:C4127" si="1915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  <c r="V4124">
        <f t="shared" si="1904"/>
        <v>21</v>
      </c>
      <c r="W4124">
        <f t="shared" si="1901"/>
        <v>4</v>
      </c>
      <c r="X4124">
        <f t="shared" si="1902"/>
        <v>2009</v>
      </c>
    </row>
    <row r="4125" spans="1:24" ht="12" customHeight="1">
      <c r="A4125" s="4">
        <v>5778</v>
      </c>
      <c r="B4125" s="4">
        <v>40997</v>
      </c>
      <c r="C4125" s="5">
        <f t="shared" si="1915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  <c r="V4125">
        <f t="shared" si="1904"/>
        <v>28</v>
      </c>
      <c r="W4125">
        <f t="shared" si="1901"/>
        <v>4</v>
      </c>
      <c r="X4125">
        <f t="shared" si="1902"/>
        <v>2009</v>
      </c>
    </row>
    <row r="4126" spans="1:24" ht="12" customHeight="1">
      <c r="A4126" s="4">
        <v>5779</v>
      </c>
      <c r="B4126" s="4">
        <v>40997</v>
      </c>
      <c r="C4126" s="5">
        <f t="shared" si="1915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  <c r="V4126">
        <f t="shared" si="1904"/>
        <v>23</v>
      </c>
      <c r="W4126">
        <f t="shared" si="1901"/>
        <v>4</v>
      </c>
      <c r="X4126">
        <f t="shared" si="1902"/>
        <v>2009</v>
      </c>
    </row>
    <row r="4127" spans="1:24" ht="12" customHeight="1">
      <c r="A4127" s="4">
        <v>5780</v>
      </c>
      <c r="B4127" s="4">
        <v>40997</v>
      </c>
      <c r="C4127" s="5">
        <f t="shared" si="1915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  <c r="V4127">
        <f t="shared" si="1904"/>
        <v>25</v>
      </c>
      <c r="W4127">
        <f t="shared" si="1901"/>
        <v>4</v>
      </c>
      <c r="X4127">
        <f t="shared" si="1902"/>
        <v>2009</v>
      </c>
    </row>
    <row r="4128" spans="1:24" ht="12" customHeight="1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  <c r="V4128">
        <f t="shared" si="1904"/>
        <v>7</v>
      </c>
      <c r="W4128">
        <f t="shared" si="1901"/>
        <v>12</v>
      </c>
      <c r="X4128">
        <f t="shared" si="1902"/>
        <v>2009</v>
      </c>
    </row>
    <row r="4129" spans="1:24" ht="12" customHeight="1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  <c r="V4129">
        <f t="shared" si="1904"/>
        <v>9</v>
      </c>
      <c r="W4129">
        <f t="shared" si="1901"/>
        <v>5</v>
      </c>
      <c r="X4129">
        <f t="shared" si="1902"/>
        <v>2009</v>
      </c>
    </row>
    <row r="4130" spans="1:24" ht="12" customHeight="1">
      <c r="A4130" s="4">
        <v>5831</v>
      </c>
      <c r="B4130" s="4">
        <v>41378</v>
      </c>
      <c r="C4130" s="5">
        <f t="shared" ref="C4130:C4131" si="1916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  <c r="V4130">
        <f t="shared" si="1904"/>
        <v>1</v>
      </c>
      <c r="W4130">
        <f t="shared" si="1901"/>
        <v>11</v>
      </c>
      <c r="X4130">
        <f t="shared" si="1902"/>
        <v>2012</v>
      </c>
    </row>
    <row r="4131" spans="1:24" ht="12" customHeight="1">
      <c r="A4131" s="4">
        <v>5832</v>
      </c>
      <c r="B4131" s="4">
        <v>41378</v>
      </c>
      <c r="C4131" s="5">
        <f t="shared" si="1916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917">C4131+2</f>
        <v>41213</v>
      </c>
      <c r="V4131">
        <f t="shared" si="1904"/>
        <v>31</v>
      </c>
      <c r="W4131">
        <f t="shared" si="1901"/>
        <v>10</v>
      </c>
      <c r="X4131">
        <f t="shared" si="1902"/>
        <v>2012</v>
      </c>
    </row>
    <row r="4132" spans="1:24" ht="12" customHeight="1">
      <c r="A4132" s="4">
        <v>5845</v>
      </c>
      <c r="B4132" s="4">
        <v>41474</v>
      </c>
      <c r="C4132" s="5">
        <f t="shared" ref="C4132:C4133" si="1918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917"/>
        <v>39925</v>
      </c>
      <c r="V4132">
        <f t="shared" si="1904"/>
        <v>22</v>
      </c>
      <c r="W4132">
        <f t="shared" si="1901"/>
        <v>4</v>
      </c>
      <c r="X4132">
        <f t="shared" si="1902"/>
        <v>2009</v>
      </c>
    </row>
    <row r="4133" spans="1:24" ht="12" customHeight="1">
      <c r="A4133" s="4">
        <v>5846</v>
      </c>
      <c r="B4133" s="4">
        <v>41474</v>
      </c>
      <c r="C4133" s="5">
        <f t="shared" si="1918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917"/>
        <v>39925</v>
      </c>
      <c r="V4133">
        <f t="shared" si="1904"/>
        <v>22</v>
      </c>
      <c r="W4133">
        <f t="shared" si="1901"/>
        <v>4</v>
      </c>
      <c r="X4133">
        <f t="shared" si="1902"/>
        <v>2009</v>
      </c>
    </row>
    <row r="4134" spans="1:24" ht="12" customHeight="1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917"/>
        <v>40447</v>
      </c>
      <c r="V4134">
        <f t="shared" si="1904"/>
        <v>26</v>
      </c>
      <c r="W4134">
        <f t="shared" si="1901"/>
        <v>9</v>
      </c>
      <c r="X4134">
        <f t="shared" si="1902"/>
        <v>2010</v>
      </c>
    </row>
    <row r="4135" spans="1:24" ht="12" customHeight="1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  <c r="V4135">
        <f t="shared" si="1904"/>
        <v>22</v>
      </c>
      <c r="W4135">
        <f t="shared" si="1901"/>
        <v>7</v>
      </c>
      <c r="X4135">
        <f t="shared" si="1902"/>
        <v>2010</v>
      </c>
    </row>
    <row r="4136" spans="1:24" ht="12" customHeight="1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  <c r="V4136">
        <f t="shared" si="1904"/>
        <v>15</v>
      </c>
      <c r="W4136">
        <f t="shared" si="1901"/>
        <v>6</v>
      </c>
      <c r="X4136">
        <f t="shared" si="1902"/>
        <v>2011</v>
      </c>
    </row>
    <row r="4137" spans="1:24" ht="12" customHeight="1">
      <c r="A4137" s="4">
        <v>5880</v>
      </c>
      <c r="B4137" s="4">
        <v>41728</v>
      </c>
      <c r="C4137" s="5">
        <f t="shared" ref="C4137:C4138" si="1919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  <c r="V4137">
        <f t="shared" si="1904"/>
        <v>2</v>
      </c>
      <c r="W4137">
        <f t="shared" si="1901"/>
        <v>10</v>
      </c>
      <c r="X4137">
        <f t="shared" si="1902"/>
        <v>2009</v>
      </c>
    </row>
    <row r="4138" spans="1:24" ht="12" customHeight="1">
      <c r="A4138" s="4">
        <v>5881</v>
      </c>
      <c r="B4138" s="4">
        <v>41728</v>
      </c>
      <c r="C4138" s="5">
        <f t="shared" si="1919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  <c r="V4138">
        <f t="shared" si="1904"/>
        <v>1</v>
      </c>
      <c r="W4138">
        <f t="shared" si="1901"/>
        <v>10</v>
      </c>
      <c r="X4138">
        <f t="shared" si="1902"/>
        <v>2009</v>
      </c>
    </row>
    <row r="4139" spans="1:24" ht="12" customHeight="1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920">C4139+2</f>
        <v>40093</v>
      </c>
      <c r="V4139">
        <f t="shared" si="1904"/>
        <v>7</v>
      </c>
      <c r="W4139">
        <f t="shared" si="1901"/>
        <v>10</v>
      </c>
      <c r="X4139">
        <f t="shared" si="1902"/>
        <v>2009</v>
      </c>
    </row>
    <row r="4140" spans="1:24" ht="12" customHeight="1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920"/>
        <v>40897</v>
      </c>
      <c r="V4140">
        <f t="shared" si="1904"/>
        <v>20</v>
      </c>
      <c r="W4140">
        <f t="shared" si="1901"/>
        <v>12</v>
      </c>
      <c r="X4140">
        <f t="shared" si="1902"/>
        <v>2011</v>
      </c>
    </row>
    <row r="4141" spans="1:24" ht="12" customHeight="1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  <c r="V4141">
        <f t="shared" si="1904"/>
        <v>1</v>
      </c>
      <c r="W4141">
        <f t="shared" si="1901"/>
        <v>7</v>
      </c>
      <c r="X4141">
        <f t="shared" si="1902"/>
        <v>2009</v>
      </c>
    </row>
    <row r="4142" spans="1:24" ht="12" customHeight="1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  <c r="V4142">
        <f t="shared" si="1904"/>
        <v>15</v>
      </c>
      <c r="W4142">
        <f t="shared" si="1901"/>
        <v>6</v>
      </c>
      <c r="X4142">
        <f t="shared" si="1902"/>
        <v>2009</v>
      </c>
    </row>
    <row r="4143" spans="1:24" ht="12" customHeight="1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921">C4143+1</f>
        <v>40453</v>
      </c>
      <c r="V4143">
        <f t="shared" si="1904"/>
        <v>2</v>
      </c>
      <c r="W4143">
        <f t="shared" si="1901"/>
        <v>10</v>
      </c>
      <c r="X4143">
        <f t="shared" si="1902"/>
        <v>2010</v>
      </c>
    </row>
    <row r="4144" spans="1:24" ht="12" customHeight="1">
      <c r="A4144" s="4">
        <v>6044</v>
      </c>
      <c r="B4144" s="4">
        <v>42851</v>
      </c>
      <c r="C4144" s="5">
        <f t="shared" ref="C4144:C4145" si="1922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921"/>
        <v>39966</v>
      </c>
      <c r="V4144">
        <f t="shared" si="1904"/>
        <v>2</v>
      </c>
      <c r="W4144">
        <f t="shared" si="1901"/>
        <v>6</v>
      </c>
      <c r="X4144">
        <f t="shared" si="1902"/>
        <v>2009</v>
      </c>
    </row>
    <row r="4145" spans="1:24" ht="12" customHeight="1">
      <c r="A4145" s="4">
        <v>6045</v>
      </c>
      <c r="B4145" s="4">
        <v>42851</v>
      </c>
      <c r="C4145" s="5">
        <f t="shared" si="1922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921"/>
        <v>39966</v>
      </c>
      <c r="V4145">
        <f t="shared" si="1904"/>
        <v>2</v>
      </c>
      <c r="W4145">
        <f t="shared" si="1901"/>
        <v>6</v>
      </c>
      <c r="X4145">
        <f t="shared" si="1902"/>
        <v>2009</v>
      </c>
    </row>
    <row r="4146" spans="1:24" ht="12" customHeight="1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923">C4146+2</f>
        <v>40494</v>
      </c>
      <c r="V4146">
        <f t="shared" si="1904"/>
        <v>12</v>
      </c>
      <c r="W4146">
        <f t="shared" si="1901"/>
        <v>11</v>
      </c>
      <c r="X4146">
        <f t="shared" si="1902"/>
        <v>2010</v>
      </c>
    </row>
    <row r="4147" spans="1:24" ht="12" customHeight="1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923"/>
        <v>40068</v>
      </c>
      <c r="V4147">
        <f t="shared" si="1904"/>
        <v>12</v>
      </c>
      <c r="W4147">
        <f t="shared" si="1901"/>
        <v>9</v>
      </c>
      <c r="X4147">
        <f t="shared" si="1902"/>
        <v>2009</v>
      </c>
    </row>
    <row r="4148" spans="1:24" ht="12" customHeight="1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  <c r="V4148">
        <f t="shared" si="1904"/>
        <v>11</v>
      </c>
      <c r="W4148">
        <f t="shared" si="1901"/>
        <v>6</v>
      </c>
      <c r="X4148">
        <f t="shared" si="1902"/>
        <v>2012</v>
      </c>
    </row>
    <row r="4149" spans="1:24" ht="12" customHeight="1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  <c r="V4149">
        <f t="shared" si="1904"/>
        <v>5</v>
      </c>
      <c r="W4149">
        <f t="shared" si="1901"/>
        <v>2</v>
      </c>
      <c r="X4149">
        <f t="shared" si="1902"/>
        <v>2011</v>
      </c>
    </row>
    <row r="4150" spans="1:24" ht="12" customHeight="1">
      <c r="A4150" s="4">
        <v>6408</v>
      </c>
      <c r="B4150" s="4">
        <v>45542</v>
      </c>
      <c r="C4150" s="5">
        <f t="shared" ref="C4150:C4151" si="1924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  <c r="V4150">
        <f t="shared" si="1904"/>
        <v>10</v>
      </c>
      <c r="W4150">
        <f t="shared" si="1901"/>
        <v>2</v>
      </c>
      <c r="X4150">
        <f t="shared" si="1902"/>
        <v>2010</v>
      </c>
    </row>
    <row r="4151" spans="1:24" ht="12" customHeight="1">
      <c r="A4151" s="4">
        <v>6409</v>
      </c>
      <c r="B4151" s="4">
        <v>45542</v>
      </c>
      <c r="C4151" s="5">
        <f t="shared" si="1924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  <c r="V4151">
        <f t="shared" si="1904"/>
        <v>8</v>
      </c>
      <c r="W4151">
        <f t="shared" si="1901"/>
        <v>2</v>
      </c>
      <c r="X4151">
        <f t="shared" si="1902"/>
        <v>2010</v>
      </c>
    </row>
    <row r="4152" spans="1:24" ht="12" customHeight="1">
      <c r="A4152" s="4">
        <v>6427</v>
      </c>
      <c r="B4152" s="4">
        <v>45698</v>
      </c>
      <c r="C4152" s="5">
        <f t="shared" ref="C4152:C4153" si="1925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  <c r="V4152">
        <f t="shared" si="1904"/>
        <v>25</v>
      </c>
      <c r="W4152">
        <f t="shared" si="1901"/>
        <v>4</v>
      </c>
      <c r="X4152">
        <f t="shared" si="1902"/>
        <v>2012</v>
      </c>
    </row>
    <row r="4153" spans="1:24" ht="12" customHeight="1">
      <c r="A4153" s="4">
        <v>6428</v>
      </c>
      <c r="B4153" s="4">
        <v>45698</v>
      </c>
      <c r="C4153" s="5">
        <f t="shared" si="1925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  <c r="V4153">
        <f t="shared" si="1904"/>
        <v>26</v>
      </c>
      <c r="W4153">
        <f t="shared" si="1901"/>
        <v>4</v>
      </c>
      <c r="X4153">
        <f t="shared" si="1902"/>
        <v>2012</v>
      </c>
    </row>
    <row r="4154" spans="1:24" ht="12" customHeight="1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926">C4154+2</f>
        <v>39886</v>
      </c>
      <c r="V4154">
        <f t="shared" si="1904"/>
        <v>14</v>
      </c>
      <c r="W4154">
        <f t="shared" si="1901"/>
        <v>3</v>
      </c>
      <c r="X4154">
        <f t="shared" si="1902"/>
        <v>2009</v>
      </c>
    </row>
    <row r="4155" spans="1:24" ht="12" customHeight="1">
      <c r="A4155" s="4">
        <v>6471</v>
      </c>
      <c r="B4155" s="4">
        <v>46052</v>
      </c>
      <c r="C4155" s="5">
        <f t="shared" ref="C4155:C4156" si="1927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926"/>
        <v>40142</v>
      </c>
      <c r="V4155">
        <f t="shared" si="1904"/>
        <v>25</v>
      </c>
      <c r="W4155">
        <f t="shared" si="1901"/>
        <v>11</v>
      </c>
      <c r="X4155">
        <f t="shared" si="1902"/>
        <v>2009</v>
      </c>
    </row>
    <row r="4156" spans="1:24" ht="12" customHeight="1">
      <c r="A4156" s="4">
        <v>6472</v>
      </c>
      <c r="B4156" s="4">
        <v>46052</v>
      </c>
      <c r="C4156" s="5">
        <f t="shared" si="1927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926"/>
        <v>40142</v>
      </c>
      <c r="V4156">
        <f t="shared" si="1904"/>
        <v>25</v>
      </c>
      <c r="W4156">
        <f t="shared" si="1901"/>
        <v>11</v>
      </c>
      <c r="X4156">
        <f t="shared" si="1902"/>
        <v>2009</v>
      </c>
    </row>
    <row r="4157" spans="1:24" ht="12" customHeight="1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926"/>
        <v>40368</v>
      </c>
      <c r="V4157">
        <f t="shared" si="1904"/>
        <v>9</v>
      </c>
      <c r="W4157">
        <f t="shared" si="1901"/>
        <v>7</v>
      </c>
      <c r="X4157">
        <f t="shared" si="1902"/>
        <v>2010</v>
      </c>
    </row>
    <row r="4158" spans="1:24" ht="12" customHeight="1">
      <c r="A4158" s="4">
        <v>6519</v>
      </c>
      <c r="B4158" s="4">
        <v>46402</v>
      </c>
      <c r="C4158" s="5">
        <f t="shared" ref="C4158:C4160" si="1928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926"/>
        <v>40553</v>
      </c>
      <c r="V4158">
        <f t="shared" si="1904"/>
        <v>10</v>
      </c>
      <c r="W4158">
        <f t="shared" si="1901"/>
        <v>1</v>
      </c>
      <c r="X4158">
        <f t="shared" si="1902"/>
        <v>2011</v>
      </c>
    </row>
    <row r="4159" spans="1:24" ht="12" customHeight="1">
      <c r="A4159" s="4">
        <v>6520</v>
      </c>
      <c r="B4159" s="4">
        <v>46402</v>
      </c>
      <c r="C4159" s="5">
        <f t="shared" si="1928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929">C4159+1</f>
        <v>40552</v>
      </c>
      <c r="V4159">
        <f t="shared" si="1904"/>
        <v>9</v>
      </c>
      <c r="W4159">
        <f t="shared" si="1901"/>
        <v>1</v>
      </c>
      <c r="X4159">
        <f t="shared" si="1902"/>
        <v>2011</v>
      </c>
    </row>
    <row r="4160" spans="1:24" ht="12" customHeight="1">
      <c r="A4160" s="4">
        <v>6521</v>
      </c>
      <c r="B4160" s="4">
        <v>46402</v>
      </c>
      <c r="C4160" s="5">
        <f t="shared" si="1928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929"/>
        <v>40552</v>
      </c>
      <c r="V4160">
        <f t="shared" si="1904"/>
        <v>9</v>
      </c>
      <c r="W4160">
        <f t="shared" si="1901"/>
        <v>1</v>
      </c>
      <c r="X4160">
        <f t="shared" si="1902"/>
        <v>2011</v>
      </c>
    </row>
    <row r="4161" spans="1:24" ht="12" customHeight="1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929"/>
        <v>40973</v>
      </c>
      <c r="V4161">
        <f t="shared" si="1904"/>
        <v>5</v>
      </c>
      <c r="W4161">
        <f t="shared" si="1901"/>
        <v>3</v>
      </c>
      <c r="X4161">
        <f t="shared" si="1902"/>
        <v>2012</v>
      </c>
    </row>
    <row r="4162" spans="1:24" ht="12" customHeight="1">
      <c r="A4162" s="4">
        <v>6528</v>
      </c>
      <c r="B4162" s="4">
        <v>46468</v>
      </c>
      <c r="C4162" s="5">
        <f t="shared" ref="C4162:C4164" si="1930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929"/>
        <v>40555</v>
      </c>
      <c r="V4162">
        <f t="shared" si="1904"/>
        <v>12</v>
      </c>
      <c r="W4162">
        <f t="shared" si="1901"/>
        <v>1</v>
      </c>
      <c r="X4162">
        <f t="shared" si="1902"/>
        <v>2011</v>
      </c>
    </row>
    <row r="4163" spans="1:24" ht="12" customHeight="1">
      <c r="A4163" s="4">
        <v>6529</v>
      </c>
      <c r="B4163" s="4">
        <v>46468</v>
      </c>
      <c r="C4163" s="5">
        <f t="shared" si="1930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931">C4163+2</f>
        <v>40556</v>
      </c>
      <c r="V4163">
        <f t="shared" si="1904"/>
        <v>13</v>
      </c>
      <c r="W4163">
        <f t="shared" ref="W4163:W4226" si="1932">MONTH(U4163)</f>
        <v>1</v>
      </c>
      <c r="X4163">
        <f t="shared" ref="X4163:X4226" si="1933">YEAR(U4163)</f>
        <v>2011</v>
      </c>
    </row>
    <row r="4164" spans="1:24" ht="12" customHeight="1">
      <c r="A4164" s="4">
        <v>6530</v>
      </c>
      <c r="B4164" s="4">
        <v>46468</v>
      </c>
      <c r="C4164" s="5">
        <f t="shared" si="1930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931"/>
        <v>40556</v>
      </c>
      <c r="V4164">
        <f t="shared" ref="V4164:V4227" si="1934">DAY(U4164)</f>
        <v>13</v>
      </c>
      <c r="W4164">
        <f t="shared" si="1932"/>
        <v>1</v>
      </c>
      <c r="X4164">
        <f t="shared" si="1933"/>
        <v>2011</v>
      </c>
    </row>
    <row r="4165" spans="1:24" ht="12" customHeight="1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935">C4165+1</f>
        <v>41080</v>
      </c>
      <c r="V4165">
        <f t="shared" si="1934"/>
        <v>20</v>
      </c>
      <c r="W4165">
        <f t="shared" si="1932"/>
        <v>6</v>
      </c>
      <c r="X4165">
        <f t="shared" si="1933"/>
        <v>2012</v>
      </c>
    </row>
    <row r="4166" spans="1:24" ht="12" customHeight="1">
      <c r="A4166" s="4">
        <v>6651</v>
      </c>
      <c r="B4166" s="4">
        <v>47303</v>
      </c>
      <c r="C4166" s="5">
        <f t="shared" ref="C4166:C4168" si="1936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935"/>
        <v>40883</v>
      </c>
      <c r="V4166">
        <f t="shared" si="1934"/>
        <v>6</v>
      </c>
      <c r="W4166">
        <f t="shared" si="1932"/>
        <v>12</v>
      </c>
      <c r="X4166">
        <f t="shared" si="1933"/>
        <v>2011</v>
      </c>
    </row>
    <row r="4167" spans="1:24" ht="12" customHeight="1">
      <c r="A4167" s="4">
        <v>6652</v>
      </c>
      <c r="B4167" s="4">
        <v>47303</v>
      </c>
      <c r="C4167" s="5">
        <f t="shared" si="1936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935"/>
        <v>40883</v>
      </c>
      <c r="V4167">
        <f t="shared" si="1934"/>
        <v>6</v>
      </c>
      <c r="W4167">
        <f t="shared" si="1932"/>
        <v>12</v>
      </c>
      <c r="X4167">
        <f t="shared" si="1933"/>
        <v>2011</v>
      </c>
    </row>
    <row r="4168" spans="1:24" ht="12" customHeight="1">
      <c r="A4168" s="4">
        <v>6653</v>
      </c>
      <c r="B4168" s="4">
        <v>47303</v>
      </c>
      <c r="C4168" s="5">
        <f t="shared" si="1936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937">C4168+2</f>
        <v>40884</v>
      </c>
      <c r="V4168">
        <f t="shared" si="1934"/>
        <v>7</v>
      </c>
      <c r="W4168">
        <f t="shared" si="1932"/>
        <v>12</v>
      </c>
      <c r="X4168">
        <f t="shared" si="1933"/>
        <v>2011</v>
      </c>
    </row>
    <row r="4169" spans="1:24" ht="12" customHeight="1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937"/>
        <v>40749</v>
      </c>
      <c r="V4169">
        <f t="shared" si="1934"/>
        <v>25</v>
      </c>
      <c r="W4169">
        <f t="shared" si="1932"/>
        <v>7</v>
      </c>
      <c r="X4169">
        <f t="shared" si="1933"/>
        <v>2011</v>
      </c>
    </row>
    <row r="4170" spans="1:24" ht="12" customHeight="1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938">C4170+1</f>
        <v>41230</v>
      </c>
      <c r="V4170">
        <f t="shared" si="1934"/>
        <v>17</v>
      </c>
      <c r="W4170">
        <f t="shared" si="1932"/>
        <v>11</v>
      </c>
      <c r="X4170">
        <f t="shared" si="1933"/>
        <v>2012</v>
      </c>
    </row>
    <row r="4171" spans="1:24" ht="12" customHeight="1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938"/>
        <v>40158</v>
      </c>
      <c r="V4171">
        <f t="shared" si="1934"/>
        <v>11</v>
      </c>
      <c r="W4171">
        <f t="shared" si="1932"/>
        <v>12</v>
      </c>
      <c r="X4171">
        <f t="shared" si="1933"/>
        <v>2009</v>
      </c>
    </row>
    <row r="4172" spans="1:24" ht="12" customHeight="1">
      <c r="A4172" s="4">
        <v>6871</v>
      </c>
      <c r="B4172" s="4">
        <v>48961</v>
      </c>
      <c r="C4172" s="5">
        <f t="shared" ref="C4172:C4173" si="1939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940">C4172+2</f>
        <v>40017</v>
      </c>
      <c r="V4172">
        <f t="shared" si="1934"/>
        <v>23</v>
      </c>
      <c r="W4172">
        <f t="shared" si="1932"/>
        <v>7</v>
      </c>
      <c r="X4172">
        <f t="shared" si="1933"/>
        <v>2009</v>
      </c>
    </row>
    <row r="4173" spans="1:24" ht="12" customHeight="1">
      <c r="A4173" s="4">
        <v>6872</v>
      </c>
      <c r="B4173" s="4">
        <v>48961</v>
      </c>
      <c r="C4173" s="5">
        <f t="shared" si="1939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940"/>
        <v>40017</v>
      </c>
      <c r="V4173">
        <f t="shared" si="1934"/>
        <v>23</v>
      </c>
      <c r="W4173">
        <f t="shared" si="1932"/>
        <v>7</v>
      </c>
      <c r="X4173">
        <f t="shared" si="1933"/>
        <v>2009</v>
      </c>
    </row>
    <row r="4174" spans="1:24" ht="12" customHeight="1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940"/>
        <v>41145</v>
      </c>
      <c r="V4174">
        <f t="shared" si="1934"/>
        <v>24</v>
      </c>
      <c r="W4174">
        <f t="shared" si="1932"/>
        <v>8</v>
      </c>
      <c r="X4174">
        <f t="shared" si="1933"/>
        <v>2012</v>
      </c>
    </row>
    <row r="4175" spans="1:24" ht="12" customHeight="1">
      <c r="A4175" s="4">
        <v>6936</v>
      </c>
      <c r="B4175" s="4">
        <v>49505</v>
      </c>
      <c r="C4175" s="5">
        <f t="shared" ref="C4175:C4176" si="1941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940"/>
        <v>39836</v>
      </c>
      <c r="V4175">
        <f t="shared" si="1934"/>
        <v>23</v>
      </c>
      <c r="W4175">
        <f t="shared" si="1932"/>
        <v>1</v>
      </c>
      <c r="X4175">
        <f t="shared" si="1933"/>
        <v>2009</v>
      </c>
    </row>
    <row r="4176" spans="1:24" ht="12" customHeight="1">
      <c r="A4176" s="4">
        <v>6937</v>
      </c>
      <c r="B4176" s="4">
        <v>49505</v>
      </c>
      <c r="C4176" s="5">
        <f t="shared" si="1941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942">C4176+1</f>
        <v>39835</v>
      </c>
      <c r="V4176">
        <f t="shared" si="1934"/>
        <v>22</v>
      </c>
      <c r="W4176">
        <f t="shared" si="1932"/>
        <v>1</v>
      </c>
      <c r="X4176">
        <f t="shared" si="1933"/>
        <v>2009</v>
      </c>
    </row>
    <row r="4177" spans="1:24" ht="12" customHeight="1">
      <c r="A4177" s="4">
        <v>6966</v>
      </c>
      <c r="B4177" s="4">
        <v>49797</v>
      </c>
      <c r="C4177" s="5">
        <f t="shared" ref="C4177:C4178" si="1943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942"/>
        <v>40611</v>
      </c>
      <c r="V4177">
        <f t="shared" si="1934"/>
        <v>9</v>
      </c>
      <c r="W4177">
        <f t="shared" si="1932"/>
        <v>3</v>
      </c>
      <c r="X4177">
        <f t="shared" si="1933"/>
        <v>2011</v>
      </c>
    </row>
    <row r="4178" spans="1:24" ht="12" customHeight="1">
      <c r="A4178" s="4">
        <v>6967</v>
      </c>
      <c r="B4178" s="4">
        <v>49797</v>
      </c>
      <c r="C4178" s="5">
        <f t="shared" si="1943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942"/>
        <v>40611</v>
      </c>
      <c r="V4178">
        <f t="shared" si="1934"/>
        <v>9</v>
      </c>
      <c r="W4178">
        <f t="shared" si="1932"/>
        <v>3</v>
      </c>
      <c r="X4178">
        <f t="shared" si="1933"/>
        <v>2011</v>
      </c>
    </row>
    <row r="4179" spans="1:24" ht="12" customHeight="1">
      <c r="A4179" s="4">
        <v>7007</v>
      </c>
      <c r="B4179" s="4">
        <v>50017</v>
      </c>
      <c r="C4179" s="5">
        <f t="shared" ref="C4179:C4180" si="1944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  <c r="V4179">
        <f t="shared" si="1934"/>
        <v>22</v>
      </c>
      <c r="W4179">
        <f t="shared" si="1932"/>
        <v>11</v>
      </c>
      <c r="X4179">
        <f t="shared" si="1933"/>
        <v>2012</v>
      </c>
    </row>
    <row r="4180" spans="1:24" ht="12" customHeight="1">
      <c r="A4180" s="4">
        <v>7008</v>
      </c>
      <c r="B4180" s="4">
        <v>50017</v>
      </c>
      <c r="C4180" s="5">
        <f t="shared" si="1944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945">C4180+0</f>
        <v>41233</v>
      </c>
      <c r="V4180">
        <f t="shared" si="1934"/>
        <v>20</v>
      </c>
      <c r="W4180">
        <f t="shared" si="1932"/>
        <v>11</v>
      </c>
      <c r="X4180">
        <f t="shared" si="1933"/>
        <v>2012</v>
      </c>
    </row>
    <row r="4181" spans="1:24" ht="12" customHeight="1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945"/>
        <v>40090</v>
      </c>
      <c r="V4181">
        <f t="shared" si="1934"/>
        <v>4</v>
      </c>
      <c r="W4181">
        <f t="shared" si="1932"/>
        <v>10</v>
      </c>
      <c r="X4181">
        <f t="shared" si="1933"/>
        <v>2009</v>
      </c>
    </row>
    <row r="4182" spans="1:24" ht="12" customHeight="1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  <c r="V4182">
        <f t="shared" si="1934"/>
        <v>10</v>
      </c>
      <c r="W4182">
        <f t="shared" si="1932"/>
        <v>4</v>
      </c>
      <c r="X4182">
        <f t="shared" si="1933"/>
        <v>2011</v>
      </c>
    </row>
    <row r="4183" spans="1:24" ht="12" customHeight="1">
      <c r="A4183" s="4">
        <v>7047</v>
      </c>
      <c r="B4183" s="4">
        <v>50307</v>
      </c>
      <c r="C4183" s="5">
        <f t="shared" ref="C4183:C4184" si="1946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  <c r="V4183">
        <f t="shared" si="1934"/>
        <v>15</v>
      </c>
      <c r="W4183">
        <f t="shared" si="1932"/>
        <v>10</v>
      </c>
      <c r="X4183">
        <f t="shared" si="1933"/>
        <v>2010</v>
      </c>
    </row>
    <row r="4184" spans="1:24" ht="12" customHeight="1">
      <c r="A4184" s="4">
        <v>7048</v>
      </c>
      <c r="B4184" s="4">
        <v>50307</v>
      </c>
      <c r="C4184" s="5">
        <f t="shared" si="1946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  <c r="V4184">
        <f t="shared" si="1934"/>
        <v>17</v>
      </c>
      <c r="W4184">
        <f t="shared" si="1932"/>
        <v>10</v>
      </c>
      <c r="X4184">
        <f t="shared" si="1933"/>
        <v>2010</v>
      </c>
    </row>
    <row r="4185" spans="1:24" ht="12" customHeight="1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  <c r="V4185">
        <f t="shared" si="1934"/>
        <v>10</v>
      </c>
      <c r="W4185">
        <f t="shared" si="1932"/>
        <v>11</v>
      </c>
      <c r="X4185">
        <f t="shared" si="1933"/>
        <v>2010</v>
      </c>
    </row>
    <row r="4186" spans="1:24" ht="12" customHeight="1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  <c r="V4186">
        <f t="shared" si="1934"/>
        <v>25</v>
      </c>
      <c r="W4186">
        <f t="shared" si="1932"/>
        <v>7</v>
      </c>
      <c r="X4186">
        <f t="shared" si="1933"/>
        <v>2009</v>
      </c>
    </row>
    <row r="4187" spans="1:24" ht="12" customHeight="1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947">C4187+0</f>
        <v>40029</v>
      </c>
      <c r="V4187">
        <f t="shared" si="1934"/>
        <v>4</v>
      </c>
      <c r="W4187">
        <f t="shared" si="1932"/>
        <v>8</v>
      </c>
      <c r="X4187">
        <f t="shared" si="1933"/>
        <v>2009</v>
      </c>
    </row>
    <row r="4188" spans="1:24" ht="12" customHeight="1">
      <c r="A4188" s="4">
        <v>7165</v>
      </c>
      <c r="B4188" s="4">
        <v>51140</v>
      </c>
      <c r="C4188" s="5">
        <f t="shared" ref="C4188:C4190" si="1948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947"/>
        <v>41166</v>
      </c>
      <c r="V4188">
        <f t="shared" si="1934"/>
        <v>14</v>
      </c>
      <c r="W4188">
        <f t="shared" si="1932"/>
        <v>9</v>
      </c>
      <c r="X4188">
        <f t="shared" si="1933"/>
        <v>2012</v>
      </c>
    </row>
    <row r="4189" spans="1:24" ht="12" customHeight="1">
      <c r="A4189" s="4">
        <v>7166</v>
      </c>
      <c r="B4189" s="4">
        <v>51140</v>
      </c>
      <c r="C4189" s="5">
        <f t="shared" si="1948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  <c r="V4189">
        <f t="shared" si="1934"/>
        <v>18</v>
      </c>
      <c r="W4189">
        <f t="shared" si="1932"/>
        <v>9</v>
      </c>
      <c r="X4189">
        <f t="shared" si="1933"/>
        <v>2012</v>
      </c>
    </row>
    <row r="4190" spans="1:24" ht="12" customHeight="1">
      <c r="A4190" s="4">
        <v>7167</v>
      </c>
      <c r="B4190" s="4">
        <v>51140</v>
      </c>
      <c r="C4190" s="5">
        <f t="shared" si="1948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  <c r="V4190">
        <f t="shared" si="1934"/>
        <v>21</v>
      </c>
      <c r="W4190">
        <f t="shared" si="1932"/>
        <v>9</v>
      </c>
      <c r="X4190">
        <f t="shared" si="1933"/>
        <v>2012</v>
      </c>
    </row>
    <row r="4191" spans="1:24" ht="12" customHeight="1">
      <c r="A4191" s="4">
        <v>7177</v>
      </c>
      <c r="B4191" s="4">
        <v>51205</v>
      </c>
      <c r="C4191" s="5">
        <f t="shared" ref="C4191:C4192" si="1949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950">C4191+1</f>
        <v>41254</v>
      </c>
      <c r="V4191">
        <f t="shared" si="1934"/>
        <v>11</v>
      </c>
      <c r="W4191">
        <f t="shared" si="1932"/>
        <v>12</v>
      </c>
      <c r="X4191">
        <f t="shared" si="1933"/>
        <v>2012</v>
      </c>
    </row>
    <row r="4192" spans="1:24" ht="12" customHeight="1">
      <c r="A4192" s="4">
        <v>7178</v>
      </c>
      <c r="B4192" s="4">
        <v>51205</v>
      </c>
      <c r="C4192" s="5">
        <f t="shared" si="1949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950"/>
        <v>41254</v>
      </c>
      <c r="V4192">
        <f t="shared" si="1934"/>
        <v>11</v>
      </c>
      <c r="W4192">
        <f t="shared" si="1932"/>
        <v>12</v>
      </c>
      <c r="X4192">
        <f t="shared" si="1933"/>
        <v>2012</v>
      </c>
    </row>
    <row r="4193" spans="1:24" ht="12" customHeight="1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  <c r="V4193">
        <f t="shared" si="1934"/>
        <v>12</v>
      </c>
      <c r="W4193">
        <f t="shared" si="1932"/>
        <v>3</v>
      </c>
      <c r="X4193">
        <f t="shared" si="1933"/>
        <v>2012</v>
      </c>
    </row>
    <row r="4194" spans="1:24" ht="12" customHeight="1">
      <c r="A4194" s="4">
        <v>7236</v>
      </c>
      <c r="B4194" s="4">
        <v>51619</v>
      </c>
      <c r="C4194" s="5">
        <f t="shared" ref="C4194:C4197" si="1951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952">C4194+1</f>
        <v>40059</v>
      </c>
      <c r="V4194">
        <f t="shared" si="1934"/>
        <v>3</v>
      </c>
      <c r="W4194">
        <f t="shared" si="1932"/>
        <v>9</v>
      </c>
      <c r="X4194">
        <f t="shared" si="1933"/>
        <v>2009</v>
      </c>
    </row>
    <row r="4195" spans="1:24" ht="12" customHeight="1">
      <c r="A4195" s="4">
        <v>7237</v>
      </c>
      <c r="B4195" s="4">
        <v>51619</v>
      </c>
      <c r="C4195" s="5">
        <f t="shared" si="1951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952"/>
        <v>40059</v>
      </c>
      <c r="V4195">
        <f t="shared" si="1934"/>
        <v>3</v>
      </c>
      <c r="W4195">
        <f t="shared" si="1932"/>
        <v>9</v>
      </c>
      <c r="X4195">
        <f t="shared" si="1933"/>
        <v>2009</v>
      </c>
    </row>
    <row r="4196" spans="1:24" ht="12" customHeight="1">
      <c r="A4196" s="4">
        <v>7238</v>
      </c>
      <c r="B4196" s="4">
        <v>51619</v>
      </c>
      <c r="C4196" s="5">
        <f t="shared" si="1951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  <c r="V4196">
        <f t="shared" si="1934"/>
        <v>4</v>
      </c>
      <c r="W4196">
        <f t="shared" si="1932"/>
        <v>9</v>
      </c>
      <c r="X4196">
        <f t="shared" si="1933"/>
        <v>2009</v>
      </c>
    </row>
    <row r="4197" spans="1:24" ht="12" customHeight="1">
      <c r="A4197" s="4">
        <v>7239</v>
      </c>
      <c r="B4197" s="4">
        <v>51619</v>
      </c>
      <c r="C4197" s="5">
        <f t="shared" si="1951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953">C4197+1</f>
        <v>40059</v>
      </c>
      <c r="V4197">
        <f t="shared" si="1934"/>
        <v>3</v>
      </c>
      <c r="W4197">
        <f t="shared" si="1932"/>
        <v>9</v>
      </c>
      <c r="X4197">
        <f t="shared" si="1933"/>
        <v>2009</v>
      </c>
    </row>
    <row r="4198" spans="1:24" ht="12" customHeight="1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953"/>
        <v>40622</v>
      </c>
      <c r="V4198">
        <f t="shared" si="1934"/>
        <v>20</v>
      </c>
      <c r="W4198">
        <f t="shared" si="1932"/>
        <v>3</v>
      </c>
      <c r="X4198">
        <f t="shared" si="1933"/>
        <v>2011</v>
      </c>
    </row>
    <row r="4199" spans="1:24" ht="12" customHeight="1">
      <c r="A4199" s="4">
        <v>7296</v>
      </c>
      <c r="B4199" s="4">
        <v>52007</v>
      </c>
      <c r="C4199" s="5">
        <f t="shared" ref="C4199:C4200" si="1954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  <c r="V4199">
        <f t="shared" si="1934"/>
        <v>14</v>
      </c>
      <c r="W4199">
        <f t="shared" si="1932"/>
        <v>4</v>
      </c>
      <c r="X4199">
        <f t="shared" si="1933"/>
        <v>2012</v>
      </c>
    </row>
    <row r="4200" spans="1:24" ht="12" customHeight="1">
      <c r="A4200" s="4">
        <v>7297</v>
      </c>
      <c r="B4200" s="4">
        <v>52007</v>
      </c>
      <c r="C4200" s="5">
        <f t="shared" si="1954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  <c r="V4200">
        <f t="shared" si="1934"/>
        <v>15</v>
      </c>
      <c r="W4200">
        <f t="shared" si="1932"/>
        <v>4</v>
      </c>
      <c r="X4200">
        <f t="shared" si="1933"/>
        <v>2012</v>
      </c>
    </row>
    <row r="4201" spans="1:24" ht="12" customHeight="1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955">C4201+2</f>
        <v>41014</v>
      </c>
      <c r="V4201">
        <f t="shared" si="1934"/>
        <v>15</v>
      </c>
      <c r="W4201">
        <f t="shared" si="1932"/>
        <v>4</v>
      </c>
      <c r="X4201">
        <f t="shared" si="1933"/>
        <v>2012</v>
      </c>
    </row>
    <row r="4202" spans="1:24" ht="12" customHeight="1">
      <c r="A4202" s="4">
        <v>7367</v>
      </c>
      <c r="B4202" s="4">
        <v>52512</v>
      </c>
      <c r="C4202" s="5">
        <f t="shared" ref="C4202:C4203" si="1956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955"/>
        <v>40733</v>
      </c>
      <c r="V4202">
        <f t="shared" si="1934"/>
        <v>9</v>
      </c>
      <c r="W4202">
        <f t="shared" si="1932"/>
        <v>7</v>
      </c>
      <c r="X4202">
        <f t="shared" si="1933"/>
        <v>2011</v>
      </c>
    </row>
    <row r="4203" spans="1:24" ht="12" customHeight="1">
      <c r="A4203" s="4">
        <v>7368</v>
      </c>
      <c r="B4203" s="4">
        <v>52512</v>
      </c>
      <c r="C4203" s="5">
        <f t="shared" si="1956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955"/>
        <v>40733</v>
      </c>
      <c r="V4203">
        <f t="shared" si="1934"/>
        <v>9</v>
      </c>
      <c r="W4203">
        <f t="shared" si="1932"/>
        <v>7</v>
      </c>
      <c r="X4203">
        <f t="shared" si="1933"/>
        <v>2011</v>
      </c>
    </row>
    <row r="4204" spans="1:24" ht="12" customHeight="1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957">C4204+0</f>
        <v>40658</v>
      </c>
      <c r="V4204">
        <f t="shared" si="1934"/>
        <v>25</v>
      </c>
      <c r="W4204">
        <f t="shared" si="1932"/>
        <v>4</v>
      </c>
      <c r="X4204">
        <f t="shared" si="1933"/>
        <v>2011</v>
      </c>
    </row>
    <row r="4205" spans="1:24" ht="12" customHeight="1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957"/>
        <v>40814</v>
      </c>
      <c r="V4205">
        <f t="shared" si="1934"/>
        <v>28</v>
      </c>
      <c r="W4205">
        <f t="shared" si="1932"/>
        <v>9</v>
      </c>
      <c r="X4205">
        <f t="shared" si="1933"/>
        <v>2011</v>
      </c>
    </row>
    <row r="4206" spans="1:24" ht="12" customHeight="1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  <c r="V4206">
        <f t="shared" si="1934"/>
        <v>25</v>
      </c>
      <c r="W4206">
        <f t="shared" si="1932"/>
        <v>12</v>
      </c>
      <c r="X4206">
        <f t="shared" si="1933"/>
        <v>2011</v>
      </c>
    </row>
    <row r="4207" spans="1:24" ht="12" customHeight="1">
      <c r="A4207" s="4">
        <v>7423</v>
      </c>
      <c r="B4207" s="4">
        <v>52930</v>
      </c>
      <c r="C4207" s="5">
        <f t="shared" ref="C4207:C4210" si="1958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  <c r="V4207">
        <f t="shared" si="1934"/>
        <v>12</v>
      </c>
      <c r="W4207">
        <f t="shared" si="1932"/>
        <v>11</v>
      </c>
      <c r="X4207">
        <f t="shared" si="1933"/>
        <v>2011</v>
      </c>
    </row>
    <row r="4208" spans="1:24" ht="12" customHeight="1">
      <c r="A4208" s="4">
        <v>7424</v>
      </c>
      <c r="B4208" s="4">
        <v>52930</v>
      </c>
      <c r="C4208" s="5">
        <f t="shared" si="1958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  <c r="V4208">
        <f t="shared" si="1934"/>
        <v>13</v>
      </c>
      <c r="W4208">
        <f t="shared" si="1932"/>
        <v>11</v>
      </c>
      <c r="X4208">
        <f t="shared" si="1933"/>
        <v>2011</v>
      </c>
    </row>
    <row r="4209" spans="1:24" ht="12" customHeight="1">
      <c r="A4209" s="4">
        <v>7425</v>
      </c>
      <c r="B4209" s="4">
        <v>52930</v>
      </c>
      <c r="C4209" s="5">
        <f t="shared" si="1958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959">C4209+0</f>
        <v>40855</v>
      </c>
      <c r="V4209">
        <f t="shared" si="1934"/>
        <v>8</v>
      </c>
      <c r="W4209">
        <f t="shared" si="1932"/>
        <v>11</v>
      </c>
      <c r="X4209">
        <f t="shared" si="1933"/>
        <v>2011</v>
      </c>
    </row>
    <row r="4210" spans="1:24" ht="12" customHeight="1">
      <c r="A4210" s="4">
        <v>7426</v>
      </c>
      <c r="B4210" s="4">
        <v>52930</v>
      </c>
      <c r="C4210" s="5">
        <f t="shared" si="1958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959"/>
        <v>40855</v>
      </c>
      <c r="V4210">
        <f t="shared" si="1934"/>
        <v>8</v>
      </c>
      <c r="W4210">
        <f t="shared" si="1932"/>
        <v>11</v>
      </c>
      <c r="X4210">
        <f t="shared" si="1933"/>
        <v>2011</v>
      </c>
    </row>
    <row r="4211" spans="1:24" ht="12" customHeight="1">
      <c r="A4211" s="4">
        <v>7446</v>
      </c>
      <c r="B4211" s="4">
        <v>53127</v>
      </c>
      <c r="C4211" s="5">
        <f t="shared" ref="C4211:C4212" si="1960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  <c r="V4211">
        <f t="shared" si="1934"/>
        <v>12</v>
      </c>
      <c r="W4211">
        <f t="shared" si="1932"/>
        <v>5</v>
      </c>
      <c r="X4211">
        <f t="shared" si="1933"/>
        <v>2011</v>
      </c>
    </row>
    <row r="4212" spans="1:24" ht="12" customHeight="1">
      <c r="A4212" s="4">
        <v>7447</v>
      </c>
      <c r="B4212" s="4">
        <v>53127</v>
      </c>
      <c r="C4212" s="5">
        <f t="shared" si="1960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  <c r="V4212">
        <f t="shared" si="1934"/>
        <v>13</v>
      </c>
      <c r="W4212">
        <f t="shared" si="1932"/>
        <v>5</v>
      </c>
      <c r="X4212">
        <f t="shared" si="1933"/>
        <v>2011</v>
      </c>
    </row>
    <row r="4213" spans="1:24" ht="12" customHeight="1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  <c r="V4213">
        <f t="shared" si="1934"/>
        <v>19</v>
      </c>
      <c r="W4213">
        <f t="shared" si="1932"/>
        <v>4</v>
      </c>
      <c r="X4213">
        <f t="shared" si="1933"/>
        <v>2010</v>
      </c>
    </row>
    <row r="4214" spans="1:24" ht="12" customHeight="1">
      <c r="A4214" s="4">
        <v>7489</v>
      </c>
      <c r="B4214" s="4">
        <v>53476</v>
      </c>
      <c r="C4214" s="5">
        <f t="shared" ref="C4214:C4217" si="1961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  <c r="V4214">
        <f t="shared" si="1934"/>
        <v>11</v>
      </c>
      <c r="W4214">
        <f t="shared" si="1932"/>
        <v>6</v>
      </c>
      <c r="X4214">
        <f t="shared" si="1933"/>
        <v>2009</v>
      </c>
    </row>
    <row r="4215" spans="1:24" ht="12" customHeight="1">
      <c r="A4215" s="4">
        <v>7490</v>
      </c>
      <c r="B4215" s="4">
        <v>53476</v>
      </c>
      <c r="C4215" s="5">
        <f t="shared" si="1961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  <c r="V4215">
        <f t="shared" si="1934"/>
        <v>14</v>
      </c>
      <c r="W4215">
        <f t="shared" si="1932"/>
        <v>6</v>
      </c>
      <c r="X4215">
        <f t="shared" si="1933"/>
        <v>2009</v>
      </c>
    </row>
    <row r="4216" spans="1:24" ht="12" customHeight="1">
      <c r="A4216" s="4">
        <v>7491</v>
      </c>
      <c r="B4216" s="4">
        <v>53476</v>
      </c>
      <c r="C4216" s="5">
        <f t="shared" si="1961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  <c r="V4216">
        <f t="shared" si="1934"/>
        <v>12</v>
      </c>
      <c r="W4216">
        <f t="shared" si="1932"/>
        <v>6</v>
      </c>
      <c r="X4216">
        <f t="shared" si="1933"/>
        <v>2009</v>
      </c>
    </row>
    <row r="4217" spans="1:24" ht="12" customHeight="1">
      <c r="A4217" s="4">
        <v>7492</v>
      </c>
      <c r="B4217" s="4">
        <v>53476</v>
      </c>
      <c r="C4217" s="5">
        <f t="shared" si="1961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  <c r="V4217">
        <f t="shared" si="1934"/>
        <v>11</v>
      </c>
      <c r="W4217">
        <f t="shared" si="1932"/>
        <v>6</v>
      </c>
      <c r="X4217">
        <f t="shared" si="1933"/>
        <v>2009</v>
      </c>
    </row>
    <row r="4218" spans="1:24" ht="12" customHeight="1">
      <c r="A4218" s="4">
        <v>7518</v>
      </c>
      <c r="B4218" s="4">
        <v>53671</v>
      </c>
      <c r="C4218" s="5">
        <f t="shared" ref="C4218:C4220" si="1962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963">C4218+1</f>
        <v>40705</v>
      </c>
      <c r="V4218">
        <f t="shared" si="1934"/>
        <v>11</v>
      </c>
      <c r="W4218">
        <f t="shared" si="1932"/>
        <v>6</v>
      </c>
      <c r="X4218">
        <f t="shared" si="1933"/>
        <v>2011</v>
      </c>
    </row>
    <row r="4219" spans="1:24" ht="12" customHeight="1">
      <c r="A4219" s="4">
        <v>7519</v>
      </c>
      <c r="B4219" s="4">
        <v>53671</v>
      </c>
      <c r="C4219" s="5">
        <f t="shared" si="1962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963"/>
        <v>40705</v>
      </c>
      <c r="V4219">
        <f t="shared" si="1934"/>
        <v>11</v>
      </c>
      <c r="W4219">
        <f t="shared" si="1932"/>
        <v>6</v>
      </c>
      <c r="X4219">
        <f t="shared" si="1933"/>
        <v>2011</v>
      </c>
    </row>
    <row r="4220" spans="1:24" ht="12" customHeight="1">
      <c r="A4220" s="4">
        <v>7520</v>
      </c>
      <c r="B4220" s="4">
        <v>53671</v>
      </c>
      <c r="C4220" s="5">
        <f t="shared" si="1962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963"/>
        <v>40705</v>
      </c>
      <c r="V4220">
        <f t="shared" si="1934"/>
        <v>11</v>
      </c>
      <c r="W4220">
        <f t="shared" si="1932"/>
        <v>6</v>
      </c>
      <c r="X4220">
        <f t="shared" si="1933"/>
        <v>2011</v>
      </c>
    </row>
    <row r="4221" spans="1:24" ht="12" customHeight="1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963"/>
        <v>40100</v>
      </c>
      <c r="V4221">
        <f t="shared" si="1934"/>
        <v>14</v>
      </c>
      <c r="W4221">
        <f t="shared" si="1932"/>
        <v>10</v>
      </c>
      <c r="X4221">
        <f t="shared" si="1933"/>
        <v>2009</v>
      </c>
    </row>
    <row r="4222" spans="1:24" ht="12" customHeight="1">
      <c r="A4222" s="4">
        <v>7528</v>
      </c>
      <c r="B4222" s="4">
        <v>53795</v>
      </c>
      <c r="C4222" s="5">
        <f t="shared" ref="C4222:C4223" si="1964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963"/>
        <v>40939</v>
      </c>
      <c r="V4222">
        <f t="shared" si="1934"/>
        <v>31</v>
      </c>
      <c r="W4222">
        <f t="shared" si="1932"/>
        <v>1</v>
      </c>
      <c r="X4222">
        <f t="shared" si="1933"/>
        <v>2012</v>
      </c>
    </row>
    <row r="4223" spans="1:24" ht="12" customHeight="1">
      <c r="A4223" s="4">
        <v>7529</v>
      </c>
      <c r="B4223" s="4">
        <v>53795</v>
      </c>
      <c r="C4223" s="5">
        <f t="shared" si="1964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965">C4223+2</f>
        <v>40940</v>
      </c>
      <c r="V4223">
        <f t="shared" si="1934"/>
        <v>1</v>
      </c>
      <c r="W4223">
        <f t="shared" si="1932"/>
        <v>2</v>
      </c>
      <c r="X4223">
        <f t="shared" si="1933"/>
        <v>2012</v>
      </c>
    </row>
    <row r="4224" spans="1:24" ht="12" customHeight="1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965"/>
        <v>41138</v>
      </c>
      <c r="V4224">
        <f t="shared" si="1934"/>
        <v>17</v>
      </c>
      <c r="W4224">
        <f t="shared" si="1932"/>
        <v>8</v>
      </c>
      <c r="X4224">
        <f t="shared" si="1933"/>
        <v>2012</v>
      </c>
    </row>
    <row r="4225" spans="1:24" ht="12" customHeight="1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965"/>
        <v>39876</v>
      </c>
      <c r="V4225">
        <f t="shared" si="1934"/>
        <v>4</v>
      </c>
      <c r="W4225">
        <f t="shared" si="1932"/>
        <v>3</v>
      </c>
      <c r="X4225">
        <f t="shared" si="1933"/>
        <v>2009</v>
      </c>
    </row>
    <row r="4226" spans="1:24" ht="12" customHeight="1">
      <c r="A4226" s="4">
        <v>7652</v>
      </c>
      <c r="B4226" s="4">
        <v>54850</v>
      </c>
      <c r="C4226" s="5">
        <f t="shared" ref="C4226:C4227" si="1966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  <c r="V4226">
        <f t="shared" si="1934"/>
        <v>24</v>
      </c>
      <c r="W4226">
        <f t="shared" si="1932"/>
        <v>12</v>
      </c>
      <c r="X4226">
        <f t="shared" si="1933"/>
        <v>2010</v>
      </c>
    </row>
    <row r="4227" spans="1:24" ht="12" customHeight="1">
      <c r="A4227" s="4">
        <v>7653</v>
      </c>
      <c r="B4227" s="4">
        <v>54850</v>
      </c>
      <c r="C4227" s="5">
        <f t="shared" si="1966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967">C4227+1</f>
        <v>40537</v>
      </c>
      <c r="V4227">
        <f t="shared" si="1934"/>
        <v>25</v>
      </c>
      <c r="W4227">
        <f t="shared" ref="W4227:W4290" si="1968">MONTH(U4227)</f>
        <v>12</v>
      </c>
      <c r="X4227">
        <f t="shared" ref="X4227:X4290" si="1969">YEAR(U4227)</f>
        <v>2010</v>
      </c>
    </row>
    <row r="4228" spans="1:24" ht="12" customHeight="1">
      <c r="A4228" s="4">
        <v>7666</v>
      </c>
      <c r="B4228" s="4">
        <v>54950</v>
      </c>
      <c r="C4228" s="5">
        <f t="shared" ref="C4228:C4229" si="19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967"/>
        <v>40518</v>
      </c>
      <c r="V4228">
        <f t="shared" ref="V4228:V4291" si="1971">DAY(U4228)</f>
        <v>6</v>
      </c>
      <c r="W4228">
        <f t="shared" si="1968"/>
        <v>12</v>
      </c>
      <c r="X4228">
        <f t="shared" si="1969"/>
        <v>2010</v>
      </c>
    </row>
    <row r="4229" spans="1:24" ht="12" customHeight="1">
      <c r="A4229" s="4">
        <v>7667</v>
      </c>
      <c r="B4229" s="4">
        <v>54950</v>
      </c>
      <c r="C4229" s="5">
        <f t="shared" si="19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967"/>
        <v>40518</v>
      </c>
      <c r="V4229">
        <f t="shared" si="1971"/>
        <v>6</v>
      </c>
      <c r="W4229">
        <f t="shared" si="1968"/>
        <v>12</v>
      </c>
      <c r="X4229">
        <f t="shared" si="1969"/>
        <v>2010</v>
      </c>
    </row>
    <row r="4230" spans="1:24" ht="12" customHeight="1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967"/>
        <v>40516</v>
      </c>
      <c r="V4230">
        <f t="shared" si="1971"/>
        <v>4</v>
      </c>
      <c r="W4230">
        <f t="shared" si="1968"/>
        <v>12</v>
      </c>
      <c r="X4230">
        <f t="shared" si="1969"/>
        <v>2010</v>
      </c>
    </row>
    <row r="4231" spans="1:24" ht="12" customHeight="1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972">C4231+2</f>
        <v>40459</v>
      </c>
      <c r="V4231">
        <f t="shared" si="1971"/>
        <v>8</v>
      </c>
      <c r="W4231">
        <f t="shared" si="1968"/>
        <v>10</v>
      </c>
      <c r="X4231">
        <f t="shared" si="1969"/>
        <v>2010</v>
      </c>
    </row>
    <row r="4232" spans="1:24" ht="12" customHeight="1">
      <c r="A4232" s="4">
        <v>7718</v>
      </c>
      <c r="B4232" s="4">
        <v>55300</v>
      </c>
      <c r="C4232" s="5">
        <f t="shared" ref="C4232:C4234" si="1973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972"/>
        <v>39866</v>
      </c>
      <c r="V4232">
        <f t="shared" si="1971"/>
        <v>22</v>
      </c>
      <c r="W4232">
        <f t="shared" si="1968"/>
        <v>2</v>
      </c>
      <c r="X4232">
        <f t="shared" si="1969"/>
        <v>2009</v>
      </c>
    </row>
    <row r="4233" spans="1:24" ht="12" customHeight="1">
      <c r="A4233" s="4">
        <v>7719</v>
      </c>
      <c r="B4233" s="4">
        <v>55300</v>
      </c>
      <c r="C4233" s="5">
        <f t="shared" si="1973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  <c r="V4233">
        <f t="shared" si="1971"/>
        <v>21</v>
      </c>
      <c r="W4233">
        <f t="shared" si="1968"/>
        <v>2</v>
      </c>
      <c r="X4233">
        <f t="shared" si="1969"/>
        <v>2009</v>
      </c>
    </row>
    <row r="4234" spans="1:24" ht="12" customHeight="1">
      <c r="A4234" s="4">
        <v>7720</v>
      </c>
      <c r="B4234" s="4">
        <v>55300</v>
      </c>
      <c r="C4234" s="5">
        <f t="shared" si="1973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  <c r="V4234">
        <f t="shared" si="1971"/>
        <v>22</v>
      </c>
      <c r="W4234">
        <f t="shared" si="1968"/>
        <v>2</v>
      </c>
      <c r="X4234">
        <f t="shared" si="1969"/>
        <v>2009</v>
      </c>
    </row>
    <row r="4235" spans="1:24" ht="12" customHeight="1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974">C4235+1</f>
        <v>40199</v>
      </c>
      <c r="V4235">
        <f t="shared" si="1971"/>
        <v>21</v>
      </c>
      <c r="W4235">
        <f t="shared" si="1968"/>
        <v>1</v>
      </c>
      <c r="X4235">
        <f t="shared" si="1969"/>
        <v>2010</v>
      </c>
    </row>
    <row r="4236" spans="1:24" ht="12" customHeight="1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974"/>
        <v>40012</v>
      </c>
      <c r="V4236">
        <f t="shared" si="1971"/>
        <v>18</v>
      </c>
      <c r="W4236">
        <f t="shared" si="1968"/>
        <v>7</v>
      </c>
      <c r="X4236">
        <f t="shared" si="1969"/>
        <v>2009</v>
      </c>
    </row>
    <row r="4237" spans="1:24" ht="12" customHeight="1">
      <c r="A4237" s="4">
        <v>7791</v>
      </c>
      <c r="B4237" s="4">
        <v>55747</v>
      </c>
      <c r="C4237" s="5">
        <f t="shared" ref="C4237:C4238" si="1975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974"/>
        <v>41246</v>
      </c>
      <c r="V4237">
        <f t="shared" si="1971"/>
        <v>3</v>
      </c>
      <c r="W4237">
        <f t="shared" si="1968"/>
        <v>12</v>
      </c>
      <c r="X4237">
        <f t="shared" si="1969"/>
        <v>2012</v>
      </c>
    </row>
    <row r="4238" spans="1:24" ht="12" customHeight="1">
      <c r="A4238" s="4">
        <v>7792</v>
      </c>
      <c r="B4238" s="4">
        <v>55747</v>
      </c>
      <c r="C4238" s="5">
        <f t="shared" si="1975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  <c r="V4238">
        <f t="shared" si="1971"/>
        <v>4</v>
      </c>
      <c r="W4238">
        <f t="shared" si="1968"/>
        <v>12</v>
      </c>
      <c r="X4238">
        <f t="shared" si="1969"/>
        <v>2012</v>
      </c>
    </row>
    <row r="4239" spans="1:24" ht="12" customHeight="1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976">C4239+1</f>
        <v>40979</v>
      </c>
      <c r="V4239">
        <f t="shared" si="1971"/>
        <v>11</v>
      </c>
      <c r="W4239">
        <f t="shared" si="1968"/>
        <v>3</v>
      </c>
      <c r="X4239">
        <f t="shared" si="1969"/>
        <v>2012</v>
      </c>
    </row>
    <row r="4240" spans="1:24" ht="12" customHeight="1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976"/>
        <v>41012</v>
      </c>
      <c r="V4240">
        <f t="shared" si="1971"/>
        <v>13</v>
      </c>
      <c r="W4240">
        <f t="shared" si="1968"/>
        <v>4</v>
      </c>
      <c r="X4240">
        <f t="shared" si="1969"/>
        <v>2012</v>
      </c>
    </row>
    <row r="4241" spans="1:24" ht="12" customHeight="1">
      <c r="A4241" s="4">
        <v>7911</v>
      </c>
      <c r="B4241" s="4">
        <v>56580</v>
      </c>
      <c r="C4241" s="5">
        <f t="shared" ref="C4241:C4243" si="1977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  <c r="V4241">
        <f t="shared" si="1971"/>
        <v>14</v>
      </c>
      <c r="W4241">
        <f t="shared" si="1968"/>
        <v>8</v>
      </c>
      <c r="X4241">
        <f t="shared" si="1969"/>
        <v>2011</v>
      </c>
    </row>
    <row r="4242" spans="1:24" ht="12" customHeight="1">
      <c r="A4242" s="4">
        <v>7912</v>
      </c>
      <c r="B4242" s="4">
        <v>56580</v>
      </c>
      <c r="C4242" s="5">
        <f t="shared" si="1977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978">C4242+2</f>
        <v>40771</v>
      </c>
      <c r="V4242">
        <f t="shared" si="1971"/>
        <v>16</v>
      </c>
      <c r="W4242">
        <f t="shared" si="1968"/>
        <v>8</v>
      </c>
      <c r="X4242">
        <f t="shared" si="1969"/>
        <v>2011</v>
      </c>
    </row>
    <row r="4243" spans="1:24" ht="12" customHeight="1">
      <c r="A4243" s="4">
        <v>7913</v>
      </c>
      <c r="B4243" s="4">
        <v>56580</v>
      </c>
      <c r="C4243" s="5">
        <f t="shared" si="1977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978"/>
        <v>40771</v>
      </c>
      <c r="V4243">
        <f t="shared" si="1971"/>
        <v>16</v>
      </c>
      <c r="W4243">
        <f t="shared" si="1968"/>
        <v>8</v>
      </c>
      <c r="X4243">
        <f t="shared" si="1969"/>
        <v>2011</v>
      </c>
    </row>
    <row r="4244" spans="1:24" ht="12" customHeight="1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978"/>
        <v>39926</v>
      </c>
      <c r="V4244">
        <f t="shared" si="1971"/>
        <v>23</v>
      </c>
      <c r="W4244">
        <f t="shared" si="1968"/>
        <v>4</v>
      </c>
      <c r="X4244">
        <f t="shared" si="1969"/>
        <v>2009</v>
      </c>
    </row>
    <row r="4245" spans="1:24" ht="12" customHeight="1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  <c r="V4245">
        <f t="shared" si="1971"/>
        <v>18</v>
      </c>
      <c r="W4245">
        <f t="shared" si="1968"/>
        <v>12</v>
      </c>
      <c r="X4245">
        <f t="shared" si="1969"/>
        <v>2010</v>
      </c>
    </row>
    <row r="4246" spans="1:24" ht="12" customHeight="1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  <c r="V4246">
        <f t="shared" si="1971"/>
        <v>17</v>
      </c>
      <c r="W4246">
        <f t="shared" si="1968"/>
        <v>10</v>
      </c>
      <c r="X4246">
        <f t="shared" si="1969"/>
        <v>2009</v>
      </c>
    </row>
    <row r="4247" spans="1:24" ht="12" customHeight="1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979">C4247+1</f>
        <v>40848</v>
      </c>
      <c r="V4247">
        <f t="shared" si="1971"/>
        <v>1</v>
      </c>
      <c r="W4247">
        <f t="shared" si="1968"/>
        <v>11</v>
      </c>
      <c r="X4247">
        <f t="shared" si="1969"/>
        <v>2011</v>
      </c>
    </row>
    <row r="4248" spans="1:24" ht="12" customHeight="1">
      <c r="A4248" s="4">
        <v>7998</v>
      </c>
      <c r="B4248" s="4">
        <v>57155</v>
      </c>
      <c r="C4248" s="5">
        <f t="shared" ref="C4248:C4249" si="1980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979"/>
        <v>39982</v>
      </c>
      <c r="V4248">
        <f t="shared" si="1971"/>
        <v>18</v>
      </c>
      <c r="W4248">
        <f t="shared" si="1968"/>
        <v>6</v>
      </c>
      <c r="X4248">
        <f t="shared" si="1969"/>
        <v>2009</v>
      </c>
    </row>
    <row r="4249" spans="1:24" ht="12" customHeight="1">
      <c r="A4249" s="4">
        <v>7999</v>
      </c>
      <c r="B4249" s="4">
        <v>57155</v>
      </c>
      <c r="C4249" s="5">
        <f t="shared" si="1980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979"/>
        <v>39982</v>
      </c>
      <c r="V4249">
        <f t="shared" si="1971"/>
        <v>18</v>
      </c>
      <c r="W4249">
        <f t="shared" si="1968"/>
        <v>6</v>
      </c>
      <c r="X4249">
        <f t="shared" si="1969"/>
        <v>2009</v>
      </c>
    </row>
    <row r="4250" spans="1:24" ht="12" customHeight="1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  <c r="V4250">
        <f t="shared" si="1971"/>
        <v>25</v>
      </c>
      <c r="W4250">
        <f t="shared" si="1968"/>
        <v>5</v>
      </c>
      <c r="X4250">
        <f t="shared" si="1969"/>
        <v>2011</v>
      </c>
    </row>
    <row r="4251" spans="1:24" ht="12" customHeight="1">
      <c r="A4251" s="4">
        <v>8036</v>
      </c>
      <c r="B4251" s="4">
        <v>57409</v>
      </c>
      <c r="C4251" s="5">
        <f t="shared" ref="C4251:C4252" si="1981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982">C4251+1</f>
        <v>40138</v>
      </c>
      <c r="V4251">
        <f t="shared" si="1971"/>
        <v>21</v>
      </c>
      <c r="W4251">
        <f t="shared" si="1968"/>
        <v>11</v>
      </c>
      <c r="X4251">
        <f t="shared" si="1969"/>
        <v>2009</v>
      </c>
    </row>
    <row r="4252" spans="1:24" ht="12" customHeight="1">
      <c r="A4252" s="4">
        <v>8037</v>
      </c>
      <c r="B4252" s="4">
        <v>57409</v>
      </c>
      <c r="C4252" s="5">
        <f t="shared" si="1981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982"/>
        <v>40138</v>
      </c>
      <c r="V4252">
        <f t="shared" si="1971"/>
        <v>21</v>
      </c>
      <c r="W4252">
        <f t="shared" si="1968"/>
        <v>11</v>
      </c>
      <c r="X4252">
        <f t="shared" si="1969"/>
        <v>2009</v>
      </c>
    </row>
    <row r="4253" spans="1:24" ht="12" customHeight="1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  <c r="V4253">
        <f t="shared" si="1971"/>
        <v>24</v>
      </c>
      <c r="W4253">
        <f t="shared" si="1968"/>
        <v>8</v>
      </c>
      <c r="X4253">
        <f t="shared" si="1969"/>
        <v>2009</v>
      </c>
    </row>
    <row r="4254" spans="1:24" ht="12" customHeight="1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  <c r="V4254">
        <f t="shared" si="1971"/>
        <v>21</v>
      </c>
      <c r="W4254">
        <f t="shared" si="1968"/>
        <v>7</v>
      </c>
      <c r="X4254">
        <f t="shared" si="1969"/>
        <v>2010</v>
      </c>
    </row>
    <row r="4255" spans="1:24" ht="12" customHeight="1">
      <c r="A4255" s="4">
        <v>8104</v>
      </c>
      <c r="B4255" s="4">
        <v>57856</v>
      </c>
      <c r="C4255" s="5">
        <f t="shared" ref="C4255:C4256" si="1983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984">C4255+1</f>
        <v>39857</v>
      </c>
      <c r="V4255">
        <f t="shared" si="1971"/>
        <v>13</v>
      </c>
      <c r="W4255">
        <f t="shared" si="1968"/>
        <v>2</v>
      </c>
      <c r="X4255">
        <f t="shared" si="1969"/>
        <v>2009</v>
      </c>
    </row>
    <row r="4256" spans="1:24" ht="12" customHeight="1">
      <c r="A4256" s="4">
        <v>8105</v>
      </c>
      <c r="B4256" s="4">
        <v>57856</v>
      </c>
      <c r="C4256" s="5">
        <f t="shared" si="1983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984"/>
        <v>39857</v>
      </c>
      <c r="V4256">
        <f t="shared" si="1971"/>
        <v>13</v>
      </c>
      <c r="W4256">
        <f t="shared" si="1968"/>
        <v>2</v>
      </c>
      <c r="X4256">
        <f t="shared" si="1969"/>
        <v>2009</v>
      </c>
    </row>
    <row r="4257" spans="1:24" ht="12" customHeight="1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985">C4257+2</f>
        <v>41038</v>
      </c>
      <c r="V4257">
        <f t="shared" si="1971"/>
        <v>9</v>
      </c>
      <c r="W4257">
        <f t="shared" si="1968"/>
        <v>5</v>
      </c>
      <c r="X4257">
        <f t="shared" si="1969"/>
        <v>2012</v>
      </c>
    </row>
    <row r="4258" spans="1:24" ht="12" customHeight="1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985"/>
        <v>40867</v>
      </c>
      <c r="V4258">
        <f t="shared" si="1971"/>
        <v>20</v>
      </c>
      <c r="W4258">
        <f t="shared" si="1968"/>
        <v>11</v>
      </c>
      <c r="X4258">
        <f t="shared" si="1969"/>
        <v>2011</v>
      </c>
    </row>
    <row r="4259" spans="1:24" ht="12" customHeight="1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  <c r="V4259">
        <f t="shared" si="1971"/>
        <v>27</v>
      </c>
      <c r="W4259">
        <f t="shared" si="1968"/>
        <v>3</v>
      </c>
      <c r="X4259">
        <f t="shared" si="1969"/>
        <v>2012</v>
      </c>
    </row>
    <row r="4260" spans="1:24" ht="12" customHeight="1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  <c r="V4260">
        <f t="shared" si="1971"/>
        <v>16</v>
      </c>
      <c r="W4260">
        <f t="shared" si="1968"/>
        <v>11</v>
      </c>
      <c r="X4260">
        <f t="shared" si="1969"/>
        <v>2011</v>
      </c>
    </row>
    <row r="4261" spans="1:24" ht="12" customHeight="1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  <c r="V4261">
        <f t="shared" si="1971"/>
        <v>17</v>
      </c>
      <c r="W4261">
        <f t="shared" si="1968"/>
        <v>9</v>
      </c>
      <c r="X4261">
        <f t="shared" si="1969"/>
        <v>2010</v>
      </c>
    </row>
    <row r="4262" spans="1:24" ht="12" customHeight="1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986">C4262+2</f>
        <v>39924</v>
      </c>
      <c r="V4262">
        <f t="shared" si="1971"/>
        <v>21</v>
      </c>
      <c r="W4262">
        <f t="shared" si="1968"/>
        <v>4</v>
      </c>
      <c r="X4262">
        <f t="shared" si="1969"/>
        <v>2009</v>
      </c>
    </row>
    <row r="4263" spans="1:24" ht="12" customHeight="1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986"/>
        <v>40320</v>
      </c>
      <c r="V4263">
        <f t="shared" si="1971"/>
        <v>22</v>
      </c>
      <c r="W4263">
        <f t="shared" si="1968"/>
        <v>5</v>
      </c>
      <c r="X4263">
        <f t="shared" si="1969"/>
        <v>2010</v>
      </c>
    </row>
    <row r="4264" spans="1:24" ht="12" customHeight="1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986"/>
        <v>40905</v>
      </c>
      <c r="V4264">
        <f t="shared" si="1971"/>
        <v>28</v>
      </c>
      <c r="W4264">
        <f t="shared" si="1968"/>
        <v>12</v>
      </c>
      <c r="X4264">
        <f t="shared" si="1969"/>
        <v>2011</v>
      </c>
    </row>
    <row r="4265" spans="1:24" ht="12" customHeight="1">
      <c r="A4265" s="4">
        <v>90</v>
      </c>
      <c r="B4265" s="4">
        <v>549</v>
      </c>
      <c r="C4265" s="5">
        <f t="shared" ref="C4265:C4267" si="1987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988">C4265+1</f>
        <v>41103</v>
      </c>
      <c r="V4265">
        <f t="shared" si="1971"/>
        <v>13</v>
      </c>
      <c r="W4265">
        <f t="shared" si="1968"/>
        <v>7</v>
      </c>
      <c r="X4265">
        <f t="shared" si="1969"/>
        <v>2012</v>
      </c>
    </row>
    <row r="4266" spans="1:24" ht="12" customHeight="1">
      <c r="A4266" s="4">
        <v>91</v>
      </c>
      <c r="B4266" s="4">
        <v>549</v>
      </c>
      <c r="C4266" s="5">
        <f t="shared" si="1987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988"/>
        <v>41103</v>
      </c>
      <c r="V4266">
        <f t="shared" si="1971"/>
        <v>13</v>
      </c>
      <c r="W4266">
        <f t="shared" si="1968"/>
        <v>7</v>
      </c>
      <c r="X4266">
        <f t="shared" si="1969"/>
        <v>2012</v>
      </c>
    </row>
    <row r="4267" spans="1:24" ht="12" customHeight="1">
      <c r="A4267" s="4">
        <v>92</v>
      </c>
      <c r="B4267" s="4">
        <v>549</v>
      </c>
      <c r="C4267" s="5">
        <f t="shared" si="1987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  <c r="V4267">
        <f t="shared" si="1971"/>
        <v>12</v>
      </c>
      <c r="W4267">
        <f t="shared" si="1968"/>
        <v>7</v>
      </c>
      <c r="X4267">
        <f t="shared" si="1969"/>
        <v>2012</v>
      </c>
    </row>
    <row r="4268" spans="1:24" ht="12" customHeight="1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  <c r="V4268">
        <f t="shared" si="1971"/>
        <v>11</v>
      </c>
      <c r="W4268">
        <f t="shared" si="1968"/>
        <v>9</v>
      </c>
      <c r="X4268">
        <f t="shared" si="1969"/>
        <v>2010</v>
      </c>
    </row>
    <row r="4269" spans="1:24" ht="12" customHeight="1">
      <c r="A4269" s="4">
        <v>195</v>
      </c>
      <c r="B4269" s="4">
        <v>1286</v>
      </c>
      <c r="C4269" s="5">
        <f t="shared" ref="C4269:C4270" si="1989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  <c r="V4269">
        <f t="shared" si="1971"/>
        <v>14</v>
      </c>
      <c r="W4269">
        <f t="shared" si="1968"/>
        <v>5</v>
      </c>
      <c r="X4269">
        <f t="shared" si="1969"/>
        <v>2010</v>
      </c>
    </row>
    <row r="4270" spans="1:24" ht="12" customHeight="1">
      <c r="A4270" s="4">
        <v>196</v>
      </c>
      <c r="B4270" s="4">
        <v>1286</v>
      </c>
      <c r="C4270" s="5">
        <f t="shared" si="1989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  <c r="V4270">
        <f t="shared" si="1971"/>
        <v>15</v>
      </c>
      <c r="W4270">
        <f t="shared" si="1968"/>
        <v>5</v>
      </c>
      <c r="X4270">
        <f t="shared" si="1969"/>
        <v>2010</v>
      </c>
    </row>
    <row r="4271" spans="1:24" ht="12" customHeight="1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  <c r="V4271">
        <f t="shared" si="1971"/>
        <v>2</v>
      </c>
      <c r="W4271">
        <f t="shared" si="1968"/>
        <v>12</v>
      </c>
      <c r="X4271">
        <f t="shared" si="1969"/>
        <v>2010</v>
      </c>
    </row>
    <row r="4272" spans="1:24" ht="12" customHeight="1">
      <c r="A4272" s="4">
        <v>275</v>
      </c>
      <c r="B4272" s="4">
        <v>1892</v>
      </c>
      <c r="C4272" s="5">
        <f t="shared" ref="C4272:C4273" si="1990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  <c r="V4272">
        <f t="shared" si="1971"/>
        <v>29</v>
      </c>
      <c r="W4272">
        <f t="shared" si="1968"/>
        <v>3</v>
      </c>
      <c r="X4272">
        <f t="shared" si="1969"/>
        <v>2009</v>
      </c>
    </row>
    <row r="4273" spans="1:24" ht="12" customHeight="1">
      <c r="A4273" s="4">
        <v>276</v>
      </c>
      <c r="B4273" s="4">
        <v>1892</v>
      </c>
      <c r="C4273" s="5">
        <f t="shared" si="1990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991">C4273+0</f>
        <v>39897</v>
      </c>
      <c r="V4273">
        <f t="shared" si="1971"/>
        <v>25</v>
      </c>
      <c r="W4273">
        <f t="shared" si="1968"/>
        <v>3</v>
      </c>
      <c r="X4273">
        <f t="shared" si="1969"/>
        <v>2009</v>
      </c>
    </row>
    <row r="4274" spans="1:24" ht="12" customHeight="1">
      <c r="A4274" s="4">
        <v>286</v>
      </c>
      <c r="B4274" s="4">
        <v>1991</v>
      </c>
      <c r="C4274" s="5">
        <f t="shared" ref="C4274:C4275" si="1992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991"/>
        <v>41158</v>
      </c>
      <c r="V4274">
        <f t="shared" si="1971"/>
        <v>6</v>
      </c>
      <c r="W4274">
        <f t="shared" si="1968"/>
        <v>9</v>
      </c>
      <c r="X4274">
        <f t="shared" si="1969"/>
        <v>2012</v>
      </c>
    </row>
    <row r="4275" spans="1:24" ht="12" customHeight="1">
      <c r="A4275" s="4">
        <v>287</v>
      </c>
      <c r="B4275" s="4">
        <v>1991</v>
      </c>
      <c r="C4275" s="5">
        <f t="shared" si="1992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  <c r="V4275">
        <f t="shared" si="1971"/>
        <v>7</v>
      </c>
      <c r="W4275">
        <f t="shared" si="1968"/>
        <v>9</v>
      </c>
      <c r="X4275">
        <f t="shared" si="1969"/>
        <v>2012</v>
      </c>
    </row>
    <row r="4276" spans="1:24" ht="12" customHeight="1">
      <c r="A4276" s="4">
        <v>653</v>
      </c>
      <c r="B4276" s="4">
        <v>4610</v>
      </c>
      <c r="C4276" s="5">
        <f t="shared" ref="C4276:C4277" si="1993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  <c r="V4276">
        <f t="shared" si="1971"/>
        <v>19</v>
      </c>
      <c r="W4276">
        <f t="shared" si="1968"/>
        <v>6</v>
      </c>
      <c r="X4276">
        <f t="shared" si="1969"/>
        <v>2010</v>
      </c>
    </row>
    <row r="4277" spans="1:24" ht="12" customHeight="1">
      <c r="A4277" s="4">
        <v>654</v>
      </c>
      <c r="B4277" s="4">
        <v>4610</v>
      </c>
      <c r="C4277" s="5">
        <f t="shared" si="1993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  <c r="V4277">
        <f t="shared" si="1971"/>
        <v>21</v>
      </c>
      <c r="W4277">
        <f t="shared" si="1968"/>
        <v>6</v>
      </c>
      <c r="X4277">
        <f t="shared" si="1969"/>
        <v>2010</v>
      </c>
    </row>
    <row r="4278" spans="1:24" ht="12" customHeight="1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  <c r="V4278">
        <f t="shared" si="1971"/>
        <v>6</v>
      </c>
      <c r="W4278">
        <f t="shared" si="1968"/>
        <v>10</v>
      </c>
      <c r="X4278">
        <f t="shared" si="1969"/>
        <v>2012</v>
      </c>
    </row>
    <row r="4279" spans="1:24" ht="12" customHeight="1">
      <c r="A4279" s="4">
        <v>832</v>
      </c>
      <c r="B4279" s="4">
        <v>5986</v>
      </c>
      <c r="C4279" s="5">
        <f t="shared" ref="C4279:C4281" si="1994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  <c r="V4279">
        <f t="shared" si="1971"/>
        <v>21</v>
      </c>
      <c r="W4279">
        <f t="shared" si="1968"/>
        <v>4</v>
      </c>
      <c r="X4279">
        <f t="shared" si="1969"/>
        <v>2012</v>
      </c>
    </row>
    <row r="4280" spans="1:24" ht="12" customHeight="1">
      <c r="A4280" s="4">
        <v>833</v>
      </c>
      <c r="B4280" s="4">
        <v>5986</v>
      </c>
      <c r="C4280" s="5">
        <f t="shared" si="1994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995">C4280+1</f>
        <v>41021</v>
      </c>
      <c r="V4280">
        <f t="shared" si="1971"/>
        <v>22</v>
      </c>
      <c r="W4280">
        <f t="shared" si="1968"/>
        <v>4</v>
      </c>
      <c r="X4280">
        <f t="shared" si="1969"/>
        <v>2012</v>
      </c>
    </row>
    <row r="4281" spans="1:24" ht="12" customHeight="1">
      <c r="A4281" s="4">
        <v>834</v>
      </c>
      <c r="B4281" s="4">
        <v>5986</v>
      </c>
      <c r="C4281" s="5">
        <f t="shared" si="1994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995"/>
        <v>41021</v>
      </c>
      <c r="V4281">
        <f t="shared" si="1971"/>
        <v>22</v>
      </c>
      <c r="W4281">
        <f t="shared" si="1968"/>
        <v>4</v>
      </c>
      <c r="X4281">
        <f t="shared" si="1969"/>
        <v>2012</v>
      </c>
    </row>
    <row r="4282" spans="1:24" ht="12" customHeight="1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996">C4282+2</f>
        <v>40525</v>
      </c>
      <c r="V4282">
        <f t="shared" si="1971"/>
        <v>13</v>
      </c>
      <c r="W4282">
        <f t="shared" si="1968"/>
        <v>12</v>
      </c>
      <c r="X4282">
        <f t="shared" si="1969"/>
        <v>2010</v>
      </c>
    </row>
    <row r="4283" spans="1:24" ht="12" customHeight="1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996"/>
        <v>40859</v>
      </c>
      <c r="V4283">
        <f t="shared" si="1971"/>
        <v>12</v>
      </c>
      <c r="W4283">
        <f t="shared" si="1968"/>
        <v>11</v>
      </c>
      <c r="X4283">
        <f t="shared" si="1969"/>
        <v>2011</v>
      </c>
    </row>
    <row r="4284" spans="1:24" ht="12" customHeight="1">
      <c r="A4284" s="4">
        <v>906</v>
      </c>
      <c r="B4284" s="4">
        <v>6502</v>
      </c>
      <c r="C4284" s="5">
        <f t="shared" ref="C4284:C4285" si="1997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  <c r="V4284">
        <f t="shared" si="1971"/>
        <v>20</v>
      </c>
      <c r="W4284">
        <f t="shared" si="1968"/>
        <v>8</v>
      </c>
      <c r="X4284">
        <f t="shared" si="1969"/>
        <v>2011</v>
      </c>
    </row>
    <row r="4285" spans="1:24" ht="12" customHeight="1">
      <c r="A4285" s="4">
        <v>907</v>
      </c>
      <c r="B4285" s="4">
        <v>6502</v>
      </c>
      <c r="C4285" s="5">
        <f t="shared" si="1997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  <c r="V4285">
        <f t="shared" si="1971"/>
        <v>23</v>
      </c>
      <c r="W4285">
        <f t="shared" si="1968"/>
        <v>8</v>
      </c>
      <c r="X4285">
        <f t="shared" si="1969"/>
        <v>2011</v>
      </c>
    </row>
    <row r="4286" spans="1:24" ht="12" customHeight="1">
      <c r="A4286" s="4">
        <v>921</v>
      </c>
      <c r="B4286" s="4">
        <v>6656</v>
      </c>
      <c r="C4286" s="5">
        <f t="shared" ref="C4286:C4287" si="1998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  <c r="V4286">
        <f t="shared" si="1971"/>
        <v>15</v>
      </c>
      <c r="W4286">
        <f t="shared" si="1968"/>
        <v>5</v>
      </c>
      <c r="X4286">
        <f t="shared" si="1969"/>
        <v>2009</v>
      </c>
    </row>
    <row r="4287" spans="1:24" ht="12" customHeight="1">
      <c r="A4287" s="4">
        <v>922</v>
      </c>
      <c r="B4287" s="4">
        <v>6656</v>
      </c>
      <c r="C4287" s="5">
        <f t="shared" si="1998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  <c r="V4287">
        <f t="shared" si="1971"/>
        <v>16</v>
      </c>
      <c r="W4287">
        <f t="shared" si="1968"/>
        <v>5</v>
      </c>
      <c r="X4287">
        <f t="shared" si="1969"/>
        <v>2009</v>
      </c>
    </row>
    <row r="4288" spans="1:24" ht="12" customHeight="1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  <c r="V4288">
        <f t="shared" si="1971"/>
        <v>4</v>
      </c>
      <c r="W4288">
        <f t="shared" si="1968"/>
        <v>2</v>
      </c>
      <c r="X4288">
        <f t="shared" si="1969"/>
        <v>2012</v>
      </c>
    </row>
    <row r="4289" spans="1:24" ht="12" customHeight="1">
      <c r="A4289" s="4">
        <v>1015</v>
      </c>
      <c r="B4289" s="4">
        <v>7429</v>
      </c>
      <c r="C4289" s="5">
        <f t="shared" ref="C4289:C4290" si="1999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2000">C4289+1</f>
        <v>40325</v>
      </c>
      <c r="V4289">
        <f t="shared" si="1971"/>
        <v>27</v>
      </c>
      <c r="W4289">
        <f t="shared" si="1968"/>
        <v>5</v>
      </c>
      <c r="X4289">
        <f t="shared" si="1969"/>
        <v>2010</v>
      </c>
    </row>
    <row r="4290" spans="1:24" ht="12" customHeight="1">
      <c r="A4290" s="4">
        <v>1016</v>
      </c>
      <c r="B4290" s="4">
        <v>7429</v>
      </c>
      <c r="C4290" s="5">
        <f t="shared" si="1999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2000"/>
        <v>40325</v>
      </c>
      <c r="V4290">
        <f t="shared" si="1971"/>
        <v>27</v>
      </c>
      <c r="W4290">
        <f t="shared" si="1968"/>
        <v>5</v>
      </c>
      <c r="X4290">
        <f t="shared" si="1969"/>
        <v>2010</v>
      </c>
    </row>
    <row r="4291" spans="1:24" ht="12" customHeight="1">
      <c r="A4291" s="4">
        <v>1075</v>
      </c>
      <c r="B4291" s="4">
        <v>7910</v>
      </c>
      <c r="C4291" s="5">
        <f t="shared" ref="C4291:C4292" si="2001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  <c r="V4291">
        <f t="shared" si="1971"/>
        <v>23</v>
      </c>
      <c r="W4291">
        <f t="shared" ref="W4291:W4354" si="2002">MONTH(U4291)</f>
        <v>4</v>
      </c>
      <c r="X4291">
        <f t="shared" ref="X4291:X4354" si="2003">YEAR(U4291)</f>
        <v>2010</v>
      </c>
    </row>
    <row r="4292" spans="1:24" ht="12" customHeight="1">
      <c r="A4292" s="4">
        <v>1076</v>
      </c>
      <c r="B4292" s="4">
        <v>7910</v>
      </c>
      <c r="C4292" s="5">
        <f t="shared" si="2001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  <c r="V4292">
        <f t="shared" ref="V4292:V4355" si="2004">DAY(U4292)</f>
        <v>20</v>
      </c>
      <c r="W4292">
        <f t="shared" si="2002"/>
        <v>4</v>
      </c>
      <c r="X4292">
        <f t="shared" si="2003"/>
        <v>2010</v>
      </c>
    </row>
    <row r="4293" spans="1:24" ht="12" customHeight="1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  <c r="V4293">
        <f t="shared" si="2004"/>
        <v>3</v>
      </c>
      <c r="W4293">
        <f t="shared" si="2002"/>
        <v>3</v>
      </c>
      <c r="X4293">
        <f t="shared" si="2003"/>
        <v>2012</v>
      </c>
    </row>
    <row r="4294" spans="1:24" ht="12" customHeight="1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  <c r="V4294">
        <f t="shared" si="2004"/>
        <v>3</v>
      </c>
      <c r="W4294">
        <f t="shared" si="2002"/>
        <v>7</v>
      </c>
      <c r="X4294">
        <f t="shared" si="2003"/>
        <v>2011</v>
      </c>
    </row>
    <row r="4295" spans="1:24" ht="12" customHeight="1">
      <c r="A4295" s="4">
        <v>1311</v>
      </c>
      <c r="B4295" s="4">
        <v>9606</v>
      </c>
      <c r="C4295" s="5">
        <f t="shared" ref="C4295:C4296" si="2005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  <c r="V4295">
        <f t="shared" si="2004"/>
        <v>27</v>
      </c>
      <c r="W4295">
        <f t="shared" si="2002"/>
        <v>7</v>
      </c>
      <c r="X4295">
        <f t="shared" si="2003"/>
        <v>2009</v>
      </c>
    </row>
    <row r="4296" spans="1:24" ht="12" customHeight="1">
      <c r="A4296" s="4">
        <v>1312</v>
      </c>
      <c r="B4296" s="4">
        <v>9606</v>
      </c>
      <c r="C4296" s="5">
        <f t="shared" si="2005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2006">C4296+2</f>
        <v>40023</v>
      </c>
      <c r="V4296">
        <f t="shared" si="2004"/>
        <v>29</v>
      </c>
      <c r="W4296">
        <f t="shared" si="2002"/>
        <v>7</v>
      </c>
      <c r="X4296">
        <f t="shared" si="2003"/>
        <v>2009</v>
      </c>
    </row>
    <row r="4297" spans="1:24" ht="12" customHeight="1">
      <c r="A4297" s="4">
        <v>1348</v>
      </c>
      <c r="B4297" s="4">
        <v>9857</v>
      </c>
      <c r="C4297" s="5">
        <f t="shared" ref="C4297:C4299" si="2007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2006"/>
        <v>40311</v>
      </c>
      <c r="V4297">
        <f t="shared" si="2004"/>
        <v>13</v>
      </c>
      <c r="W4297">
        <f t="shared" si="2002"/>
        <v>5</v>
      </c>
      <c r="X4297">
        <f t="shared" si="2003"/>
        <v>2010</v>
      </c>
    </row>
    <row r="4298" spans="1:24" ht="12" customHeight="1">
      <c r="A4298" s="4">
        <v>1349</v>
      </c>
      <c r="B4298" s="4">
        <v>9857</v>
      </c>
      <c r="C4298" s="5">
        <f t="shared" si="2007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  <c r="V4298">
        <f t="shared" si="2004"/>
        <v>11</v>
      </c>
      <c r="W4298">
        <f t="shared" si="2002"/>
        <v>5</v>
      </c>
      <c r="X4298">
        <f t="shared" si="2003"/>
        <v>2010</v>
      </c>
    </row>
    <row r="4299" spans="1:24" ht="12" customHeight="1">
      <c r="A4299" s="4">
        <v>1350</v>
      </c>
      <c r="B4299" s="4">
        <v>9857</v>
      </c>
      <c r="C4299" s="5">
        <f t="shared" si="2007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  <c r="V4299">
        <f t="shared" si="2004"/>
        <v>13</v>
      </c>
      <c r="W4299">
        <f t="shared" si="2002"/>
        <v>5</v>
      </c>
      <c r="X4299">
        <f t="shared" si="2003"/>
        <v>2010</v>
      </c>
    </row>
    <row r="4300" spans="1:24" ht="12" customHeight="1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  <c r="V4300">
        <f t="shared" si="2004"/>
        <v>7</v>
      </c>
      <c r="W4300">
        <f t="shared" si="2002"/>
        <v>4</v>
      </c>
      <c r="X4300">
        <f t="shared" si="2003"/>
        <v>2009</v>
      </c>
    </row>
    <row r="4301" spans="1:24" ht="12" customHeight="1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2008">C4301+2</f>
        <v>40787</v>
      </c>
      <c r="V4301">
        <f t="shared" si="2004"/>
        <v>1</v>
      </c>
      <c r="W4301">
        <f t="shared" si="2002"/>
        <v>9</v>
      </c>
      <c r="X4301">
        <f t="shared" si="2003"/>
        <v>2011</v>
      </c>
    </row>
    <row r="4302" spans="1:24" ht="12" customHeight="1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2008"/>
        <v>40838</v>
      </c>
      <c r="V4302">
        <f t="shared" si="2004"/>
        <v>22</v>
      </c>
      <c r="W4302">
        <f t="shared" si="2002"/>
        <v>10</v>
      </c>
      <c r="X4302">
        <f t="shared" si="2003"/>
        <v>2011</v>
      </c>
    </row>
    <row r="4303" spans="1:24" ht="12" customHeight="1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2008"/>
        <v>41119</v>
      </c>
      <c r="V4303">
        <f t="shared" si="2004"/>
        <v>29</v>
      </c>
      <c r="W4303">
        <f t="shared" si="2002"/>
        <v>7</v>
      </c>
      <c r="X4303">
        <f t="shared" si="2003"/>
        <v>2012</v>
      </c>
    </row>
    <row r="4304" spans="1:24" ht="12" customHeight="1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2008"/>
        <v>40648</v>
      </c>
      <c r="V4304">
        <f t="shared" si="2004"/>
        <v>15</v>
      </c>
      <c r="W4304">
        <f t="shared" si="2002"/>
        <v>4</v>
      </c>
      <c r="X4304">
        <f t="shared" si="2003"/>
        <v>2011</v>
      </c>
    </row>
    <row r="4305" spans="1:24" ht="12" customHeight="1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2008"/>
        <v>40330</v>
      </c>
      <c r="V4305">
        <f t="shared" si="2004"/>
        <v>1</v>
      </c>
      <c r="W4305">
        <f t="shared" si="2002"/>
        <v>6</v>
      </c>
      <c r="X4305">
        <f t="shared" si="2003"/>
        <v>2010</v>
      </c>
    </row>
    <row r="4306" spans="1:24" ht="12" customHeight="1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  <c r="V4306">
        <f t="shared" si="2004"/>
        <v>26</v>
      </c>
      <c r="W4306">
        <f t="shared" si="2002"/>
        <v>5</v>
      </c>
      <c r="X4306">
        <f t="shared" si="2003"/>
        <v>2012</v>
      </c>
    </row>
    <row r="4307" spans="1:24" ht="12" customHeight="1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  <c r="V4307">
        <f t="shared" si="2004"/>
        <v>14</v>
      </c>
      <c r="W4307">
        <f t="shared" si="2002"/>
        <v>7</v>
      </c>
      <c r="X4307">
        <f t="shared" si="2003"/>
        <v>2011</v>
      </c>
    </row>
    <row r="4308" spans="1:24" ht="12" customHeight="1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  <c r="V4308">
        <f t="shared" si="2004"/>
        <v>2</v>
      </c>
      <c r="W4308">
        <f t="shared" si="2002"/>
        <v>6</v>
      </c>
      <c r="X4308">
        <f t="shared" si="2003"/>
        <v>2011</v>
      </c>
    </row>
    <row r="4309" spans="1:24" ht="12" customHeight="1">
      <c r="A4309" s="4">
        <v>1981</v>
      </c>
      <c r="B4309" s="4">
        <v>14119</v>
      </c>
      <c r="C4309" s="5">
        <f t="shared" ref="C4309:C4311" si="2009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  <c r="V4309">
        <f t="shared" si="2004"/>
        <v>4</v>
      </c>
      <c r="W4309">
        <f t="shared" si="2002"/>
        <v>6</v>
      </c>
      <c r="X4309">
        <f t="shared" si="2003"/>
        <v>2010</v>
      </c>
    </row>
    <row r="4310" spans="1:24" ht="12" customHeight="1">
      <c r="A4310" s="4">
        <v>1982</v>
      </c>
      <c r="B4310" s="4">
        <v>14119</v>
      </c>
      <c r="C4310" s="5">
        <f t="shared" si="2009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  <c r="V4310">
        <f t="shared" si="2004"/>
        <v>5</v>
      </c>
      <c r="W4310">
        <f t="shared" si="2002"/>
        <v>6</v>
      </c>
      <c r="X4310">
        <f t="shared" si="2003"/>
        <v>2010</v>
      </c>
    </row>
    <row r="4311" spans="1:24" ht="12" customHeight="1">
      <c r="A4311" s="4">
        <v>1983</v>
      </c>
      <c r="B4311" s="4">
        <v>14119</v>
      </c>
      <c r="C4311" s="5">
        <f t="shared" si="2009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2010">C4311+2</f>
        <v>40331</v>
      </c>
      <c r="V4311">
        <f t="shared" si="2004"/>
        <v>2</v>
      </c>
      <c r="W4311">
        <f t="shared" si="2002"/>
        <v>6</v>
      </c>
      <c r="X4311">
        <f t="shared" si="2003"/>
        <v>2010</v>
      </c>
    </row>
    <row r="4312" spans="1:24" ht="12" customHeight="1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2010"/>
        <v>40467</v>
      </c>
      <c r="V4312">
        <f t="shared" si="2004"/>
        <v>16</v>
      </c>
      <c r="W4312">
        <f t="shared" si="2002"/>
        <v>10</v>
      </c>
      <c r="X4312">
        <f t="shared" si="2003"/>
        <v>2010</v>
      </c>
    </row>
    <row r="4313" spans="1:24" ht="12" customHeight="1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  <c r="V4313">
        <f t="shared" si="2004"/>
        <v>19</v>
      </c>
      <c r="W4313">
        <f t="shared" si="2002"/>
        <v>11</v>
      </c>
      <c r="X4313">
        <f t="shared" si="2003"/>
        <v>2010</v>
      </c>
    </row>
    <row r="4314" spans="1:24" ht="12" customHeight="1">
      <c r="A4314" s="4">
        <v>2110</v>
      </c>
      <c r="B4314" s="4">
        <v>15079</v>
      </c>
      <c r="C4314" s="5">
        <f t="shared" ref="C4314:C4315" si="2011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  <c r="V4314">
        <f t="shared" si="2004"/>
        <v>18</v>
      </c>
      <c r="W4314">
        <f t="shared" si="2002"/>
        <v>1</v>
      </c>
      <c r="X4314">
        <f t="shared" si="2003"/>
        <v>2010</v>
      </c>
    </row>
    <row r="4315" spans="1:24" ht="12" customHeight="1">
      <c r="A4315" s="4">
        <v>2111</v>
      </c>
      <c r="B4315" s="4">
        <v>15079</v>
      </c>
      <c r="C4315" s="5">
        <f t="shared" si="2011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2012">C4315+1</f>
        <v>40194</v>
      </c>
      <c r="V4315">
        <f t="shared" si="2004"/>
        <v>16</v>
      </c>
      <c r="W4315">
        <f t="shared" si="2002"/>
        <v>1</v>
      </c>
      <c r="X4315">
        <f t="shared" si="2003"/>
        <v>2010</v>
      </c>
    </row>
    <row r="4316" spans="1:24" ht="12" customHeight="1">
      <c r="A4316" s="4">
        <v>2134</v>
      </c>
      <c r="B4316" s="4">
        <v>15236</v>
      </c>
      <c r="C4316" s="5">
        <f t="shared" ref="C4316:C4317" si="2013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2012"/>
        <v>41009</v>
      </c>
      <c r="V4316">
        <f t="shared" si="2004"/>
        <v>10</v>
      </c>
      <c r="W4316">
        <f t="shared" si="2002"/>
        <v>4</v>
      </c>
      <c r="X4316">
        <f t="shared" si="2003"/>
        <v>2012</v>
      </c>
    </row>
    <row r="4317" spans="1:24" ht="12" customHeight="1">
      <c r="A4317" s="4">
        <v>2135</v>
      </c>
      <c r="B4317" s="4">
        <v>15236</v>
      </c>
      <c r="C4317" s="5">
        <f t="shared" si="2013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2014">C4317+2</f>
        <v>41010</v>
      </c>
      <c r="V4317">
        <f t="shared" si="2004"/>
        <v>11</v>
      </c>
      <c r="W4317">
        <f t="shared" si="2002"/>
        <v>4</v>
      </c>
      <c r="X4317">
        <f t="shared" si="2003"/>
        <v>2012</v>
      </c>
    </row>
    <row r="4318" spans="1:24" ht="12" customHeight="1">
      <c r="A4318" s="4">
        <v>2148</v>
      </c>
      <c r="B4318" s="4">
        <v>15397</v>
      </c>
      <c r="C4318" s="5">
        <f t="shared" ref="C4318:C4320" si="2015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2014"/>
        <v>40217</v>
      </c>
      <c r="V4318">
        <f t="shared" si="2004"/>
        <v>8</v>
      </c>
      <c r="W4318">
        <f t="shared" si="2002"/>
        <v>2</v>
      </c>
      <c r="X4318">
        <f t="shared" si="2003"/>
        <v>2010</v>
      </c>
    </row>
    <row r="4319" spans="1:24" ht="12" customHeight="1">
      <c r="A4319" s="4">
        <v>2149</v>
      </c>
      <c r="B4319" s="4">
        <v>15397</v>
      </c>
      <c r="C4319" s="5">
        <f t="shared" si="2015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  <c r="V4319">
        <f t="shared" si="2004"/>
        <v>6</v>
      </c>
      <c r="W4319">
        <f t="shared" si="2002"/>
        <v>2</v>
      </c>
      <c r="X4319">
        <f t="shared" si="2003"/>
        <v>2010</v>
      </c>
    </row>
    <row r="4320" spans="1:24" ht="12" customHeight="1">
      <c r="A4320" s="4">
        <v>2150</v>
      </c>
      <c r="B4320" s="4">
        <v>15397</v>
      </c>
      <c r="C4320" s="5">
        <f t="shared" si="2015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2016">C4320+1</f>
        <v>40216</v>
      </c>
      <c r="V4320">
        <f t="shared" si="2004"/>
        <v>7</v>
      </c>
      <c r="W4320">
        <f t="shared" si="2002"/>
        <v>2</v>
      </c>
      <c r="X4320">
        <f t="shared" si="2003"/>
        <v>2010</v>
      </c>
    </row>
    <row r="4321" spans="1:24" ht="12" customHeight="1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2016"/>
        <v>40562</v>
      </c>
      <c r="V4321">
        <f t="shared" si="2004"/>
        <v>19</v>
      </c>
      <c r="W4321">
        <f t="shared" si="2002"/>
        <v>1</v>
      </c>
      <c r="X4321">
        <f t="shared" si="2003"/>
        <v>2011</v>
      </c>
    </row>
    <row r="4322" spans="1:24" ht="12" customHeight="1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  <c r="V4322">
        <f t="shared" si="2004"/>
        <v>23</v>
      </c>
      <c r="W4322">
        <f t="shared" si="2002"/>
        <v>7</v>
      </c>
      <c r="X4322">
        <f t="shared" si="2003"/>
        <v>2012</v>
      </c>
    </row>
    <row r="4323" spans="1:24" ht="12" customHeight="1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  <c r="V4323">
        <f t="shared" si="2004"/>
        <v>15</v>
      </c>
      <c r="W4323">
        <f t="shared" si="2002"/>
        <v>5</v>
      </c>
      <c r="X4323">
        <f t="shared" si="2003"/>
        <v>2011</v>
      </c>
    </row>
    <row r="4324" spans="1:24" ht="12" customHeight="1">
      <c r="A4324" s="4">
        <v>2371</v>
      </c>
      <c r="B4324" s="4">
        <v>17186</v>
      </c>
      <c r="C4324" s="5">
        <f t="shared" ref="C4324:C4325" si="2017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2018">C4324+2</f>
        <v>39841</v>
      </c>
      <c r="V4324">
        <f t="shared" si="2004"/>
        <v>28</v>
      </c>
      <c r="W4324">
        <f t="shared" si="2002"/>
        <v>1</v>
      </c>
      <c r="X4324">
        <f t="shared" si="2003"/>
        <v>2009</v>
      </c>
    </row>
    <row r="4325" spans="1:24" ht="12" customHeight="1">
      <c r="A4325" s="4">
        <v>2372</v>
      </c>
      <c r="B4325" s="4">
        <v>17186</v>
      </c>
      <c r="C4325" s="5">
        <f t="shared" si="2017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2018"/>
        <v>39841</v>
      </c>
      <c r="V4325">
        <f t="shared" si="2004"/>
        <v>28</v>
      </c>
      <c r="W4325">
        <f t="shared" si="2002"/>
        <v>1</v>
      </c>
      <c r="X4325">
        <f t="shared" si="2003"/>
        <v>2009</v>
      </c>
    </row>
    <row r="4326" spans="1:24" ht="12" customHeight="1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2018"/>
        <v>40771</v>
      </c>
      <c r="V4326">
        <f t="shared" si="2004"/>
        <v>16</v>
      </c>
      <c r="W4326">
        <f t="shared" si="2002"/>
        <v>8</v>
      </c>
      <c r="X4326">
        <f t="shared" si="2003"/>
        <v>2011</v>
      </c>
    </row>
    <row r="4327" spans="1:24" ht="12" customHeight="1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  <c r="V4327">
        <f t="shared" si="2004"/>
        <v>8</v>
      </c>
      <c r="W4327">
        <f t="shared" si="2002"/>
        <v>9</v>
      </c>
      <c r="X4327">
        <f t="shared" si="2003"/>
        <v>2011</v>
      </c>
    </row>
    <row r="4328" spans="1:24" ht="12" customHeight="1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  <c r="V4328">
        <f t="shared" si="2004"/>
        <v>14</v>
      </c>
      <c r="W4328">
        <f t="shared" si="2002"/>
        <v>4</v>
      </c>
      <c r="X4328">
        <f t="shared" si="2003"/>
        <v>2012</v>
      </c>
    </row>
    <row r="4329" spans="1:24" ht="12" customHeight="1">
      <c r="A4329" s="4">
        <v>2576</v>
      </c>
      <c r="B4329" s="4">
        <v>18595</v>
      </c>
      <c r="C4329" s="5">
        <f t="shared" ref="C4329:C4330" si="2019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2020">C4329+2</f>
        <v>39846</v>
      </c>
      <c r="V4329">
        <f t="shared" si="2004"/>
        <v>2</v>
      </c>
      <c r="W4329">
        <f t="shared" si="2002"/>
        <v>2</v>
      </c>
      <c r="X4329">
        <f t="shared" si="2003"/>
        <v>2009</v>
      </c>
    </row>
    <row r="4330" spans="1:24" ht="12" customHeight="1">
      <c r="A4330" s="4">
        <v>2577</v>
      </c>
      <c r="B4330" s="4">
        <v>18595</v>
      </c>
      <c r="C4330" s="5">
        <f t="shared" si="2019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2020"/>
        <v>39846</v>
      </c>
      <c r="V4330">
        <f t="shared" si="2004"/>
        <v>2</v>
      </c>
      <c r="W4330">
        <f t="shared" si="2002"/>
        <v>2</v>
      </c>
      <c r="X4330">
        <f t="shared" si="2003"/>
        <v>2009</v>
      </c>
    </row>
    <row r="4331" spans="1:24" ht="12" customHeight="1">
      <c r="A4331" s="4">
        <v>2655</v>
      </c>
      <c r="B4331" s="4">
        <v>19205</v>
      </c>
      <c r="C4331" s="5">
        <f t="shared" ref="C4331:C4332" si="2021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  <c r="V4331">
        <f t="shared" si="2004"/>
        <v>27</v>
      </c>
      <c r="W4331">
        <f t="shared" si="2002"/>
        <v>7</v>
      </c>
      <c r="X4331">
        <f t="shared" si="2003"/>
        <v>2010</v>
      </c>
    </row>
    <row r="4332" spans="1:24" ht="12" customHeight="1">
      <c r="A4332" s="4">
        <v>2656</v>
      </c>
      <c r="B4332" s="4">
        <v>19205</v>
      </c>
      <c r="C4332" s="5">
        <f t="shared" si="2021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2022">C4332+2</f>
        <v>40387</v>
      </c>
      <c r="V4332">
        <f t="shared" si="2004"/>
        <v>28</v>
      </c>
      <c r="W4332">
        <f t="shared" si="2002"/>
        <v>7</v>
      </c>
      <c r="X4332">
        <f t="shared" si="2003"/>
        <v>2010</v>
      </c>
    </row>
    <row r="4333" spans="1:24" ht="12" customHeight="1">
      <c r="A4333" s="4">
        <v>2694</v>
      </c>
      <c r="B4333" s="4">
        <v>19494</v>
      </c>
      <c r="C4333" s="5">
        <f t="shared" ref="C4333:C4334" si="2023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2022"/>
        <v>40192</v>
      </c>
      <c r="V4333">
        <f t="shared" si="2004"/>
        <v>14</v>
      </c>
      <c r="W4333">
        <f t="shared" si="2002"/>
        <v>1</v>
      </c>
      <c r="X4333">
        <f t="shared" si="2003"/>
        <v>2010</v>
      </c>
    </row>
    <row r="4334" spans="1:24" ht="12" customHeight="1">
      <c r="A4334" s="4">
        <v>2695</v>
      </c>
      <c r="B4334" s="4">
        <v>19494</v>
      </c>
      <c r="C4334" s="5">
        <f t="shared" si="2023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  <c r="V4334">
        <f t="shared" si="2004"/>
        <v>15</v>
      </c>
      <c r="W4334">
        <f t="shared" si="2002"/>
        <v>1</v>
      </c>
      <c r="X4334">
        <f t="shared" si="2003"/>
        <v>2010</v>
      </c>
    </row>
    <row r="4335" spans="1:24" ht="12" customHeight="1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  <c r="V4335">
        <f t="shared" si="2004"/>
        <v>1</v>
      </c>
      <c r="W4335">
        <f t="shared" si="2002"/>
        <v>12</v>
      </c>
      <c r="X4335">
        <f t="shared" si="2003"/>
        <v>2011</v>
      </c>
    </row>
    <row r="4336" spans="1:24" ht="12" customHeight="1">
      <c r="A4336" s="4">
        <v>2842</v>
      </c>
      <c r="B4336" s="4">
        <v>20482</v>
      </c>
      <c r="C4336" s="5">
        <f t="shared" ref="C4336:C4337" si="2024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  <c r="V4336">
        <f t="shared" si="2004"/>
        <v>18</v>
      </c>
      <c r="W4336">
        <f t="shared" si="2002"/>
        <v>7</v>
      </c>
      <c r="X4336">
        <f t="shared" si="2003"/>
        <v>2011</v>
      </c>
    </row>
    <row r="4337" spans="1:24" ht="12" customHeight="1">
      <c r="A4337" s="4">
        <v>2843</v>
      </c>
      <c r="B4337" s="4">
        <v>20482</v>
      </c>
      <c r="C4337" s="5">
        <f t="shared" si="2024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  <c r="V4337">
        <f t="shared" si="2004"/>
        <v>20</v>
      </c>
      <c r="W4337">
        <f t="shared" si="2002"/>
        <v>7</v>
      </c>
      <c r="X4337">
        <f t="shared" si="2003"/>
        <v>2011</v>
      </c>
    </row>
    <row r="4338" spans="1:24" ht="12" customHeight="1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  <c r="V4338">
        <f t="shared" si="2004"/>
        <v>4</v>
      </c>
      <c r="W4338">
        <f t="shared" si="2002"/>
        <v>5</v>
      </c>
      <c r="X4338">
        <f t="shared" si="2003"/>
        <v>2011</v>
      </c>
    </row>
    <row r="4339" spans="1:24" ht="12" customHeight="1">
      <c r="A4339" s="4">
        <v>2967</v>
      </c>
      <c r="B4339" s="4">
        <v>21445</v>
      </c>
      <c r="C4339" s="5">
        <f t="shared" ref="C4339:C4340" si="2025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2026">C4339+4</f>
        <v>40138</v>
      </c>
      <c r="V4339">
        <f t="shared" si="2004"/>
        <v>21</v>
      </c>
      <c r="W4339">
        <f t="shared" si="2002"/>
        <v>11</v>
      </c>
      <c r="X4339">
        <f t="shared" si="2003"/>
        <v>2009</v>
      </c>
    </row>
    <row r="4340" spans="1:24" ht="12" customHeight="1">
      <c r="A4340" s="4">
        <v>2968</v>
      </c>
      <c r="B4340" s="4">
        <v>21445</v>
      </c>
      <c r="C4340" s="5">
        <f t="shared" si="2025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2026"/>
        <v>40138</v>
      </c>
      <c r="V4340">
        <f t="shared" si="2004"/>
        <v>21</v>
      </c>
      <c r="W4340">
        <f t="shared" si="2002"/>
        <v>11</v>
      </c>
      <c r="X4340">
        <f t="shared" si="2003"/>
        <v>2009</v>
      </c>
    </row>
    <row r="4341" spans="1:24" ht="12" customHeight="1">
      <c r="A4341" s="4">
        <v>2987</v>
      </c>
      <c r="B4341" s="4">
        <v>21573</v>
      </c>
      <c r="C4341" s="5">
        <f t="shared" ref="C4341:C4343" si="2027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2028">C4341+2</f>
        <v>41026</v>
      </c>
      <c r="V4341">
        <f t="shared" si="2004"/>
        <v>27</v>
      </c>
      <c r="W4341">
        <f t="shared" si="2002"/>
        <v>4</v>
      </c>
      <c r="X4341">
        <f t="shared" si="2003"/>
        <v>2012</v>
      </c>
    </row>
    <row r="4342" spans="1:24" ht="12" customHeight="1">
      <c r="A4342" s="4">
        <v>2988</v>
      </c>
      <c r="B4342" s="4">
        <v>21573</v>
      </c>
      <c r="C4342" s="5">
        <f t="shared" si="2027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2028"/>
        <v>41026</v>
      </c>
      <c r="V4342">
        <f t="shared" si="2004"/>
        <v>27</v>
      </c>
      <c r="W4342">
        <f t="shared" si="2002"/>
        <v>4</v>
      </c>
      <c r="X4342">
        <f t="shared" si="2003"/>
        <v>2012</v>
      </c>
    </row>
    <row r="4343" spans="1:24" ht="12" customHeight="1">
      <c r="A4343" s="4">
        <v>2989</v>
      </c>
      <c r="B4343" s="4">
        <v>21573</v>
      </c>
      <c r="C4343" s="5">
        <f t="shared" si="2027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2028"/>
        <v>41026</v>
      </c>
      <c r="V4343">
        <f t="shared" si="2004"/>
        <v>27</v>
      </c>
      <c r="W4343">
        <f t="shared" si="2002"/>
        <v>4</v>
      </c>
      <c r="X4343">
        <f t="shared" si="2003"/>
        <v>2012</v>
      </c>
    </row>
    <row r="4344" spans="1:24" ht="12" customHeight="1">
      <c r="A4344" s="4">
        <v>3004</v>
      </c>
      <c r="B4344" s="4">
        <v>21636</v>
      </c>
      <c r="C4344" s="5">
        <f t="shared" ref="C4344:C4345" si="2029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  <c r="V4344">
        <f t="shared" si="2004"/>
        <v>17</v>
      </c>
      <c r="W4344">
        <f t="shared" si="2002"/>
        <v>8</v>
      </c>
      <c r="X4344">
        <f t="shared" si="2003"/>
        <v>2009</v>
      </c>
    </row>
    <row r="4345" spans="1:24" ht="12" customHeight="1">
      <c r="A4345" s="4">
        <v>3005</v>
      </c>
      <c r="B4345" s="4">
        <v>21636</v>
      </c>
      <c r="C4345" s="5">
        <f t="shared" si="2029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  <c r="V4345">
        <f t="shared" si="2004"/>
        <v>15</v>
      </c>
      <c r="W4345">
        <f t="shared" si="2002"/>
        <v>8</v>
      </c>
      <c r="X4345">
        <f t="shared" si="2003"/>
        <v>2009</v>
      </c>
    </row>
    <row r="4346" spans="1:24" ht="12" customHeight="1">
      <c r="A4346" s="4">
        <v>3030</v>
      </c>
      <c r="B4346" s="4">
        <v>21795</v>
      </c>
      <c r="C4346" s="5">
        <f t="shared" ref="C4346:C4347" si="2030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  <c r="V4346">
        <f t="shared" si="2004"/>
        <v>14</v>
      </c>
      <c r="W4346">
        <f t="shared" si="2002"/>
        <v>6</v>
      </c>
      <c r="X4346">
        <f t="shared" si="2003"/>
        <v>2010</v>
      </c>
    </row>
    <row r="4347" spans="1:24" ht="12" customHeight="1">
      <c r="A4347" s="4">
        <v>3031</v>
      </c>
      <c r="B4347" s="4">
        <v>21795</v>
      </c>
      <c r="C4347" s="5">
        <f t="shared" si="2030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  <c r="V4347">
        <f t="shared" si="2004"/>
        <v>15</v>
      </c>
      <c r="W4347">
        <f t="shared" si="2002"/>
        <v>6</v>
      </c>
      <c r="X4347">
        <f t="shared" si="2003"/>
        <v>2010</v>
      </c>
    </row>
    <row r="4348" spans="1:24" ht="12" customHeight="1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  <c r="V4348">
        <f t="shared" si="2004"/>
        <v>19</v>
      </c>
      <c r="W4348">
        <f t="shared" si="2002"/>
        <v>11</v>
      </c>
      <c r="X4348">
        <f t="shared" si="2003"/>
        <v>2011</v>
      </c>
    </row>
    <row r="4349" spans="1:24" ht="12" customHeight="1">
      <c r="A4349" s="4">
        <v>3069</v>
      </c>
      <c r="B4349" s="4">
        <v>21989</v>
      </c>
      <c r="C4349" s="5">
        <f t="shared" ref="C4349:C4350" si="2031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2032">C4349+0</f>
        <v>40584</v>
      </c>
      <c r="V4349">
        <f t="shared" si="2004"/>
        <v>10</v>
      </c>
      <c r="W4349">
        <f t="shared" si="2002"/>
        <v>2</v>
      </c>
      <c r="X4349">
        <f t="shared" si="2003"/>
        <v>2011</v>
      </c>
    </row>
    <row r="4350" spans="1:24" ht="12" customHeight="1">
      <c r="A4350" s="4">
        <v>3070</v>
      </c>
      <c r="B4350" s="4">
        <v>21989</v>
      </c>
      <c r="C4350" s="5">
        <f t="shared" si="2031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2032"/>
        <v>40584</v>
      </c>
      <c r="V4350">
        <f t="shared" si="2004"/>
        <v>10</v>
      </c>
      <c r="W4350">
        <f t="shared" si="2002"/>
        <v>2</v>
      </c>
      <c r="X4350">
        <f t="shared" si="2003"/>
        <v>2011</v>
      </c>
    </row>
    <row r="4351" spans="1:24" ht="12" customHeight="1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2033">C4351+1</f>
        <v>40391</v>
      </c>
      <c r="V4351">
        <f t="shared" si="2004"/>
        <v>1</v>
      </c>
      <c r="W4351">
        <f t="shared" si="2002"/>
        <v>8</v>
      </c>
      <c r="X4351">
        <f t="shared" si="2003"/>
        <v>2010</v>
      </c>
    </row>
    <row r="4352" spans="1:24" ht="12" customHeight="1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2033"/>
        <v>41017</v>
      </c>
      <c r="V4352">
        <f t="shared" si="2004"/>
        <v>18</v>
      </c>
      <c r="W4352">
        <f t="shared" si="2002"/>
        <v>4</v>
      </c>
      <c r="X4352">
        <f t="shared" si="2003"/>
        <v>2012</v>
      </c>
    </row>
    <row r="4353" spans="1:24" ht="12" customHeight="1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2033"/>
        <v>40942</v>
      </c>
      <c r="V4353">
        <f t="shared" si="2004"/>
        <v>3</v>
      </c>
      <c r="W4353">
        <f t="shared" si="2002"/>
        <v>2</v>
      </c>
      <c r="X4353">
        <f t="shared" si="2003"/>
        <v>2012</v>
      </c>
    </row>
    <row r="4354" spans="1:24" ht="12" customHeight="1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  <c r="V4354">
        <f t="shared" si="2004"/>
        <v>3</v>
      </c>
      <c r="W4354">
        <f t="shared" si="2002"/>
        <v>5</v>
      </c>
      <c r="X4354">
        <f t="shared" si="2003"/>
        <v>2012</v>
      </c>
    </row>
    <row r="4355" spans="1:24" ht="12" customHeight="1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  <c r="V4355">
        <f t="shared" si="2004"/>
        <v>2</v>
      </c>
      <c r="W4355">
        <f t="shared" ref="W4355:W4418" si="2034">MONTH(U4355)</f>
        <v>10</v>
      </c>
      <c r="X4355">
        <f t="shared" ref="X4355:X4418" si="2035">YEAR(U4355)</f>
        <v>2012</v>
      </c>
    </row>
    <row r="4356" spans="1:24" ht="12" customHeight="1">
      <c r="A4356" s="4">
        <v>3281</v>
      </c>
      <c r="B4356" s="4">
        <v>23429</v>
      </c>
      <c r="C4356" s="5">
        <f t="shared" ref="C4356:C4357" si="2036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  <c r="V4356">
        <f t="shared" ref="V4356:V4419" si="2037">DAY(U4356)</f>
        <v>19</v>
      </c>
      <c r="W4356">
        <f t="shared" si="2034"/>
        <v>3</v>
      </c>
      <c r="X4356">
        <f t="shared" si="2035"/>
        <v>2009</v>
      </c>
    </row>
    <row r="4357" spans="1:24" ht="12" customHeight="1">
      <c r="A4357" s="4">
        <v>3282</v>
      </c>
      <c r="B4357" s="4">
        <v>23429</v>
      </c>
      <c r="C4357" s="5">
        <f t="shared" si="2036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2038">C4357+2</f>
        <v>39893</v>
      </c>
      <c r="V4357">
        <f t="shared" si="2037"/>
        <v>21</v>
      </c>
      <c r="W4357">
        <f t="shared" si="2034"/>
        <v>3</v>
      </c>
      <c r="X4357">
        <f t="shared" si="2035"/>
        <v>2009</v>
      </c>
    </row>
    <row r="4358" spans="1:24" ht="12" customHeight="1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2038"/>
        <v>41050</v>
      </c>
      <c r="V4358">
        <f t="shared" si="2037"/>
        <v>21</v>
      </c>
      <c r="W4358">
        <f t="shared" si="2034"/>
        <v>5</v>
      </c>
      <c r="X4358">
        <f t="shared" si="2035"/>
        <v>2012</v>
      </c>
    </row>
    <row r="4359" spans="1:24" ht="12" customHeight="1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  <c r="V4359">
        <f t="shared" si="2037"/>
        <v>22</v>
      </c>
      <c r="W4359">
        <f t="shared" si="2034"/>
        <v>9</v>
      </c>
      <c r="X4359">
        <f t="shared" si="2035"/>
        <v>2012</v>
      </c>
    </row>
    <row r="4360" spans="1:24" ht="12" customHeight="1">
      <c r="A4360" s="4">
        <v>3430</v>
      </c>
      <c r="B4360" s="4">
        <v>24455</v>
      </c>
      <c r="C4360" s="5">
        <f t="shared" ref="C4360:C4361" si="2039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  <c r="V4360">
        <f t="shared" si="2037"/>
        <v>8</v>
      </c>
      <c r="W4360">
        <f t="shared" si="2034"/>
        <v>12</v>
      </c>
      <c r="X4360">
        <f t="shared" si="2035"/>
        <v>2009</v>
      </c>
    </row>
    <row r="4361" spans="1:24" ht="12" customHeight="1">
      <c r="A4361" s="4">
        <v>3431</v>
      </c>
      <c r="B4361" s="4">
        <v>24455</v>
      </c>
      <c r="C4361" s="5">
        <f t="shared" si="2039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  <c r="V4361">
        <f t="shared" si="2037"/>
        <v>9</v>
      </c>
      <c r="W4361">
        <f t="shared" si="2034"/>
        <v>12</v>
      </c>
      <c r="X4361">
        <f t="shared" si="2035"/>
        <v>2009</v>
      </c>
    </row>
    <row r="4362" spans="1:24" ht="12" customHeight="1">
      <c r="A4362" s="4">
        <v>3471</v>
      </c>
      <c r="B4362" s="4">
        <v>24707</v>
      </c>
      <c r="C4362" s="5">
        <f t="shared" ref="C4362:C4363" si="2040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  <c r="V4362">
        <f t="shared" si="2037"/>
        <v>11</v>
      </c>
      <c r="W4362">
        <f t="shared" si="2034"/>
        <v>3</v>
      </c>
      <c r="X4362">
        <f t="shared" si="2035"/>
        <v>2012</v>
      </c>
    </row>
    <row r="4363" spans="1:24" ht="12" customHeight="1">
      <c r="A4363" s="4">
        <v>3472</v>
      </c>
      <c r="B4363" s="4">
        <v>24707</v>
      </c>
      <c r="C4363" s="5">
        <f t="shared" si="2040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  <c r="V4363">
        <f t="shared" si="2037"/>
        <v>12</v>
      </c>
      <c r="W4363">
        <f t="shared" si="2034"/>
        <v>3</v>
      </c>
      <c r="X4363">
        <f t="shared" si="2035"/>
        <v>2012</v>
      </c>
    </row>
    <row r="4364" spans="1:24" ht="12" customHeight="1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  <c r="V4364">
        <f t="shared" si="2037"/>
        <v>22</v>
      </c>
      <c r="W4364">
        <f t="shared" si="2034"/>
        <v>2</v>
      </c>
      <c r="X4364">
        <f t="shared" si="2035"/>
        <v>2010</v>
      </c>
    </row>
    <row r="4365" spans="1:24" ht="12" customHeight="1">
      <c r="A4365" s="4">
        <v>3673</v>
      </c>
      <c r="B4365" s="4">
        <v>26305</v>
      </c>
      <c r="C4365" s="5">
        <f t="shared" ref="C4365:C4366" si="2041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  <c r="V4365">
        <f t="shared" si="2037"/>
        <v>4</v>
      </c>
      <c r="W4365">
        <f t="shared" si="2034"/>
        <v>12</v>
      </c>
      <c r="X4365">
        <f t="shared" si="2035"/>
        <v>2010</v>
      </c>
    </row>
    <row r="4366" spans="1:24" ht="12" customHeight="1">
      <c r="A4366" s="4">
        <v>3674</v>
      </c>
      <c r="B4366" s="4">
        <v>26305</v>
      </c>
      <c r="C4366" s="5">
        <f t="shared" si="2041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2042">C4366+1</f>
        <v>40515</v>
      </c>
      <c r="V4366">
        <f t="shared" si="2037"/>
        <v>3</v>
      </c>
      <c r="W4366">
        <f t="shared" si="2034"/>
        <v>12</v>
      </c>
      <c r="X4366">
        <f t="shared" si="2035"/>
        <v>2010</v>
      </c>
    </row>
    <row r="4367" spans="1:24" ht="12" customHeight="1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2042"/>
        <v>41028</v>
      </c>
      <c r="V4367">
        <f t="shared" si="2037"/>
        <v>29</v>
      </c>
      <c r="W4367">
        <f t="shared" si="2034"/>
        <v>4</v>
      </c>
      <c r="X4367">
        <f t="shared" si="2035"/>
        <v>2012</v>
      </c>
    </row>
    <row r="4368" spans="1:24" ht="12" customHeight="1">
      <c r="A4368" s="4">
        <v>3800</v>
      </c>
      <c r="B4368" s="4">
        <v>27106</v>
      </c>
      <c r="C4368" s="5">
        <f t="shared" ref="C4368:C4372" si="2043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  <c r="V4368">
        <f t="shared" si="2037"/>
        <v>3</v>
      </c>
      <c r="W4368">
        <f t="shared" si="2034"/>
        <v>12</v>
      </c>
      <c r="X4368">
        <f t="shared" si="2035"/>
        <v>2011</v>
      </c>
    </row>
    <row r="4369" spans="1:24" ht="12" customHeight="1">
      <c r="A4369" s="4">
        <v>3801</v>
      </c>
      <c r="B4369" s="4">
        <v>27106</v>
      </c>
      <c r="C4369" s="5">
        <f t="shared" si="2043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  <c r="V4369">
        <f t="shared" si="2037"/>
        <v>1</v>
      </c>
      <c r="W4369">
        <f t="shared" si="2034"/>
        <v>12</v>
      </c>
      <c r="X4369">
        <f t="shared" si="2035"/>
        <v>2011</v>
      </c>
    </row>
    <row r="4370" spans="1:24" ht="12" customHeight="1">
      <c r="A4370" s="4">
        <v>3802</v>
      </c>
      <c r="B4370" s="4">
        <v>27106</v>
      </c>
      <c r="C4370" s="5">
        <f t="shared" si="2043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2044">C4370+2</f>
        <v>40880</v>
      </c>
      <c r="V4370">
        <f t="shared" si="2037"/>
        <v>3</v>
      </c>
      <c r="W4370">
        <f t="shared" si="2034"/>
        <v>12</v>
      </c>
      <c r="X4370">
        <f t="shared" si="2035"/>
        <v>2011</v>
      </c>
    </row>
    <row r="4371" spans="1:24" ht="12" customHeight="1">
      <c r="A4371" s="4">
        <v>3803</v>
      </c>
      <c r="B4371" s="4">
        <v>27106</v>
      </c>
      <c r="C4371" s="5">
        <f t="shared" si="2043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2044"/>
        <v>40880</v>
      </c>
      <c r="V4371">
        <f t="shared" si="2037"/>
        <v>3</v>
      </c>
      <c r="W4371">
        <f t="shared" si="2034"/>
        <v>12</v>
      </c>
      <c r="X4371">
        <f t="shared" si="2035"/>
        <v>2011</v>
      </c>
    </row>
    <row r="4372" spans="1:24" ht="12" customHeight="1">
      <c r="A4372" s="4">
        <v>3804</v>
      </c>
      <c r="B4372" s="4">
        <v>27106</v>
      </c>
      <c r="C4372" s="5">
        <f t="shared" si="2043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2044"/>
        <v>40880</v>
      </c>
      <c r="V4372">
        <f t="shared" si="2037"/>
        <v>3</v>
      </c>
      <c r="W4372">
        <f t="shared" si="2034"/>
        <v>12</v>
      </c>
      <c r="X4372">
        <f t="shared" si="2035"/>
        <v>2011</v>
      </c>
    </row>
    <row r="4373" spans="1:24" ht="12" customHeight="1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  <c r="V4373">
        <f t="shared" si="2037"/>
        <v>3</v>
      </c>
      <c r="W4373">
        <f t="shared" si="2034"/>
        <v>12</v>
      </c>
      <c r="X4373">
        <f t="shared" si="2035"/>
        <v>2010</v>
      </c>
    </row>
    <row r="4374" spans="1:24" ht="12" customHeight="1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  <c r="V4374">
        <f t="shared" si="2037"/>
        <v>4</v>
      </c>
      <c r="W4374">
        <f t="shared" si="2034"/>
        <v>12</v>
      </c>
      <c r="X4374">
        <f t="shared" si="2035"/>
        <v>2010</v>
      </c>
    </row>
    <row r="4375" spans="1:24" ht="12" customHeight="1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2045">C4375+1</f>
        <v>40607</v>
      </c>
      <c r="V4375">
        <f t="shared" si="2037"/>
        <v>5</v>
      </c>
      <c r="W4375">
        <f t="shared" si="2034"/>
        <v>3</v>
      </c>
      <c r="X4375">
        <f t="shared" si="2035"/>
        <v>2011</v>
      </c>
    </row>
    <row r="4376" spans="1:24" ht="12" customHeight="1">
      <c r="A4376" s="4">
        <v>3923</v>
      </c>
      <c r="B4376" s="4">
        <v>27974</v>
      </c>
      <c r="C4376" s="5">
        <f t="shared" ref="C4376:C4377" si="2046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2045"/>
        <v>40459</v>
      </c>
      <c r="V4376">
        <f t="shared" si="2037"/>
        <v>8</v>
      </c>
      <c r="W4376">
        <f t="shared" si="2034"/>
        <v>10</v>
      </c>
      <c r="X4376">
        <f t="shared" si="2035"/>
        <v>2010</v>
      </c>
    </row>
    <row r="4377" spans="1:24" ht="12" customHeight="1">
      <c r="A4377" s="4">
        <v>3924</v>
      </c>
      <c r="B4377" s="4">
        <v>27974</v>
      </c>
      <c r="C4377" s="5">
        <f t="shared" si="2046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2045"/>
        <v>40459</v>
      </c>
      <c r="V4377">
        <f t="shared" si="2037"/>
        <v>8</v>
      </c>
      <c r="W4377">
        <f t="shared" si="2034"/>
        <v>10</v>
      </c>
      <c r="X4377">
        <f t="shared" si="2035"/>
        <v>2010</v>
      </c>
    </row>
    <row r="4378" spans="1:24" ht="12" customHeight="1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2045"/>
        <v>39815</v>
      </c>
      <c r="V4378">
        <f t="shared" si="2037"/>
        <v>2</v>
      </c>
      <c r="W4378">
        <f t="shared" si="2034"/>
        <v>1</v>
      </c>
      <c r="X4378">
        <f t="shared" si="2035"/>
        <v>2009</v>
      </c>
    </row>
    <row r="4379" spans="1:24" ht="12" customHeight="1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2047">C4379+2</f>
        <v>40983</v>
      </c>
      <c r="V4379">
        <f t="shared" si="2037"/>
        <v>15</v>
      </c>
      <c r="W4379">
        <f t="shared" si="2034"/>
        <v>3</v>
      </c>
      <c r="X4379">
        <f t="shared" si="2035"/>
        <v>2012</v>
      </c>
    </row>
    <row r="4380" spans="1:24" ht="12" customHeight="1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2047"/>
        <v>40347</v>
      </c>
      <c r="V4380">
        <f t="shared" si="2037"/>
        <v>18</v>
      </c>
      <c r="W4380">
        <f t="shared" si="2034"/>
        <v>6</v>
      </c>
      <c r="X4380">
        <f t="shared" si="2035"/>
        <v>2010</v>
      </c>
    </row>
    <row r="4381" spans="1:24" ht="12" customHeight="1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  <c r="V4381">
        <f t="shared" si="2037"/>
        <v>11</v>
      </c>
      <c r="W4381">
        <f t="shared" si="2034"/>
        <v>8</v>
      </c>
      <c r="X4381">
        <f t="shared" si="2035"/>
        <v>2011</v>
      </c>
    </row>
    <row r="4382" spans="1:24" ht="12" customHeight="1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  <c r="V4382">
        <f t="shared" si="2037"/>
        <v>4</v>
      </c>
      <c r="W4382">
        <f t="shared" si="2034"/>
        <v>10</v>
      </c>
      <c r="X4382">
        <f t="shared" si="2035"/>
        <v>2012</v>
      </c>
    </row>
    <row r="4383" spans="1:24" ht="12" customHeight="1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2048">C4383+2</f>
        <v>41230</v>
      </c>
      <c r="V4383">
        <f t="shared" si="2037"/>
        <v>17</v>
      </c>
      <c r="W4383">
        <f t="shared" si="2034"/>
        <v>11</v>
      </c>
      <c r="X4383">
        <f t="shared" si="2035"/>
        <v>2012</v>
      </c>
    </row>
    <row r="4384" spans="1:24" ht="12" customHeight="1">
      <c r="A4384" s="4">
        <v>4418</v>
      </c>
      <c r="B4384" s="4">
        <v>31522</v>
      </c>
      <c r="C4384" s="5">
        <f t="shared" ref="C4384:C4385" si="2049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2048"/>
        <v>40325</v>
      </c>
      <c r="V4384">
        <f t="shared" si="2037"/>
        <v>27</v>
      </c>
      <c r="W4384">
        <f t="shared" si="2034"/>
        <v>5</v>
      </c>
      <c r="X4384">
        <f t="shared" si="2035"/>
        <v>2010</v>
      </c>
    </row>
    <row r="4385" spans="1:24" ht="12" customHeight="1">
      <c r="A4385" s="4">
        <v>4419</v>
      </c>
      <c r="B4385" s="4">
        <v>31522</v>
      </c>
      <c r="C4385" s="5">
        <f t="shared" si="2049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2048"/>
        <v>40325</v>
      </c>
      <c r="V4385">
        <f t="shared" si="2037"/>
        <v>27</v>
      </c>
      <c r="W4385">
        <f t="shared" si="2034"/>
        <v>5</v>
      </c>
      <c r="X4385">
        <f t="shared" si="2035"/>
        <v>2010</v>
      </c>
    </row>
    <row r="4386" spans="1:24" ht="12" customHeight="1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  <c r="V4386">
        <f t="shared" si="2037"/>
        <v>30</v>
      </c>
      <c r="W4386">
        <f t="shared" si="2034"/>
        <v>3</v>
      </c>
      <c r="X4386">
        <f t="shared" si="2035"/>
        <v>2009</v>
      </c>
    </row>
    <row r="4387" spans="1:24" ht="12" customHeight="1">
      <c r="A4387" s="4">
        <v>4724</v>
      </c>
      <c r="B4387" s="4">
        <v>33635</v>
      </c>
      <c r="C4387" s="5">
        <f t="shared" ref="C4387:C4388" si="2050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2051">C4387+1</f>
        <v>40007</v>
      </c>
      <c r="V4387">
        <f t="shared" si="2037"/>
        <v>13</v>
      </c>
      <c r="W4387">
        <f t="shared" si="2034"/>
        <v>7</v>
      </c>
      <c r="X4387">
        <f t="shared" si="2035"/>
        <v>2009</v>
      </c>
    </row>
    <row r="4388" spans="1:24" ht="12" customHeight="1">
      <c r="A4388" s="4">
        <v>4725</v>
      </c>
      <c r="B4388" s="4">
        <v>33635</v>
      </c>
      <c r="C4388" s="5">
        <f t="shared" si="2050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2051"/>
        <v>40007</v>
      </c>
      <c r="V4388">
        <f t="shared" si="2037"/>
        <v>13</v>
      </c>
      <c r="W4388">
        <f t="shared" si="2034"/>
        <v>7</v>
      </c>
      <c r="X4388">
        <f t="shared" si="2035"/>
        <v>2009</v>
      </c>
    </row>
    <row r="4389" spans="1:24" ht="12" customHeight="1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2051"/>
        <v>39824</v>
      </c>
      <c r="V4389">
        <f t="shared" si="2037"/>
        <v>11</v>
      </c>
      <c r="W4389">
        <f t="shared" si="2034"/>
        <v>1</v>
      </c>
      <c r="X4389">
        <f t="shared" si="2035"/>
        <v>2009</v>
      </c>
    </row>
    <row r="4390" spans="1:24" ht="12" customHeight="1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  <c r="V4390">
        <f t="shared" si="2037"/>
        <v>28</v>
      </c>
      <c r="W4390">
        <f t="shared" si="2034"/>
        <v>7</v>
      </c>
      <c r="X4390">
        <f t="shared" si="2035"/>
        <v>2009</v>
      </c>
    </row>
    <row r="4391" spans="1:24" ht="12" customHeight="1">
      <c r="A4391" s="4">
        <v>4875</v>
      </c>
      <c r="B4391" s="4">
        <v>34691</v>
      </c>
      <c r="C4391" s="5">
        <f t="shared" ref="C4391:C4393" si="2052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  <c r="V4391">
        <f t="shared" si="2037"/>
        <v>16</v>
      </c>
      <c r="W4391">
        <f t="shared" si="2034"/>
        <v>1</v>
      </c>
      <c r="X4391">
        <f t="shared" si="2035"/>
        <v>2009</v>
      </c>
    </row>
    <row r="4392" spans="1:24" ht="12" customHeight="1">
      <c r="A4392" s="4">
        <v>4876</v>
      </c>
      <c r="B4392" s="4">
        <v>34691</v>
      </c>
      <c r="C4392" s="5">
        <f t="shared" si="2052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  <c r="V4392">
        <f t="shared" si="2037"/>
        <v>14</v>
      </c>
      <c r="W4392">
        <f t="shared" si="2034"/>
        <v>1</v>
      </c>
      <c r="X4392">
        <f t="shared" si="2035"/>
        <v>2009</v>
      </c>
    </row>
    <row r="4393" spans="1:24" ht="12" customHeight="1">
      <c r="A4393" s="4">
        <v>4877</v>
      </c>
      <c r="B4393" s="4">
        <v>34691</v>
      </c>
      <c r="C4393" s="5">
        <f t="shared" si="2052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  <c r="V4393">
        <f t="shared" si="2037"/>
        <v>16</v>
      </c>
      <c r="W4393">
        <f t="shared" si="2034"/>
        <v>1</v>
      </c>
      <c r="X4393">
        <f t="shared" si="2035"/>
        <v>2009</v>
      </c>
    </row>
    <row r="4394" spans="1:24" ht="12" customHeight="1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  <c r="V4394">
        <f t="shared" si="2037"/>
        <v>28</v>
      </c>
      <c r="W4394">
        <f t="shared" si="2034"/>
        <v>1</v>
      </c>
      <c r="X4394">
        <f t="shared" si="2035"/>
        <v>2010</v>
      </c>
    </row>
    <row r="4395" spans="1:24" ht="12" customHeight="1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2053">C4395+1</f>
        <v>40122</v>
      </c>
      <c r="V4395">
        <f t="shared" si="2037"/>
        <v>5</v>
      </c>
      <c r="W4395">
        <f t="shared" si="2034"/>
        <v>11</v>
      </c>
      <c r="X4395">
        <f t="shared" si="2035"/>
        <v>2009</v>
      </c>
    </row>
    <row r="4396" spans="1:24" ht="12" customHeight="1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2053"/>
        <v>40824</v>
      </c>
      <c r="V4396">
        <f t="shared" si="2037"/>
        <v>8</v>
      </c>
      <c r="W4396">
        <f t="shared" si="2034"/>
        <v>10</v>
      </c>
      <c r="X4396">
        <f t="shared" si="2035"/>
        <v>2011</v>
      </c>
    </row>
    <row r="4397" spans="1:24" ht="12" customHeight="1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  <c r="V4397">
        <f t="shared" si="2037"/>
        <v>14</v>
      </c>
      <c r="W4397">
        <f t="shared" si="2034"/>
        <v>4</v>
      </c>
      <c r="X4397">
        <f t="shared" si="2035"/>
        <v>2012</v>
      </c>
    </row>
    <row r="4398" spans="1:24" ht="12" customHeight="1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  <c r="V4398">
        <f t="shared" si="2037"/>
        <v>21</v>
      </c>
      <c r="W4398">
        <f t="shared" si="2034"/>
        <v>8</v>
      </c>
      <c r="X4398">
        <f t="shared" si="2035"/>
        <v>2011</v>
      </c>
    </row>
    <row r="4399" spans="1:24" ht="12" customHeight="1">
      <c r="A4399" s="4">
        <v>5330</v>
      </c>
      <c r="B4399" s="4">
        <v>37891</v>
      </c>
      <c r="C4399" s="5">
        <f t="shared" ref="C4399:C4402" si="2054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2055">C4399+2</f>
        <v>40838</v>
      </c>
      <c r="V4399">
        <f t="shared" si="2037"/>
        <v>22</v>
      </c>
      <c r="W4399">
        <f t="shared" si="2034"/>
        <v>10</v>
      </c>
      <c r="X4399">
        <f t="shared" si="2035"/>
        <v>2011</v>
      </c>
    </row>
    <row r="4400" spans="1:24" ht="12" customHeight="1">
      <c r="A4400" s="4">
        <v>5331</v>
      </c>
      <c r="B4400" s="4">
        <v>37891</v>
      </c>
      <c r="C4400" s="5">
        <f t="shared" si="2054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2055"/>
        <v>40838</v>
      </c>
      <c r="V4400">
        <f t="shared" si="2037"/>
        <v>22</v>
      </c>
      <c r="W4400">
        <f t="shared" si="2034"/>
        <v>10</v>
      </c>
      <c r="X4400">
        <f t="shared" si="2035"/>
        <v>2011</v>
      </c>
    </row>
    <row r="4401" spans="1:24" ht="12" customHeight="1">
      <c r="A4401" s="4">
        <v>5332</v>
      </c>
      <c r="B4401" s="4">
        <v>37891</v>
      </c>
      <c r="C4401" s="5">
        <f t="shared" si="2054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  <c r="V4401">
        <f t="shared" si="2037"/>
        <v>20</v>
      </c>
      <c r="W4401">
        <f t="shared" si="2034"/>
        <v>10</v>
      </c>
      <c r="X4401">
        <f t="shared" si="2035"/>
        <v>2011</v>
      </c>
    </row>
    <row r="4402" spans="1:24" ht="12" customHeight="1">
      <c r="A4402" s="4">
        <v>5333</v>
      </c>
      <c r="B4402" s="4">
        <v>37891</v>
      </c>
      <c r="C4402" s="5">
        <f t="shared" si="2054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  <c r="V4402">
        <f t="shared" si="2037"/>
        <v>22</v>
      </c>
      <c r="W4402">
        <f t="shared" si="2034"/>
        <v>10</v>
      </c>
      <c r="X4402">
        <f t="shared" si="2035"/>
        <v>2011</v>
      </c>
    </row>
    <row r="4403" spans="1:24" ht="12" customHeight="1">
      <c r="A4403" s="4">
        <v>5349</v>
      </c>
      <c r="B4403" s="4">
        <v>38021</v>
      </c>
      <c r="C4403" s="5">
        <f t="shared" ref="C4403:C4404" si="2056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2057">C4403+1</f>
        <v>39835</v>
      </c>
      <c r="V4403">
        <f t="shared" si="2037"/>
        <v>22</v>
      </c>
      <c r="W4403">
        <f t="shared" si="2034"/>
        <v>1</v>
      </c>
      <c r="X4403">
        <f t="shared" si="2035"/>
        <v>2009</v>
      </c>
    </row>
    <row r="4404" spans="1:24" ht="12" customHeight="1">
      <c r="A4404" s="4">
        <v>5350</v>
      </c>
      <c r="B4404" s="4">
        <v>38021</v>
      </c>
      <c r="C4404" s="5">
        <f t="shared" si="2056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2057"/>
        <v>39835</v>
      </c>
      <c r="V4404">
        <f t="shared" si="2037"/>
        <v>22</v>
      </c>
      <c r="W4404">
        <f t="shared" si="2034"/>
        <v>1</v>
      </c>
      <c r="X4404">
        <f t="shared" si="2035"/>
        <v>2009</v>
      </c>
    </row>
    <row r="4405" spans="1:24" ht="12" customHeight="1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  <c r="V4405">
        <f t="shared" si="2037"/>
        <v>7</v>
      </c>
      <c r="W4405">
        <f t="shared" si="2034"/>
        <v>12</v>
      </c>
      <c r="X4405">
        <f t="shared" si="2035"/>
        <v>2011</v>
      </c>
    </row>
    <row r="4406" spans="1:24" ht="12" customHeight="1">
      <c r="A4406" s="4">
        <v>5441</v>
      </c>
      <c r="B4406" s="4">
        <v>38656</v>
      </c>
      <c r="C4406" s="5">
        <f t="shared" ref="C4406:C4407" si="2058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  <c r="V4406">
        <f t="shared" si="2037"/>
        <v>17</v>
      </c>
      <c r="W4406">
        <f t="shared" si="2034"/>
        <v>8</v>
      </c>
      <c r="X4406">
        <f t="shared" si="2035"/>
        <v>2012</v>
      </c>
    </row>
    <row r="4407" spans="1:24" ht="12" customHeight="1">
      <c r="A4407" s="4">
        <v>5442</v>
      </c>
      <c r="B4407" s="4">
        <v>38656</v>
      </c>
      <c r="C4407" s="5">
        <f t="shared" si="2058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  <c r="V4407">
        <f t="shared" si="2037"/>
        <v>15</v>
      </c>
      <c r="W4407">
        <f t="shared" si="2034"/>
        <v>8</v>
      </c>
      <c r="X4407">
        <f t="shared" si="2035"/>
        <v>2012</v>
      </c>
    </row>
    <row r="4408" spans="1:24" ht="12" customHeight="1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2059">C4408+2</f>
        <v>39942</v>
      </c>
      <c r="V4408">
        <f t="shared" si="2037"/>
        <v>9</v>
      </c>
      <c r="W4408">
        <f t="shared" si="2034"/>
        <v>5</v>
      </c>
      <c r="X4408">
        <f t="shared" si="2035"/>
        <v>2009</v>
      </c>
    </row>
    <row r="4409" spans="1:24" ht="12" customHeight="1">
      <c r="A4409" s="4">
        <v>5545</v>
      </c>
      <c r="B4409" s="4">
        <v>39268</v>
      </c>
      <c r="C4409" s="5">
        <f t="shared" ref="C4409:C4410" si="2060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2059"/>
        <v>40657</v>
      </c>
      <c r="V4409">
        <f t="shared" si="2037"/>
        <v>24</v>
      </c>
      <c r="W4409">
        <f t="shared" si="2034"/>
        <v>4</v>
      </c>
      <c r="X4409">
        <f t="shared" si="2035"/>
        <v>2011</v>
      </c>
    </row>
    <row r="4410" spans="1:24" ht="12" customHeight="1">
      <c r="A4410" s="4">
        <v>5546</v>
      </c>
      <c r="B4410" s="4">
        <v>39268</v>
      </c>
      <c r="C4410" s="5">
        <f t="shared" si="2060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  <c r="V4410">
        <f t="shared" si="2037"/>
        <v>25</v>
      </c>
      <c r="W4410">
        <f t="shared" si="2034"/>
        <v>4</v>
      </c>
      <c r="X4410">
        <f t="shared" si="2035"/>
        <v>2011</v>
      </c>
    </row>
    <row r="4411" spans="1:24" ht="12" customHeight="1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  <c r="V4411">
        <f t="shared" si="2037"/>
        <v>26</v>
      </c>
      <c r="W4411">
        <f t="shared" si="2034"/>
        <v>6</v>
      </c>
      <c r="X4411">
        <f t="shared" si="2035"/>
        <v>2009</v>
      </c>
    </row>
    <row r="4412" spans="1:24" ht="12" customHeight="1">
      <c r="A4412" s="4">
        <v>5591</v>
      </c>
      <c r="B4412" s="4">
        <v>39650</v>
      </c>
      <c r="C4412" s="5">
        <f t="shared" ref="C4412:C4413" si="2061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  <c r="V4412">
        <f t="shared" si="2037"/>
        <v>2</v>
      </c>
      <c r="W4412">
        <f t="shared" si="2034"/>
        <v>8</v>
      </c>
      <c r="X4412">
        <f t="shared" si="2035"/>
        <v>2010</v>
      </c>
    </row>
    <row r="4413" spans="1:24" ht="12" customHeight="1">
      <c r="A4413" s="4">
        <v>5592</v>
      </c>
      <c r="B4413" s="4">
        <v>39650</v>
      </c>
      <c r="C4413" s="5">
        <f t="shared" si="2061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2062">C4413+1</f>
        <v>40390</v>
      </c>
      <c r="V4413">
        <f t="shared" si="2037"/>
        <v>31</v>
      </c>
      <c r="W4413">
        <f t="shared" si="2034"/>
        <v>7</v>
      </c>
      <c r="X4413">
        <f t="shared" si="2035"/>
        <v>2010</v>
      </c>
    </row>
    <row r="4414" spans="1:24" ht="12" customHeight="1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2062"/>
        <v>40149</v>
      </c>
      <c r="V4414">
        <f t="shared" si="2037"/>
        <v>2</v>
      </c>
      <c r="W4414">
        <f t="shared" si="2034"/>
        <v>12</v>
      </c>
      <c r="X4414">
        <f t="shared" si="2035"/>
        <v>2009</v>
      </c>
    </row>
    <row r="4415" spans="1:24" ht="12" customHeight="1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  <c r="V4415">
        <f t="shared" si="2037"/>
        <v>4</v>
      </c>
      <c r="W4415">
        <f t="shared" si="2034"/>
        <v>12</v>
      </c>
      <c r="X4415">
        <f t="shared" si="2035"/>
        <v>2010</v>
      </c>
    </row>
    <row r="4416" spans="1:24" ht="12" customHeight="1">
      <c r="A4416" s="4">
        <v>5773</v>
      </c>
      <c r="B4416" s="4">
        <v>40965</v>
      </c>
      <c r="C4416" s="5">
        <f t="shared" ref="C4416:C4417" si="2063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2064">C4416+2</f>
        <v>40139</v>
      </c>
      <c r="V4416">
        <f t="shared" si="2037"/>
        <v>22</v>
      </c>
      <c r="W4416">
        <f t="shared" si="2034"/>
        <v>11</v>
      </c>
      <c r="X4416">
        <f t="shared" si="2035"/>
        <v>2009</v>
      </c>
    </row>
    <row r="4417" spans="1:24" ht="12" customHeight="1">
      <c r="A4417" s="4">
        <v>5774</v>
      </c>
      <c r="B4417" s="4">
        <v>40965</v>
      </c>
      <c r="C4417" s="5">
        <f t="shared" si="2063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2064"/>
        <v>40139</v>
      </c>
      <c r="V4417">
        <f t="shared" si="2037"/>
        <v>22</v>
      </c>
      <c r="W4417">
        <f t="shared" si="2034"/>
        <v>11</v>
      </c>
      <c r="X4417">
        <f t="shared" si="2035"/>
        <v>2009</v>
      </c>
    </row>
    <row r="4418" spans="1:24" ht="12" customHeight="1">
      <c r="A4418" s="4">
        <v>5822</v>
      </c>
      <c r="B4418" s="4">
        <v>41316</v>
      </c>
      <c r="C4418" s="5">
        <f t="shared" ref="C4418:C4419" si="2065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  <c r="V4418">
        <f t="shared" si="2037"/>
        <v>22</v>
      </c>
      <c r="W4418">
        <f t="shared" si="2034"/>
        <v>7</v>
      </c>
      <c r="X4418">
        <f t="shared" si="2035"/>
        <v>2009</v>
      </c>
    </row>
    <row r="4419" spans="1:24" ht="12" customHeight="1">
      <c r="A4419" s="4">
        <v>5823</v>
      </c>
      <c r="B4419" s="4">
        <v>41316</v>
      </c>
      <c r="C4419" s="5">
        <f t="shared" si="2065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  <c r="V4419">
        <f t="shared" si="2037"/>
        <v>24</v>
      </c>
      <c r="W4419">
        <f t="shared" ref="W4419:W4482" si="2066">MONTH(U4419)</f>
        <v>7</v>
      </c>
      <c r="X4419">
        <f t="shared" ref="X4419:X4482" si="2067">YEAR(U4419)</f>
        <v>2009</v>
      </c>
    </row>
    <row r="4420" spans="1:24" ht="12" customHeight="1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  <c r="V4420">
        <f t="shared" ref="V4420:V4483" si="2068">DAY(U4420)</f>
        <v>1</v>
      </c>
      <c r="W4420">
        <f t="shared" si="2066"/>
        <v>6</v>
      </c>
      <c r="X4420">
        <f t="shared" si="2067"/>
        <v>2010</v>
      </c>
    </row>
    <row r="4421" spans="1:24" ht="12" customHeight="1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2069">C4421+2</f>
        <v>40510</v>
      </c>
      <c r="V4421">
        <f t="shared" si="2068"/>
        <v>28</v>
      </c>
      <c r="W4421">
        <f t="shared" si="2066"/>
        <v>11</v>
      </c>
      <c r="X4421">
        <f t="shared" si="2067"/>
        <v>2010</v>
      </c>
    </row>
    <row r="4422" spans="1:24" ht="12" customHeight="1">
      <c r="A4422" s="4">
        <v>5956</v>
      </c>
      <c r="B4422" s="4">
        <v>42274</v>
      </c>
      <c r="C4422" s="5">
        <f t="shared" ref="C4422:C4423" si="207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2069"/>
        <v>40791</v>
      </c>
      <c r="V4422">
        <f t="shared" si="2068"/>
        <v>5</v>
      </c>
      <c r="W4422">
        <f t="shared" si="2066"/>
        <v>9</v>
      </c>
      <c r="X4422">
        <f t="shared" si="2067"/>
        <v>2011</v>
      </c>
    </row>
    <row r="4423" spans="1:24" ht="12" customHeight="1">
      <c r="A4423" s="4">
        <v>5957</v>
      </c>
      <c r="B4423" s="4">
        <v>42274</v>
      </c>
      <c r="C4423" s="5">
        <f t="shared" si="207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2069"/>
        <v>40791</v>
      </c>
      <c r="V4423">
        <f t="shared" si="2068"/>
        <v>5</v>
      </c>
      <c r="W4423">
        <f t="shared" si="2066"/>
        <v>9</v>
      </c>
      <c r="X4423">
        <f t="shared" si="2067"/>
        <v>2011</v>
      </c>
    </row>
    <row r="4424" spans="1:24" ht="12" customHeight="1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2069"/>
        <v>40480</v>
      </c>
      <c r="V4424">
        <f t="shared" si="2068"/>
        <v>29</v>
      </c>
      <c r="W4424">
        <f t="shared" si="2066"/>
        <v>10</v>
      </c>
      <c r="X4424">
        <f t="shared" si="2067"/>
        <v>2010</v>
      </c>
    </row>
    <row r="4425" spans="1:24" ht="12" customHeight="1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  <c r="V4425">
        <f t="shared" si="2068"/>
        <v>20</v>
      </c>
      <c r="W4425">
        <f t="shared" si="2066"/>
        <v>10</v>
      </c>
      <c r="X4425">
        <f t="shared" si="2067"/>
        <v>2009</v>
      </c>
    </row>
    <row r="4426" spans="1:24" ht="12" customHeight="1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2071">C4426+2</f>
        <v>41161</v>
      </c>
      <c r="V4426">
        <f t="shared" si="2068"/>
        <v>9</v>
      </c>
      <c r="W4426">
        <f t="shared" si="2066"/>
        <v>9</v>
      </c>
      <c r="X4426">
        <f t="shared" si="2067"/>
        <v>2012</v>
      </c>
    </row>
    <row r="4427" spans="1:24" ht="12" customHeight="1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2071"/>
        <v>40830</v>
      </c>
      <c r="V4427">
        <f t="shared" si="2068"/>
        <v>14</v>
      </c>
      <c r="W4427">
        <f t="shared" si="2066"/>
        <v>10</v>
      </c>
      <c r="X4427">
        <f t="shared" si="2067"/>
        <v>2011</v>
      </c>
    </row>
    <row r="4428" spans="1:24" ht="12" customHeight="1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2072">C4428+1</f>
        <v>40698</v>
      </c>
      <c r="V4428">
        <f t="shared" si="2068"/>
        <v>4</v>
      </c>
      <c r="W4428">
        <f t="shared" si="2066"/>
        <v>6</v>
      </c>
      <c r="X4428">
        <f t="shared" si="2067"/>
        <v>2011</v>
      </c>
    </row>
    <row r="4429" spans="1:24" ht="12" customHeight="1">
      <c r="A4429" s="4">
        <v>6320</v>
      </c>
      <c r="B4429" s="4">
        <v>44737</v>
      </c>
      <c r="C4429" s="5">
        <f t="shared" ref="C4429:C4430" si="207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2072"/>
        <v>41233</v>
      </c>
      <c r="V4429">
        <f t="shared" si="2068"/>
        <v>20</v>
      </c>
      <c r="W4429">
        <f t="shared" si="2066"/>
        <v>11</v>
      </c>
      <c r="X4429">
        <f t="shared" si="2067"/>
        <v>2012</v>
      </c>
    </row>
    <row r="4430" spans="1:24" ht="12" customHeight="1">
      <c r="A4430" s="4">
        <v>6321</v>
      </c>
      <c r="B4430" s="4">
        <v>44737</v>
      </c>
      <c r="C4430" s="5">
        <f t="shared" si="207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2074">C4430+2</f>
        <v>41234</v>
      </c>
      <c r="V4430">
        <f t="shared" si="2068"/>
        <v>21</v>
      </c>
      <c r="W4430">
        <f t="shared" si="2066"/>
        <v>11</v>
      </c>
      <c r="X4430">
        <f t="shared" si="2067"/>
        <v>2012</v>
      </c>
    </row>
    <row r="4431" spans="1:24" ht="12" customHeight="1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2074"/>
        <v>40519</v>
      </c>
      <c r="V4431">
        <f t="shared" si="2068"/>
        <v>7</v>
      </c>
      <c r="W4431">
        <f t="shared" si="2066"/>
        <v>12</v>
      </c>
      <c r="X4431">
        <f t="shared" si="2067"/>
        <v>2010</v>
      </c>
    </row>
    <row r="4432" spans="1:24" ht="12" customHeight="1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  <c r="V4432">
        <f t="shared" si="2068"/>
        <v>27</v>
      </c>
      <c r="W4432">
        <f t="shared" si="2066"/>
        <v>5</v>
      </c>
      <c r="X4432">
        <f t="shared" si="2067"/>
        <v>2012</v>
      </c>
    </row>
    <row r="4433" spans="1:24" ht="12" customHeight="1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  <c r="V4433">
        <f t="shared" si="2068"/>
        <v>28</v>
      </c>
      <c r="W4433">
        <f t="shared" si="2066"/>
        <v>7</v>
      </c>
      <c r="X4433">
        <f t="shared" si="2067"/>
        <v>2009</v>
      </c>
    </row>
    <row r="4434" spans="1:24" ht="12" customHeight="1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  <c r="V4434">
        <f t="shared" si="2068"/>
        <v>3</v>
      </c>
      <c r="W4434">
        <f t="shared" si="2066"/>
        <v>7</v>
      </c>
      <c r="X4434">
        <f t="shared" si="2067"/>
        <v>2010</v>
      </c>
    </row>
    <row r="4435" spans="1:24" ht="12" customHeight="1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  <c r="V4435">
        <f t="shared" si="2068"/>
        <v>6</v>
      </c>
      <c r="W4435">
        <f t="shared" si="2066"/>
        <v>2</v>
      </c>
      <c r="X4435">
        <f t="shared" si="2067"/>
        <v>2011</v>
      </c>
    </row>
    <row r="4436" spans="1:24" ht="12" customHeight="1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  <c r="V4436">
        <f t="shared" si="2068"/>
        <v>16</v>
      </c>
      <c r="W4436">
        <f t="shared" si="2066"/>
        <v>4</v>
      </c>
      <c r="X4436">
        <f t="shared" si="2067"/>
        <v>2012</v>
      </c>
    </row>
    <row r="4437" spans="1:24" ht="12" customHeight="1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  <c r="V4437">
        <f t="shared" si="2068"/>
        <v>11</v>
      </c>
      <c r="W4437">
        <f t="shared" si="2066"/>
        <v>4</v>
      </c>
      <c r="X4437">
        <f t="shared" si="2067"/>
        <v>2009</v>
      </c>
    </row>
    <row r="4438" spans="1:24" ht="12" customHeight="1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2075">C4438+2</f>
        <v>40129</v>
      </c>
      <c r="V4438">
        <f t="shared" si="2068"/>
        <v>12</v>
      </c>
      <c r="W4438">
        <f t="shared" si="2066"/>
        <v>11</v>
      </c>
      <c r="X4438">
        <f t="shared" si="2067"/>
        <v>2009</v>
      </c>
    </row>
    <row r="4439" spans="1:24" ht="12" customHeight="1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2075"/>
        <v>39970</v>
      </c>
      <c r="V4439">
        <f t="shared" si="2068"/>
        <v>6</v>
      </c>
      <c r="W4439">
        <f t="shared" si="2066"/>
        <v>6</v>
      </c>
      <c r="X4439">
        <f t="shared" si="2067"/>
        <v>2009</v>
      </c>
    </row>
    <row r="4440" spans="1:24" ht="12" customHeight="1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  <c r="V4440">
        <f t="shared" si="2068"/>
        <v>16</v>
      </c>
      <c r="W4440">
        <f t="shared" si="2066"/>
        <v>1</v>
      </c>
      <c r="X4440">
        <f t="shared" si="2067"/>
        <v>2009</v>
      </c>
    </row>
    <row r="4441" spans="1:24" ht="12" customHeight="1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2076">C4441+2</f>
        <v>40820</v>
      </c>
      <c r="V4441">
        <f t="shared" si="2068"/>
        <v>4</v>
      </c>
      <c r="W4441">
        <f t="shared" si="2066"/>
        <v>10</v>
      </c>
      <c r="X4441">
        <f t="shared" si="2067"/>
        <v>2011</v>
      </c>
    </row>
    <row r="4442" spans="1:24" ht="12" customHeight="1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2076"/>
        <v>41195</v>
      </c>
      <c r="V4442">
        <f t="shared" si="2068"/>
        <v>13</v>
      </c>
      <c r="W4442">
        <f t="shared" si="2066"/>
        <v>10</v>
      </c>
      <c r="X4442">
        <f t="shared" si="2067"/>
        <v>2012</v>
      </c>
    </row>
    <row r="4443" spans="1:24" ht="12" customHeight="1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2077">C4443+1</f>
        <v>41212</v>
      </c>
      <c r="V4443">
        <f t="shared" si="2068"/>
        <v>30</v>
      </c>
      <c r="W4443">
        <f t="shared" si="2066"/>
        <v>10</v>
      </c>
      <c r="X4443">
        <f t="shared" si="2067"/>
        <v>2012</v>
      </c>
    </row>
    <row r="4444" spans="1:24" ht="12" customHeight="1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2077"/>
        <v>40621</v>
      </c>
      <c r="V4444">
        <f t="shared" si="2068"/>
        <v>19</v>
      </c>
      <c r="W4444">
        <f t="shared" si="2066"/>
        <v>3</v>
      </c>
      <c r="X4444">
        <f t="shared" si="2067"/>
        <v>2011</v>
      </c>
    </row>
    <row r="4445" spans="1:24" ht="12" customHeight="1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2078">C4445+2</f>
        <v>39830</v>
      </c>
      <c r="V4445">
        <f t="shared" si="2068"/>
        <v>17</v>
      </c>
      <c r="W4445">
        <f t="shared" si="2066"/>
        <v>1</v>
      </c>
      <c r="X4445">
        <f t="shared" si="2067"/>
        <v>2009</v>
      </c>
    </row>
    <row r="4446" spans="1:24" ht="12" customHeight="1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2078"/>
        <v>41207</v>
      </c>
      <c r="V4446">
        <f t="shared" si="2068"/>
        <v>25</v>
      </c>
      <c r="W4446">
        <f t="shared" si="2066"/>
        <v>10</v>
      </c>
      <c r="X4446">
        <f t="shared" si="2067"/>
        <v>2012</v>
      </c>
    </row>
    <row r="4447" spans="1:24" ht="12" customHeight="1">
      <c r="A4447" s="4">
        <v>6904</v>
      </c>
      <c r="B4447" s="4">
        <v>49221</v>
      </c>
      <c r="C4447" s="5">
        <f t="shared" ref="C4447:C4448" si="207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2080">C4447+1</f>
        <v>40363</v>
      </c>
      <c r="V4447">
        <f t="shared" si="2068"/>
        <v>4</v>
      </c>
      <c r="W4447">
        <f t="shared" si="2066"/>
        <v>7</v>
      </c>
      <c r="X4447">
        <f t="shared" si="2067"/>
        <v>2010</v>
      </c>
    </row>
    <row r="4448" spans="1:24" ht="12" customHeight="1">
      <c r="A4448" s="4">
        <v>6905</v>
      </c>
      <c r="B4448" s="4">
        <v>49221</v>
      </c>
      <c r="C4448" s="5">
        <f t="shared" si="207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2080"/>
        <v>40363</v>
      </c>
      <c r="V4448">
        <f t="shared" si="2068"/>
        <v>4</v>
      </c>
      <c r="W4448">
        <f t="shared" si="2066"/>
        <v>7</v>
      </c>
      <c r="X4448">
        <f t="shared" si="2067"/>
        <v>2010</v>
      </c>
    </row>
    <row r="4449" spans="1:24" ht="12" customHeight="1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2080"/>
        <v>41083</v>
      </c>
      <c r="V4449">
        <f t="shared" si="2068"/>
        <v>23</v>
      </c>
      <c r="W4449">
        <f t="shared" si="2066"/>
        <v>6</v>
      </c>
      <c r="X4449">
        <f t="shared" si="2067"/>
        <v>2012</v>
      </c>
    </row>
    <row r="4450" spans="1:24" ht="12" customHeight="1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2080"/>
        <v>40529</v>
      </c>
      <c r="V4450">
        <f t="shared" si="2068"/>
        <v>17</v>
      </c>
      <c r="W4450">
        <f t="shared" si="2066"/>
        <v>12</v>
      </c>
      <c r="X4450">
        <f t="shared" si="2067"/>
        <v>2010</v>
      </c>
    </row>
    <row r="4451" spans="1:24" ht="12" customHeight="1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  <c r="V4451">
        <f t="shared" si="2068"/>
        <v>7</v>
      </c>
      <c r="W4451">
        <f t="shared" si="2066"/>
        <v>6</v>
      </c>
      <c r="X4451">
        <f t="shared" si="2067"/>
        <v>2012</v>
      </c>
    </row>
    <row r="4452" spans="1:24" ht="12" customHeight="1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2081">C4452+1</f>
        <v>41060</v>
      </c>
      <c r="V4452">
        <f t="shared" si="2068"/>
        <v>31</v>
      </c>
      <c r="W4452">
        <f t="shared" si="2066"/>
        <v>5</v>
      </c>
      <c r="X4452">
        <f t="shared" si="2067"/>
        <v>2012</v>
      </c>
    </row>
    <row r="4453" spans="1:24" ht="12" customHeight="1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2081"/>
        <v>41090</v>
      </c>
      <c r="V4453">
        <f t="shared" si="2068"/>
        <v>30</v>
      </c>
      <c r="W4453">
        <f t="shared" si="2066"/>
        <v>6</v>
      </c>
      <c r="X4453">
        <f t="shared" si="2067"/>
        <v>2012</v>
      </c>
    </row>
    <row r="4454" spans="1:24" ht="12" customHeight="1">
      <c r="A4454" s="4">
        <v>7414</v>
      </c>
      <c r="B4454" s="4">
        <v>52896</v>
      </c>
      <c r="C4454" s="5">
        <f t="shared" ref="C4454:C4456" si="208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2083">C4454+3</f>
        <v>40476</v>
      </c>
      <c r="V4454">
        <f t="shared" si="2068"/>
        <v>25</v>
      </c>
      <c r="W4454">
        <f t="shared" si="2066"/>
        <v>10</v>
      </c>
      <c r="X4454">
        <f t="shared" si="2067"/>
        <v>2010</v>
      </c>
    </row>
    <row r="4455" spans="1:24" ht="12" customHeight="1">
      <c r="A4455" s="4">
        <v>7415</v>
      </c>
      <c r="B4455" s="4">
        <v>52896</v>
      </c>
      <c r="C4455" s="5">
        <f t="shared" si="208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2083"/>
        <v>40476</v>
      </c>
      <c r="V4455">
        <f t="shared" si="2068"/>
        <v>25</v>
      </c>
      <c r="W4455">
        <f t="shared" si="2066"/>
        <v>10</v>
      </c>
      <c r="X4455">
        <f t="shared" si="2067"/>
        <v>2010</v>
      </c>
    </row>
    <row r="4456" spans="1:24" ht="12" customHeight="1">
      <c r="A4456" s="4">
        <v>7416</v>
      </c>
      <c r="B4456" s="4">
        <v>52896</v>
      </c>
      <c r="C4456" s="5">
        <f t="shared" si="208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  <c r="V4456">
        <f t="shared" si="2068"/>
        <v>24</v>
      </c>
      <c r="W4456">
        <f t="shared" si="2066"/>
        <v>10</v>
      </c>
      <c r="X4456">
        <f t="shared" si="2067"/>
        <v>2010</v>
      </c>
    </row>
    <row r="4457" spans="1:24" ht="12" customHeight="1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  <c r="V4457">
        <f t="shared" si="2068"/>
        <v>25</v>
      </c>
      <c r="W4457">
        <f t="shared" si="2066"/>
        <v>8</v>
      </c>
      <c r="X4457">
        <f t="shared" si="2067"/>
        <v>2009</v>
      </c>
    </row>
    <row r="4458" spans="1:24" ht="12" customHeight="1">
      <c r="A4458" s="4">
        <v>7487</v>
      </c>
      <c r="B4458" s="4">
        <v>53445</v>
      </c>
      <c r="C4458" s="5">
        <f t="shared" ref="C4458:C4459" si="208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2085">C4458+2</f>
        <v>41208</v>
      </c>
      <c r="V4458">
        <f t="shared" si="2068"/>
        <v>26</v>
      </c>
      <c r="W4458">
        <f t="shared" si="2066"/>
        <v>10</v>
      </c>
      <c r="X4458">
        <f t="shared" si="2067"/>
        <v>2012</v>
      </c>
    </row>
    <row r="4459" spans="1:24" ht="12" customHeight="1">
      <c r="A4459" s="4">
        <v>7488</v>
      </c>
      <c r="B4459" s="4">
        <v>53445</v>
      </c>
      <c r="C4459" s="5">
        <f t="shared" si="208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2085"/>
        <v>41208</v>
      </c>
      <c r="V4459">
        <f t="shared" si="2068"/>
        <v>26</v>
      </c>
      <c r="W4459">
        <f t="shared" si="2066"/>
        <v>10</v>
      </c>
      <c r="X4459">
        <f t="shared" si="2067"/>
        <v>2012</v>
      </c>
    </row>
    <row r="4460" spans="1:24" ht="12" customHeight="1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2085"/>
        <v>39859</v>
      </c>
      <c r="V4460">
        <f t="shared" si="2068"/>
        <v>15</v>
      </c>
      <c r="W4460">
        <f t="shared" si="2066"/>
        <v>2</v>
      </c>
      <c r="X4460">
        <f t="shared" si="2067"/>
        <v>2009</v>
      </c>
    </row>
    <row r="4461" spans="1:24" ht="12" customHeight="1">
      <c r="A4461" s="4">
        <v>7570</v>
      </c>
      <c r="B4461" s="4">
        <v>54151</v>
      </c>
      <c r="C4461" s="5">
        <f t="shared" ref="C4461:C4462" si="208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2087">C4461+1</f>
        <v>40059</v>
      </c>
      <c r="V4461">
        <f t="shared" si="2068"/>
        <v>3</v>
      </c>
      <c r="W4461">
        <f t="shared" si="2066"/>
        <v>9</v>
      </c>
      <c r="X4461">
        <f t="shared" si="2067"/>
        <v>2009</v>
      </c>
    </row>
    <row r="4462" spans="1:24" ht="12" customHeight="1">
      <c r="A4462" s="4">
        <v>7571</v>
      </c>
      <c r="B4462" s="4">
        <v>54151</v>
      </c>
      <c r="C4462" s="5">
        <f t="shared" si="208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2087"/>
        <v>40059</v>
      </c>
      <c r="V4462">
        <f t="shared" si="2068"/>
        <v>3</v>
      </c>
      <c r="W4462">
        <f t="shared" si="2066"/>
        <v>9</v>
      </c>
      <c r="X4462">
        <f t="shared" si="2067"/>
        <v>2009</v>
      </c>
    </row>
    <row r="4463" spans="1:24" ht="12" customHeight="1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  <c r="V4463">
        <f t="shared" si="2068"/>
        <v>20</v>
      </c>
      <c r="W4463">
        <f t="shared" si="2066"/>
        <v>5</v>
      </c>
      <c r="X4463">
        <f t="shared" si="2067"/>
        <v>2012</v>
      </c>
    </row>
    <row r="4464" spans="1:24" ht="12" customHeight="1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  <c r="V4464">
        <f t="shared" si="2068"/>
        <v>16</v>
      </c>
      <c r="W4464">
        <f t="shared" si="2066"/>
        <v>9</v>
      </c>
      <c r="X4464">
        <f t="shared" si="2067"/>
        <v>2009</v>
      </c>
    </row>
    <row r="4465" spans="1:24" ht="12" customHeight="1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  <c r="V4465">
        <f t="shared" si="2068"/>
        <v>17</v>
      </c>
      <c r="W4465">
        <f t="shared" si="2066"/>
        <v>6</v>
      </c>
      <c r="X4465">
        <f t="shared" si="2067"/>
        <v>2010</v>
      </c>
    </row>
    <row r="4466" spans="1:24" ht="12" customHeight="1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  <c r="V4466">
        <f t="shared" si="2068"/>
        <v>28</v>
      </c>
      <c r="W4466">
        <f t="shared" si="2066"/>
        <v>2</v>
      </c>
      <c r="X4466">
        <f t="shared" si="2067"/>
        <v>2010</v>
      </c>
    </row>
    <row r="4467" spans="1:24" ht="12" customHeight="1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  <c r="V4467">
        <f t="shared" si="2068"/>
        <v>7</v>
      </c>
      <c r="W4467">
        <f t="shared" si="2066"/>
        <v>4</v>
      </c>
      <c r="X4467">
        <f t="shared" si="2067"/>
        <v>2010</v>
      </c>
    </row>
    <row r="4468" spans="1:24" ht="12" customHeight="1">
      <c r="A4468" s="4">
        <v>7848</v>
      </c>
      <c r="B4468" s="4">
        <v>56128</v>
      </c>
      <c r="C4468" s="5">
        <f t="shared" ref="C4468:C4469" si="208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  <c r="V4468">
        <f t="shared" si="2068"/>
        <v>30</v>
      </c>
      <c r="W4468">
        <f t="shared" si="2066"/>
        <v>7</v>
      </c>
      <c r="X4468">
        <f t="shared" si="2067"/>
        <v>2010</v>
      </c>
    </row>
    <row r="4469" spans="1:24" ht="12" customHeight="1">
      <c r="A4469" s="4">
        <v>7849</v>
      </c>
      <c r="B4469" s="4">
        <v>56128</v>
      </c>
      <c r="C4469" s="5">
        <f t="shared" si="208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2089">C4469+1</f>
        <v>40390</v>
      </c>
      <c r="V4469">
        <f t="shared" si="2068"/>
        <v>31</v>
      </c>
      <c r="W4469">
        <f t="shared" si="2066"/>
        <v>7</v>
      </c>
      <c r="X4469">
        <f t="shared" si="2067"/>
        <v>2010</v>
      </c>
    </row>
    <row r="4470" spans="1:24" ht="12" customHeight="1">
      <c r="A4470" s="4">
        <v>7882</v>
      </c>
      <c r="B4470" s="4">
        <v>56384</v>
      </c>
      <c r="C4470" s="5">
        <f t="shared" ref="C4470:C4471" si="209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2089"/>
        <v>41122</v>
      </c>
      <c r="V4470">
        <f t="shared" si="2068"/>
        <v>1</v>
      </c>
      <c r="W4470">
        <f t="shared" si="2066"/>
        <v>8</v>
      </c>
      <c r="X4470">
        <f t="shared" si="2067"/>
        <v>2012</v>
      </c>
    </row>
    <row r="4471" spans="1:24" ht="12" customHeight="1">
      <c r="A4471" s="4">
        <v>7883</v>
      </c>
      <c r="B4471" s="4">
        <v>56384</v>
      </c>
      <c r="C4471" s="5">
        <f t="shared" si="209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  <c r="V4471">
        <f t="shared" si="2068"/>
        <v>2</v>
      </c>
      <c r="W4471">
        <f t="shared" si="2066"/>
        <v>8</v>
      </c>
      <c r="X4471">
        <f t="shared" si="2067"/>
        <v>2012</v>
      </c>
    </row>
    <row r="4472" spans="1:24" ht="12" customHeight="1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  <c r="V4472">
        <f t="shared" si="2068"/>
        <v>20</v>
      </c>
      <c r="W4472">
        <f t="shared" si="2066"/>
        <v>5</v>
      </c>
      <c r="X4472">
        <f t="shared" si="2067"/>
        <v>2010</v>
      </c>
    </row>
    <row r="4473" spans="1:24" ht="12" customHeight="1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  <c r="V4473">
        <f t="shared" si="2068"/>
        <v>9</v>
      </c>
      <c r="W4473">
        <f t="shared" si="2066"/>
        <v>3</v>
      </c>
      <c r="X4473">
        <f t="shared" si="2067"/>
        <v>2012</v>
      </c>
    </row>
    <row r="4474" spans="1:24" ht="12" customHeight="1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  <c r="V4474">
        <f t="shared" si="2068"/>
        <v>16</v>
      </c>
      <c r="W4474">
        <f t="shared" si="2066"/>
        <v>3</v>
      </c>
      <c r="X4474">
        <f t="shared" si="2067"/>
        <v>2011</v>
      </c>
    </row>
    <row r="4475" spans="1:24" ht="12" customHeight="1">
      <c r="A4475" s="4">
        <v>8089</v>
      </c>
      <c r="B4475" s="4">
        <v>57699</v>
      </c>
      <c r="C4475" s="5">
        <f t="shared" ref="C4475:C4477" si="209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  <c r="V4475">
        <f t="shared" si="2068"/>
        <v>15</v>
      </c>
      <c r="W4475">
        <f t="shared" si="2066"/>
        <v>11</v>
      </c>
      <c r="X4475">
        <f t="shared" si="2067"/>
        <v>2012</v>
      </c>
    </row>
    <row r="4476" spans="1:24" ht="12" customHeight="1">
      <c r="A4476" s="4">
        <v>8090</v>
      </c>
      <c r="B4476" s="4">
        <v>57699</v>
      </c>
      <c r="C4476" s="5">
        <f t="shared" si="209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  <c r="V4476">
        <f t="shared" si="2068"/>
        <v>14</v>
      </c>
      <c r="W4476">
        <f t="shared" si="2066"/>
        <v>11</v>
      </c>
      <c r="X4476">
        <f t="shared" si="2067"/>
        <v>2012</v>
      </c>
    </row>
    <row r="4477" spans="1:24" ht="12" customHeight="1">
      <c r="A4477" s="4">
        <v>8091</v>
      </c>
      <c r="B4477" s="4">
        <v>57699</v>
      </c>
      <c r="C4477" s="5">
        <f t="shared" si="209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  <c r="V4477">
        <f t="shared" si="2068"/>
        <v>12</v>
      </c>
      <c r="W4477">
        <f t="shared" si="2066"/>
        <v>11</v>
      </c>
      <c r="X4477">
        <f t="shared" si="2067"/>
        <v>2012</v>
      </c>
    </row>
    <row r="4478" spans="1:24" ht="12" customHeight="1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  <c r="V4478">
        <f t="shared" si="2068"/>
        <v>6</v>
      </c>
      <c r="W4478">
        <f t="shared" si="2066"/>
        <v>11</v>
      </c>
      <c r="X4478">
        <f t="shared" si="2067"/>
        <v>2011</v>
      </c>
    </row>
    <row r="4479" spans="1:24" ht="12" customHeight="1">
      <c r="A4479" s="4">
        <v>8223</v>
      </c>
      <c r="B4479" s="4">
        <v>58784</v>
      </c>
      <c r="C4479" s="5">
        <f t="shared" ref="C4479:C4480" si="209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2093">C4479+2</f>
        <v>39833</v>
      </c>
      <c r="V4479">
        <f t="shared" si="2068"/>
        <v>20</v>
      </c>
      <c r="W4479">
        <f t="shared" si="2066"/>
        <v>1</v>
      </c>
      <c r="X4479">
        <f t="shared" si="2067"/>
        <v>2009</v>
      </c>
    </row>
    <row r="4480" spans="1:24" ht="12" customHeight="1">
      <c r="A4480" s="4">
        <v>8224</v>
      </c>
      <c r="B4480" s="4">
        <v>58784</v>
      </c>
      <c r="C4480" s="5">
        <f t="shared" si="209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2093"/>
        <v>39833</v>
      </c>
      <c r="V4480">
        <f t="shared" si="2068"/>
        <v>20</v>
      </c>
      <c r="W4480">
        <f t="shared" si="2066"/>
        <v>1</v>
      </c>
      <c r="X4480">
        <f t="shared" si="2067"/>
        <v>2009</v>
      </c>
    </row>
    <row r="4481" spans="1:24" ht="12" customHeight="1">
      <c r="A4481" s="4">
        <v>8318</v>
      </c>
      <c r="B4481" s="4">
        <v>59428</v>
      </c>
      <c r="C4481" s="5">
        <f t="shared" ref="C4481:C4482" si="209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  <c r="V4481">
        <f t="shared" si="2068"/>
        <v>10</v>
      </c>
      <c r="W4481">
        <f t="shared" si="2066"/>
        <v>9</v>
      </c>
      <c r="X4481">
        <f t="shared" si="2067"/>
        <v>2010</v>
      </c>
    </row>
    <row r="4482" spans="1:24" ht="12" customHeight="1">
      <c r="A4482" s="4">
        <v>8319</v>
      </c>
      <c r="B4482" s="4">
        <v>59428</v>
      </c>
      <c r="C4482" s="5">
        <f t="shared" si="209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  <c r="V4482">
        <f t="shared" si="2068"/>
        <v>9</v>
      </c>
      <c r="W4482">
        <f t="shared" si="2066"/>
        <v>9</v>
      </c>
      <c r="X4482">
        <f t="shared" si="2067"/>
        <v>2010</v>
      </c>
    </row>
    <row r="4483" spans="1:24" ht="12" customHeight="1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  <c r="V4483">
        <f t="shared" si="2068"/>
        <v>6</v>
      </c>
      <c r="W4483">
        <f t="shared" ref="W4483:W4546" si="2095">MONTH(U4483)</f>
        <v>12</v>
      </c>
      <c r="X4483">
        <f t="shared" ref="X4483:X4546" si="2096">YEAR(U4483)</f>
        <v>2009</v>
      </c>
    </row>
    <row r="4484" spans="1:24" ht="12" customHeight="1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2097">C4484+2</f>
        <v>39832</v>
      </c>
      <c r="V4484">
        <f t="shared" ref="V4484:V4547" si="2098">DAY(U4484)</f>
        <v>19</v>
      </c>
      <c r="W4484">
        <f t="shared" si="2095"/>
        <v>1</v>
      </c>
      <c r="X4484">
        <f t="shared" si="2096"/>
        <v>2009</v>
      </c>
    </row>
    <row r="4485" spans="1:24" ht="12" customHeight="1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2097"/>
        <v>40059</v>
      </c>
      <c r="V4485">
        <f t="shared" si="2098"/>
        <v>3</v>
      </c>
      <c r="W4485">
        <f t="shared" si="2095"/>
        <v>9</v>
      </c>
      <c r="X4485">
        <f t="shared" si="2096"/>
        <v>2009</v>
      </c>
    </row>
    <row r="4486" spans="1:24" ht="12" customHeight="1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  <c r="V4486">
        <f t="shared" si="2098"/>
        <v>3</v>
      </c>
      <c r="W4486">
        <f t="shared" si="2095"/>
        <v>5</v>
      </c>
      <c r="X4486">
        <f t="shared" si="2096"/>
        <v>2011</v>
      </c>
    </row>
    <row r="4487" spans="1:24" ht="12" customHeight="1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  <c r="V4487">
        <f t="shared" si="2098"/>
        <v>5</v>
      </c>
      <c r="W4487">
        <f t="shared" si="2095"/>
        <v>3</v>
      </c>
      <c r="X4487">
        <f t="shared" si="2096"/>
        <v>2011</v>
      </c>
    </row>
    <row r="4488" spans="1:24" ht="12" customHeight="1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  <c r="V4488">
        <f t="shared" si="2098"/>
        <v>30</v>
      </c>
      <c r="W4488">
        <f t="shared" si="2095"/>
        <v>12</v>
      </c>
      <c r="X4488">
        <f t="shared" si="2096"/>
        <v>2009</v>
      </c>
    </row>
    <row r="4489" spans="1:24" ht="12" customHeight="1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  <c r="V4489">
        <f t="shared" si="2098"/>
        <v>7</v>
      </c>
      <c r="W4489">
        <f t="shared" si="2095"/>
        <v>5</v>
      </c>
      <c r="X4489">
        <f t="shared" si="2096"/>
        <v>2010</v>
      </c>
    </row>
    <row r="4490" spans="1:24" ht="12" customHeight="1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  <c r="V4490">
        <f t="shared" si="2098"/>
        <v>16</v>
      </c>
      <c r="W4490">
        <f t="shared" si="2095"/>
        <v>10</v>
      </c>
      <c r="X4490">
        <f t="shared" si="2096"/>
        <v>2010</v>
      </c>
    </row>
    <row r="4491" spans="1:24" ht="12" customHeight="1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  <c r="V4491">
        <f t="shared" si="2098"/>
        <v>15</v>
      </c>
      <c r="W4491">
        <f t="shared" si="2095"/>
        <v>5</v>
      </c>
      <c r="X4491">
        <f t="shared" si="2096"/>
        <v>2012</v>
      </c>
    </row>
    <row r="4492" spans="1:24" ht="12" customHeight="1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  <c r="V4492">
        <f t="shared" si="2098"/>
        <v>12</v>
      </c>
      <c r="W4492">
        <f t="shared" si="2095"/>
        <v>4</v>
      </c>
      <c r="X4492">
        <f t="shared" si="2096"/>
        <v>2012</v>
      </c>
    </row>
    <row r="4493" spans="1:24" ht="12" customHeight="1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2099">C4493+2</f>
        <v>40719</v>
      </c>
      <c r="V4493">
        <f t="shared" si="2098"/>
        <v>25</v>
      </c>
      <c r="W4493">
        <f t="shared" si="2095"/>
        <v>6</v>
      </c>
      <c r="X4493">
        <f t="shared" si="2096"/>
        <v>2011</v>
      </c>
    </row>
    <row r="4494" spans="1:24" ht="12" customHeight="1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2099"/>
        <v>40956</v>
      </c>
      <c r="V4494">
        <f t="shared" si="2098"/>
        <v>17</v>
      </c>
      <c r="W4494">
        <f t="shared" si="2095"/>
        <v>2</v>
      </c>
      <c r="X4494">
        <f t="shared" si="2096"/>
        <v>2012</v>
      </c>
    </row>
    <row r="4495" spans="1:24" ht="12" customHeight="1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  <c r="V4495">
        <f t="shared" si="2098"/>
        <v>1</v>
      </c>
      <c r="W4495">
        <f t="shared" si="2095"/>
        <v>11</v>
      </c>
      <c r="X4495">
        <f t="shared" si="2096"/>
        <v>2010</v>
      </c>
    </row>
    <row r="4496" spans="1:24" ht="12" customHeight="1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  <c r="V4496">
        <f t="shared" si="2098"/>
        <v>26</v>
      </c>
      <c r="W4496">
        <f t="shared" si="2095"/>
        <v>2</v>
      </c>
      <c r="X4496">
        <f t="shared" si="2096"/>
        <v>2011</v>
      </c>
    </row>
    <row r="4497" spans="1:24" ht="12" customHeight="1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2100">C4497+1</f>
        <v>40322</v>
      </c>
      <c r="V4497">
        <f t="shared" si="2098"/>
        <v>24</v>
      </c>
      <c r="W4497">
        <f t="shared" si="2095"/>
        <v>5</v>
      </c>
      <c r="X4497">
        <f t="shared" si="2096"/>
        <v>2010</v>
      </c>
    </row>
    <row r="4498" spans="1:24" ht="12" customHeight="1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2100"/>
        <v>40247</v>
      </c>
      <c r="V4498">
        <f t="shared" si="2098"/>
        <v>10</v>
      </c>
      <c r="W4498">
        <f t="shared" si="2095"/>
        <v>3</v>
      </c>
      <c r="X4498">
        <f t="shared" si="2096"/>
        <v>2010</v>
      </c>
    </row>
    <row r="4499" spans="1:24" ht="12" customHeight="1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2100"/>
        <v>40295</v>
      </c>
      <c r="V4499">
        <f t="shared" si="2098"/>
        <v>27</v>
      </c>
      <c r="W4499">
        <f t="shared" si="2095"/>
        <v>4</v>
      </c>
      <c r="X4499">
        <f t="shared" si="2096"/>
        <v>2010</v>
      </c>
    </row>
    <row r="4500" spans="1:24" ht="12" customHeight="1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  <c r="V4500">
        <f t="shared" si="2098"/>
        <v>30</v>
      </c>
      <c r="W4500">
        <f t="shared" si="2095"/>
        <v>4</v>
      </c>
      <c r="X4500">
        <f t="shared" si="2096"/>
        <v>2009</v>
      </c>
    </row>
    <row r="4501" spans="1:24" ht="12" customHeight="1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2101">C4501+1</f>
        <v>39971</v>
      </c>
      <c r="V4501">
        <f t="shared" si="2098"/>
        <v>7</v>
      </c>
      <c r="W4501">
        <f t="shared" si="2095"/>
        <v>6</v>
      </c>
      <c r="X4501">
        <f t="shared" si="2096"/>
        <v>2009</v>
      </c>
    </row>
    <row r="4502" spans="1:24" ht="12" customHeight="1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2101"/>
        <v>40380</v>
      </c>
      <c r="V4502">
        <f t="shared" si="2098"/>
        <v>21</v>
      </c>
      <c r="W4502">
        <f t="shared" si="2095"/>
        <v>7</v>
      </c>
      <c r="X4502">
        <f t="shared" si="2096"/>
        <v>2010</v>
      </c>
    </row>
    <row r="4503" spans="1:24" ht="12" customHeight="1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  <c r="V4503">
        <f t="shared" si="2098"/>
        <v>8</v>
      </c>
      <c r="W4503">
        <f t="shared" si="2095"/>
        <v>12</v>
      </c>
      <c r="X4503">
        <f t="shared" si="2096"/>
        <v>2009</v>
      </c>
    </row>
    <row r="4504" spans="1:24" ht="12" customHeight="1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  <c r="V4504">
        <f t="shared" si="2098"/>
        <v>25</v>
      </c>
      <c r="W4504">
        <f t="shared" si="2095"/>
        <v>10</v>
      </c>
      <c r="X4504">
        <f t="shared" si="2096"/>
        <v>2010</v>
      </c>
    </row>
    <row r="4505" spans="1:24" ht="12" customHeight="1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2102">C4505+1</f>
        <v>39966</v>
      </c>
      <c r="V4505">
        <f t="shared" si="2098"/>
        <v>2</v>
      </c>
      <c r="W4505">
        <f t="shared" si="2095"/>
        <v>6</v>
      </c>
      <c r="X4505">
        <f t="shared" si="2096"/>
        <v>2009</v>
      </c>
    </row>
    <row r="4506" spans="1:24" ht="12" customHeight="1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2102"/>
        <v>40071</v>
      </c>
      <c r="V4506">
        <f t="shared" si="2098"/>
        <v>15</v>
      </c>
      <c r="W4506">
        <f t="shared" si="2095"/>
        <v>9</v>
      </c>
      <c r="X4506">
        <f t="shared" si="2096"/>
        <v>2009</v>
      </c>
    </row>
    <row r="4507" spans="1:24" ht="12" customHeight="1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  <c r="V4507">
        <f t="shared" si="2098"/>
        <v>17</v>
      </c>
      <c r="W4507">
        <f t="shared" si="2095"/>
        <v>7</v>
      </c>
      <c r="X4507">
        <f t="shared" si="2096"/>
        <v>2011</v>
      </c>
    </row>
    <row r="4508" spans="1:24" ht="12" customHeight="1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  <c r="V4508">
        <f t="shared" si="2098"/>
        <v>14</v>
      </c>
      <c r="W4508">
        <f t="shared" si="2095"/>
        <v>2</v>
      </c>
      <c r="X4508">
        <f t="shared" si="2096"/>
        <v>2011</v>
      </c>
    </row>
    <row r="4509" spans="1:24" ht="12" customHeight="1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2103">C4509+2</f>
        <v>41044</v>
      </c>
      <c r="V4509">
        <f t="shared" si="2098"/>
        <v>15</v>
      </c>
      <c r="W4509">
        <f t="shared" si="2095"/>
        <v>5</v>
      </c>
      <c r="X4509">
        <f t="shared" si="2096"/>
        <v>2012</v>
      </c>
    </row>
    <row r="4510" spans="1:24" ht="12" customHeight="1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2103"/>
        <v>40899</v>
      </c>
      <c r="V4510">
        <f t="shared" si="2098"/>
        <v>22</v>
      </c>
      <c r="W4510">
        <f t="shared" si="2095"/>
        <v>12</v>
      </c>
      <c r="X4510">
        <f t="shared" si="2096"/>
        <v>2011</v>
      </c>
    </row>
    <row r="4511" spans="1:24" ht="12" customHeight="1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2103"/>
        <v>40578</v>
      </c>
      <c r="V4511">
        <f t="shared" si="2098"/>
        <v>4</v>
      </c>
      <c r="W4511">
        <f t="shared" si="2095"/>
        <v>2</v>
      </c>
      <c r="X4511">
        <f t="shared" si="2096"/>
        <v>2011</v>
      </c>
    </row>
    <row r="4512" spans="1:24" ht="12" customHeight="1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2103"/>
        <v>39927</v>
      </c>
      <c r="V4512">
        <f t="shared" si="2098"/>
        <v>24</v>
      </c>
      <c r="W4512">
        <f t="shared" si="2095"/>
        <v>4</v>
      </c>
      <c r="X4512">
        <f t="shared" si="2096"/>
        <v>2009</v>
      </c>
    </row>
    <row r="4513" spans="1:24" ht="12" customHeight="1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2103"/>
        <v>40527</v>
      </c>
      <c r="V4513">
        <f t="shared" si="2098"/>
        <v>15</v>
      </c>
      <c r="W4513">
        <f t="shared" si="2095"/>
        <v>12</v>
      </c>
      <c r="X4513">
        <f t="shared" si="2096"/>
        <v>2010</v>
      </c>
    </row>
    <row r="4514" spans="1:24" ht="12" customHeight="1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  <c r="V4514">
        <f t="shared" si="2098"/>
        <v>6</v>
      </c>
      <c r="W4514">
        <f t="shared" si="2095"/>
        <v>9</v>
      </c>
      <c r="X4514">
        <f t="shared" si="2096"/>
        <v>2010</v>
      </c>
    </row>
    <row r="4515" spans="1:24" ht="12" customHeight="1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  <c r="V4515">
        <f t="shared" si="2098"/>
        <v>22</v>
      </c>
      <c r="W4515">
        <f t="shared" si="2095"/>
        <v>8</v>
      </c>
      <c r="X4515">
        <f t="shared" si="2096"/>
        <v>2012</v>
      </c>
    </row>
    <row r="4516" spans="1:24" ht="12" customHeight="1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2104">C4516+1</f>
        <v>39833</v>
      </c>
      <c r="V4516">
        <f t="shared" si="2098"/>
        <v>20</v>
      </c>
      <c r="W4516">
        <f t="shared" si="2095"/>
        <v>1</v>
      </c>
      <c r="X4516">
        <f t="shared" si="2096"/>
        <v>2009</v>
      </c>
    </row>
    <row r="4517" spans="1:24" ht="12" customHeight="1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2104"/>
        <v>40566</v>
      </c>
      <c r="V4517">
        <f t="shared" si="2098"/>
        <v>23</v>
      </c>
      <c r="W4517">
        <f t="shared" si="2095"/>
        <v>1</v>
      </c>
      <c r="X4517">
        <f t="shared" si="2096"/>
        <v>2011</v>
      </c>
    </row>
    <row r="4518" spans="1:24" ht="12" customHeight="1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2105">C4518+2</f>
        <v>40409</v>
      </c>
      <c r="V4518">
        <f t="shared" si="2098"/>
        <v>19</v>
      </c>
      <c r="W4518">
        <f t="shared" si="2095"/>
        <v>8</v>
      </c>
      <c r="X4518">
        <f t="shared" si="2096"/>
        <v>2010</v>
      </c>
    </row>
    <row r="4519" spans="1:24" ht="12" customHeight="1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2105"/>
        <v>40719</v>
      </c>
      <c r="V4519">
        <f t="shared" si="2098"/>
        <v>25</v>
      </c>
      <c r="W4519">
        <f t="shared" si="2095"/>
        <v>6</v>
      </c>
      <c r="X4519">
        <f t="shared" si="2096"/>
        <v>2011</v>
      </c>
    </row>
    <row r="4520" spans="1:24" ht="12" customHeight="1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  <c r="V4520">
        <f t="shared" si="2098"/>
        <v>12</v>
      </c>
      <c r="W4520">
        <f t="shared" si="2095"/>
        <v>4</v>
      </c>
      <c r="X4520">
        <f t="shared" si="2096"/>
        <v>2011</v>
      </c>
    </row>
    <row r="4521" spans="1:24" ht="12" customHeight="1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  <c r="V4521">
        <f t="shared" si="2098"/>
        <v>28</v>
      </c>
      <c r="W4521">
        <f t="shared" si="2095"/>
        <v>8</v>
      </c>
      <c r="X4521">
        <f t="shared" si="2096"/>
        <v>2012</v>
      </c>
    </row>
    <row r="4522" spans="1:24" ht="12" customHeight="1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  <c r="V4522">
        <f t="shared" si="2098"/>
        <v>3</v>
      </c>
      <c r="W4522">
        <f t="shared" si="2095"/>
        <v>12</v>
      </c>
      <c r="X4522">
        <f t="shared" si="2096"/>
        <v>2010</v>
      </c>
    </row>
    <row r="4523" spans="1:24" ht="12" customHeight="1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  <c r="V4523">
        <f t="shared" si="2098"/>
        <v>26</v>
      </c>
      <c r="W4523">
        <f t="shared" si="2095"/>
        <v>5</v>
      </c>
      <c r="X4523">
        <f t="shared" si="2096"/>
        <v>2010</v>
      </c>
    </row>
    <row r="4524" spans="1:24" ht="12" customHeight="1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2106">C4524+2</f>
        <v>40686</v>
      </c>
      <c r="V4524">
        <f t="shared" si="2098"/>
        <v>23</v>
      </c>
      <c r="W4524">
        <f t="shared" si="2095"/>
        <v>5</v>
      </c>
      <c r="X4524">
        <f t="shared" si="2096"/>
        <v>2011</v>
      </c>
    </row>
    <row r="4525" spans="1:24" ht="12" customHeight="1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2106"/>
        <v>41144</v>
      </c>
      <c r="V4525">
        <f t="shared" si="2098"/>
        <v>23</v>
      </c>
      <c r="W4525">
        <f t="shared" si="2095"/>
        <v>8</v>
      </c>
      <c r="X4525">
        <f t="shared" si="2096"/>
        <v>2012</v>
      </c>
    </row>
    <row r="4526" spans="1:24" ht="12" customHeight="1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2107">C4526+0</f>
        <v>40746</v>
      </c>
      <c r="V4526">
        <f t="shared" si="2098"/>
        <v>22</v>
      </c>
      <c r="W4526">
        <f t="shared" si="2095"/>
        <v>7</v>
      </c>
      <c r="X4526">
        <f t="shared" si="2096"/>
        <v>2011</v>
      </c>
    </row>
    <row r="4527" spans="1:24" ht="12" customHeight="1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2107"/>
        <v>41154</v>
      </c>
      <c r="V4527">
        <f t="shared" si="2098"/>
        <v>2</v>
      </c>
      <c r="W4527">
        <f t="shared" si="2095"/>
        <v>9</v>
      </c>
      <c r="X4527">
        <f t="shared" si="2096"/>
        <v>2012</v>
      </c>
    </row>
    <row r="4528" spans="1:24" ht="12" customHeight="1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2107"/>
        <v>39978</v>
      </c>
      <c r="V4528">
        <f t="shared" si="2098"/>
        <v>14</v>
      </c>
      <c r="W4528">
        <f t="shared" si="2095"/>
        <v>6</v>
      </c>
      <c r="X4528">
        <f t="shared" si="2096"/>
        <v>2009</v>
      </c>
    </row>
    <row r="4529" spans="1:24" ht="12" customHeight="1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  <c r="V4529">
        <f t="shared" si="2098"/>
        <v>11</v>
      </c>
      <c r="W4529">
        <f t="shared" si="2095"/>
        <v>1</v>
      </c>
      <c r="X4529">
        <f t="shared" si="2096"/>
        <v>2009</v>
      </c>
    </row>
    <row r="4530" spans="1:24" ht="12" customHeight="1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2108">C4530+2</f>
        <v>40909</v>
      </c>
      <c r="V4530">
        <f t="shared" si="2098"/>
        <v>1</v>
      </c>
      <c r="W4530">
        <f t="shared" si="2095"/>
        <v>1</v>
      </c>
      <c r="X4530">
        <f t="shared" si="2096"/>
        <v>2012</v>
      </c>
    </row>
    <row r="4531" spans="1:24" ht="12" customHeight="1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2108"/>
        <v>40951</v>
      </c>
      <c r="V4531">
        <f t="shared" si="2098"/>
        <v>12</v>
      </c>
      <c r="W4531">
        <f t="shared" si="2095"/>
        <v>2</v>
      </c>
      <c r="X4531">
        <f t="shared" si="2096"/>
        <v>2012</v>
      </c>
    </row>
    <row r="4532" spans="1:24" ht="12" customHeight="1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  <c r="V4532">
        <f t="shared" si="2098"/>
        <v>1</v>
      </c>
      <c r="W4532">
        <f t="shared" si="2095"/>
        <v>9</v>
      </c>
      <c r="X4532">
        <f t="shared" si="2096"/>
        <v>2012</v>
      </c>
    </row>
    <row r="4533" spans="1:24" ht="12" customHeight="1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  <c r="V4533">
        <f t="shared" si="2098"/>
        <v>2</v>
      </c>
      <c r="W4533">
        <f t="shared" si="2095"/>
        <v>9</v>
      </c>
      <c r="X4533">
        <f t="shared" si="2096"/>
        <v>2010</v>
      </c>
    </row>
    <row r="4534" spans="1:24" ht="12" customHeight="1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  <c r="V4534">
        <f t="shared" si="2098"/>
        <v>10</v>
      </c>
      <c r="W4534">
        <f t="shared" si="2095"/>
        <v>5</v>
      </c>
      <c r="X4534">
        <f t="shared" si="2096"/>
        <v>2010</v>
      </c>
    </row>
    <row r="4535" spans="1:24" ht="12" customHeight="1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2109">C4535+1</f>
        <v>40483</v>
      </c>
      <c r="V4535">
        <f t="shared" si="2098"/>
        <v>1</v>
      </c>
      <c r="W4535">
        <f t="shared" si="2095"/>
        <v>11</v>
      </c>
      <c r="X4535">
        <f t="shared" si="2096"/>
        <v>2010</v>
      </c>
    </row>
    <row r="4536" spans="1:24" ht="12" customHeight="1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2109"/>
        <v>40031</v>
      </c>
      <c r="V4536">
        <f t="shared" si="2098"/>
        <v>6</v>
      </c>
      <c r="W4536">
        <f t="shared" si="2095"/>
        <v>8</v>
      </c>
      <c r="X4536">
        <f t="shared" si="2096"/>
        <v>2009</v>
      </c>
    </row>
    <row r="4537" spans="1:24" ht="12" customHeight="1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2109"/>
        <v>40842</v>
      </c>
      <c r="V4537">
        <f t="shared" si="2098"/>
        <v>26</v>
      </c>
      <c r="W4537">
        <f t="shared" si="2095"/>
        <v>10</v>
      </c>
      <c r="X4537">
        <f t="shared" si="2096"/>
        <v>2011</v>
      </c>
    </row>
    <row r="4538" spans="1:24" ht="12" customHeight="1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  <c r="V4538">
        <f t="shared" si="2098"/>
        <v>4</v>
      </c>
      <c r="W4538">
        <f t="shared" si="2095"/>
        <v>11</v>
      </c>
      <c r="X4538">
        <f t="shared" si="2096"/>
        <v>2009</v>
      </c>
    </row>
    <row r="4539" spans="1:24" ht="12" customHeight="1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  <c r="V4539">
        <f t="shared" si="2098"/>
        <v>2</v>
      </c>
      <c r="W4539">
        <f t="shared" si="2095"/>
        <v>11</v>
      </c>
      <c r="X4539">
        <f t="shared" si="2096"/>
        <v>2010</v>
      </c>
    </row>
    <row r="4540" spans="1:24" ht="12" customHeight="1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2110">C4540+1</f>
        <v>40191</v>
      </c>
      <c r="V4540">
        <f t="shared" si="2098"/>
        <v>13</v>
      </c>
      <c r="W4540">
        <f t="shared" si="2095"/>
        <v>1</v>
      </c>
      <c r="X4540">
        <f t="shared" si="2096"/>
        <v>2010</v>
      </c>
    </row>
    <row r="4541" spans="1:24" ht="12" customHeight="1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2110"/>
        <v>41173</v>
      </c>
      <c r="V4541">
        <f t="shared" si="2098"/>
        <v>21</v>
      </c>
      <c r="W4541">
        <f t="shared" si="2095"/>
        <v>9</v>
      </c>
      <c r="X4541">
        <f t="shared" si="2096"/>
        <v>2012</v>
      </c>
    </row>
    <row r="4542" spans="1:24" ht="12" customHeight="1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  <c r="V4542">
        <f t="shared" si="2098"/>
        <v>29</v>
      </c>
      <c r="W4542">
        <f t="shared" si="2095"/>
        <v>8</v>
      </c>
      <c r="X4542">
        <f t="shared" si="2096"/>
        <v>2012</v>
      </c>
    </row>
    <row r="4543" spans="1:24" ht="12" customHeight="1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  <c r="V4543">
        <f t="shared" si="2098"/>
        <v>27</v>
      </c>
      <c r="W4543">
        <f t="shared" si="2095"/>
        <v>9</v>
      </c>
      <c r="X4543">
        <f t="shared" si="2096"/>
        <v>2010</v>
      </c>
    </row>
    <row r="4544" spans="1:24" ht="12" customHeight="1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  <c r="V4544">
        <f t="shared" si="2098"/>
        <v>2</v>
      </c>
      <c r="W4544">
        <f t="shared" si="2095"/>
        <v>5</v>
      </c>
      <c r="X4544">
        <f t="shared" si="2096"/>
        <v>2012</v>
      </c>
    </row>
    <row r="4545" spans="1:24" ht="12" customHeight="1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  <c r="V4545">
        <f t="shared" si="2098"/>
        <v>30</v>
      </c>
      <c r="W4545">
        <f t="shared" si="2095"/>
        <v>10</v>
      </c>
      <c r="X4545">
        <f t="shared" si="2096"/>
        <v>2012</v>
      </c>
    </row>
    <row r="4546" spans="1:24" ht="12" customHeight="1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  <c r="V4546">
        <f t="shared" si="2098"/>
        <v>2</v>
      </c>
      <c r="W4546">
        <f t="shared" si="2095"/>
        <v>9</v>
      </c>
      <c r="X4546">
        <f t="shared" si="2096"/>
        <v>2012</v>
      </c>
    </row>
    <row r="4547" spans="1:24" ht="12" customHeight="1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2111">C4547+2</f>
        <v>41089</v>
      </c>
      <c r="V4547">
        <f t="shared" si="2098"/>
        <v>29</v>
      </c>
      <c r="W4547">
        <f t="shared" ref="W4547:W4610" si="2112">MONTH(U4547)</f>
        <v>6</v>
      </c>
      <c r="X4547">
        <f t="shared" ref="X4547:X4610" si="2113">YEAR(U4547)</f>
        <v>2012</v>
      </c>
    </row>
    <row r="4548" spans="1:24" ht="12" customHeight="1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2111"/>
        <v>39918</v>
      </c>
      <c r="V4548">
        <f t="shared" ref="V4548:V4611" si="2114">DAY(U4548)</f>
        <v>15</v>
      </c>
      <c r="W4548">
        <f t="shared" si="2112"/>
        <v>4</v>
      </c>
      <c r="X4548">
        <f t="shared" si="2113"/>
        <v>2009</v>
      </c>
    </row>
    <row r="4549" spans="1:24" ht="12" customHeight="1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  <c r="V4549">
        <f t="shared" si="2114"/>
        <v>30</v>
      </c>
      <c r="W4549">
        <f t="shared" si="2112"/>
        <v>8</v>
      </c>
      <c r="X4549">
        <f t="shared" si="2113"/>
        <v>2011</v>
      </c>
    </row>
    <row r="4550" spans="1:24" ht="12" customHeight="1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  <c r="V4550">
        <f t="shared" si="2114"/>
        <v>5</v>
      </c>
      <c r="W4550">
        <f t="shared" si="2112"/>
        <v>10</v>
      </c>
      <c r="X4550">
        <f t="shared" si="2113"/>
        <v>2012</v>
      </c>
    </row>
    <row r="4551" spans="1:24" ht="12" customHeight="1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2115">C4551+1</f>
        <v>40773</v>
      </c>
      <c r="V4551">
        <f t="shared" si="2114"/>
        <v>18</v>
      </c>
      <c r="W4551">
        <f t="shared" si="2112"/>
        <v>8</v>
      </c>
      <c r="X4551">
        <f t="shared" si="2113"/>
        <v>2011</v>
      </c>
    </row>
    <row r="4552" spans="1:24" ht="12" customHeight="1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2115"/>
        <v>39967</v>
      </c>
      <c r="V4552">
        <f t="shared" si="2114"/>
        <v>3</v>
      </c>
      <c r="W4552">
        <f t="shared" si="2112"/>
        <v>6</v>
      </c>
      <c r="X4552">
        <f t="shared" si="2113"/>
        <v>2009</v>
      </c>
    </row>
    <row r="4553" spans="1:24" ht="12" customHeight="1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  <c r="V4553">
        <f t="shared" si="2114"/>
        <v>1</v>
      </c>
      <c r="W4553">
        <f t="shared" si="2112"/>
        <v>10</v>
      </c>
      <c r="X4553">
        <f t="shared" si="2113"/>
        <v>2009</v>
      </c>
    </row>
    <row r="4554" spans="1:24" ht="12" customHeight="1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  <c r="V4554">
        <f t="shared" si="2114"/>
        <v>12</v>
      </c>
      <c r="W4554">
        <f t="shared" si="2112"/>
        <v>12</v>
      </c>
      <c r="X4554">
        <f t="shared" si="2113"/>
        <v>2012</v>
      </c>
    </row>
    <row r="4555" spans="1:24" ht="12" customHeight="1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  <c r="V4555">
        <f t="shared" si="2114"/>
        <v>13</v>
      </c>
      <c r="W4555">
        <f t="shared" si="2112"/>
        <v>11</v>
      </c>
      <c r="X4555">
        <f t="shared" si="2113"/>
        <v>2011</v>
      </c>
    </row>
    <row r="4556" spans="1:24" ht="12" customHeight="1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  <c r="V4556">
        <f t="shared" si="2114"/>
        <v>25</v>
      </c>
      <c r="W4556">
        <f t="shared" si="2112"/>
        <v>6</v>
      </c>
      <c r="X4556">
        <f t="shared" si="2113"/>
        <v>2009</v>
      </c>
    </row>
    <row r="4557" spans="1:24" ht="12" customHeight="1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  <c r="V4557">
        <f t="shared" si="2114"/>
        <v>1</v>
      </c>
      <c r="W4557">
        <f t="shared" si="2112"/>
        <v>5</v>
      </c>
      <c r="X4557">
        <f t="shared" si="2113"/>
        <v>2009</v>
      </c>
    </row>
    <row r="4558" spans="1:24" ht="12" customHeight="1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  <c r="V4558">
        <f t="shared" si="2114"/>
        <v>31</v>
      </c>
      <c r="W4558">
        <f t="shared" si="2112"/>
        <v>8</v>
      </c>
      <c r="X4558">
        <f t="shared" si="2113"/>
        <v>2011</v>
      </c>
    </row>
    <row r="4559" spans="1:24" ht="12" customHeight="1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  <c r="V4559">
        <f t="shared" si="2114"/>
        <v>9</v>
      </c>
      <c r="W4559">
        <f t="shared" si="2112"/>
        <v>6</v>
      </c>
      <c r="X4559">
        <f t="shared" si="2113"/>
        <v>2012</v>
      </c>
    </row>
    <row r="4560" spans="1:24" ht="12" customHeight="1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2116">C4560+2</f>
        <v>39848</v>
      </c>
      <c r="V4560">
        <f t="shared" si="2114"/>
        <v>4</v>
      </c>
      <c r="W4560">
        <f t="shared" si="2112"/>
        <v>2</v>
      </c>
      <c r="X4560">
        <f t="shared" si="2113"/>
        <v>2009</v>
      </c>
    </row>
    <row r="4561" spans="1:24" ht="12" customHeight="1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2116"/>
        <v>41182</v>
      </c>
      <c r="V4561">
        <f t="shared" si="2114"/>
        <v>30</v>
      </c>
      <c r="W4561">
        <f t="shared" si="2112"/>
        <v>9</v>
      </c>
      <c r="X4561">
        <f t="shared" si="2113"/>
        <v>2012</v>
      </c>
    </row>
    <row r="4562" spans="1:24" ht="12" customHeight="1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  <c r="V4562">
        <f t="shared" si="2114"/>
        <v>6</v>
      </c>
      <c r="W4562">
        <f t="shared" si="2112"/>
        <v>4</v>
      </c>
      <c r="X4562">
        <f t="shared" si="2113"/>
        <v>2011</v>
      </c>
    </row>
    <row r="4563" spans="1:24" ht="12" customHeight="1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  <c r="V4563">
        <f t="shared" si="2114"/>
        <v>14</v>
      </c>
      <c r="W4563">
        <f t="shared" si="2112"/>
        <v>1</v>
      </c>
      <c r="X4563">
        <f t="shared" si="2113"/>
        <v>2010</v>
      </c>
    </row>
    <row r="4564" spans="1:24" ht="12" customHeight="1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  <c r="V4564">
        <f t="shared" si="2114"/>
        <v>12</v>
      </c>
      <c r="W4564">
        <f t="shared" si="2112"/>
        <v>4</v>
      </c>
      <c r="X4564">
        <f t="shared" si="2113"/>
        <v>2010</v>
      </c>
    </row>
    <row r="4565" spans="1:24" ht="12" customHeight="1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2117">C4565+1</f>
        <v>39890</v>
      </c>
      <c r="V4565">
        <f t="shared" si="2114"/>
        <v>18</v>
      </c>
      <c r="W4565">
        <f t="shared" si="2112"/>
        <v>3</v>
      </c>
      <c r="X4565">
        <f t="shared" si="2113"/>
        <v>2009</v>
      </c>
    </row>
    <row r="4566" spans="1:24" ht="12" customHeight="1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2117"/>
        <v>40861</v>
      </c>
      <c r="V4566">
        <f t="shared" si="2114"/>
        <v>14</v>
      </c>
      <c r="W4566">
        <f t="shared" si="2112"/>
        <v>11</v>
      </c>
      <c r="X4566">
        <f t="shared" si="2113"/>
        <v>2011</v>
      </c>
    </row>
    <row r="4567" spans="1:24" ht="12" customHeight="1">
      <c r="A4567" s="4">
        <v>2275</v>
      </c>
      <c r="B4567" s="4">
        <v>16359</v>
      </c>
      <c r="C4567" s="5">
        <f t="shared" ref="C4567:C4568" si="2118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2117"/>
        <v>41044</v>
      </c>
      <c r="V4567">
        <f t="shared" si="2114"/>
        <v>15</v>
      </c>
      <c r="W4567">
        <f t="shared" si="2112"/>
        <v>5</v>
      </c>
      <c r="X4567">
        <f t="shared" si="2113"/>
        <v>2012</v>
      </c>
    </row>
    <row r="4568" spans="1:24" ht="12" customHeight="1">
      <c r="A4568" s="4">
        <v>2276</v>
      </c>
      <c r="B4568" s="4">
        <v>16359</v>
      </c>
      <c r="C4568" s="5">
        <f t="shared" si="2118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  <c r="V4568">
        <f t="shared" si="2114"/>
        <v>14</v>
      </c>
      <c r="W4568">
        <f t="shared" si="2112"/>
        <v>5</v>
      </c>
      <c r="X4568">
        <f t="shared" si="2113"/>
        <v>2012</v>
      </c>
    </row>
    <row r="4569" spans="1:24" ht="12" customHeight="1">
      <c r="A4569" s="4">
        <v>3059</v>
      </c>
      <c r="B4569" s="4">
        <v>21922</v>
      </c>
      <c r="C4569" s="5">
        <f t="shared" ref="C4569:C4571" si="2119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2120">C4569+1</f>
        <v>40129</v>
      </c>
      <c r="V4569">
        <f t="shared" si="2114"/>
        <v>12</v>
      </c>
      <c r="W4569">
        <f t="shared" si="2112"/>
        <v>11</v>
      </c>
      <c r="X4569">
        <f t="shared" si="2113"/>
        <v>2009</v>
      </c>
    </row>
    <row r="4570" spans="1:24" ht="12" customHeight="1">
      <c r="A4570" s="4">
        <v>3060</v>
      </c>
      <c r="B4570" s="4">
        <v>21922</v>
      </c>
      <c r="C4570" s="5">
        <f t="shared" si="2119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2120"/>
        <v>40129</v>
      </c>
      <c r="V4570">
        <f t="shared" si="2114"/>
        <v>12</v>
      </c>
      <c r="W4570">
        <f t="shared" si="2112"/>
        <v>11</v>
      </c>
      <c r="X4570">
        <f t="shared" si="2113"/>
        <v>2009</v>
      </c>
    </row>
    <row r="4571" spans="1:24" ht="12" customHeight="1">
      <c r="A4571" s="4">
        <v>3061</v>
      </c>
      <c r="B4571" s="4">
        <v>21922</v>
      </c>
      <c r="C4571" s="5">
        <f t="shared" si="2119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2121">C4571+2</f>
        <v>40130</v>
      </c>
      <c r="V4571">
        <f t="shared" si="2114"/>
        <v>13</v>
      </c>
      <c r="W4571">
        <f t="shared" si="2112"/>
        <v>11</v>
      </c>
      <c r="X4571">
        <f t="shared" si="2113"/>
        <v>2009</v>
      </c>
    </row>
    <row r="4572" spans="1:24" ht="12" customHeight="1">
      <c r="A4572" s="4">
        <v>3296</v>
      </c>
      <c r="B4572" s="4">
        <v>23558</v>
      </c>
      <c r="C4572" s="5">
        <f t="shared" ref="C4572:C4573" si="2122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2121"/>
        <v>40766</v>
      </c>
      <c r="V4572">
        <f t="shared" si="2114"/>
        <v>11</v>
      </c>
      <c r="W4572">
        <f t="shared" si="2112"/>
        <v>8</v>
      </c>
      <c r="X4572">
        <f t="shared" si="2113"/>
        <v>2011</v>
      </c>
    </row>
    <row r="4573" spans="1:24" ht="12" customHeight="1">
      <c r="A4573" s="4">
        <v>3297</v>
      </c>
      <c r="B4573" s="4">
        <v>23558</v>
      </c>
      <c r="C4573" s="5">
        <f t="shared" si="2122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  <c r="V4573">
        <f t="shared" si="2114"/>
        <v>14</v>
      </c>
      <c r="W4573">
        <f t="shared" si="2112"/>
        <v>8</v>
      </c>
      <c r="X4573">
        <f t="shared" si="2113"/>
        <v>2011</v>
      </c>
    </row>
    <row r="4574" spans="1:24" ht="12" customHeight="1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  <c r="V4574">
        <f t="shared" si="2114"/>
        <v>23</v>
      </c>
      <c r="W4574">
        <f t="shared" si="2112"/>
        <v>5</v>
      </c>
      <c r="X4574">
        <f t="shared" si="2113"/>
        <v>2010</v>
      </c>
    </row>
    <row r="4575" spans="1:24" ht="12" customHeight="1">
      <c r="A4575" s="4">
        <v>3850</v>
      </c>
      <c r="B4575" s="4">
        <v>27461</v>
      </c>
      <c r="C4575" s="5">
        <f t="shared" ref="C4575:C4576" si="2123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2124">C4575+0</f>
        <v>40235</v>
      </c>
      <c r="V4575">
        <f t="shared" si="2114"/>
        <v>26</v>
      </c>
      <c r="W4575">
        <f t="shared" si="2112"/>
        <v>2</v>
      </c>
      <c r="X4575">
        <f t="shared" si="2113"/>
        <v>2010</v>
      </c>
    </row>
    <row r="4576" spans="1:24" ht="12" customHeight="1">
      <c r="A4576" s="4">
        <v>3851</v>
      </c>
      <c r="B4576" s="4">
        <v>27461</v>
      </c>
      <c r="C4576" s="5">
        <f t="shared" si="2123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2124"/>
        <v>40235</v>
      </c>
      <c r="V4576">
        <f t="shared" si="2114"/>
        <v>26</v>
      </c>
      <c r="W4576">
        <f t="shared" si="2112"/>
        <v>2</v>
      </c>
      <c r="X4576">
        <f t="shared" si="2113"/>
        <v>2010</v>
      </c>
    </row>
    <row r="4577" spans="1:24" ht="12" customHeight="1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  <c r="V4577">
        <f t="shared" si="2114"/>
        <v>14</v>
      </c>
      <c r="W4577">
        <f t="shared" si="2112"/>
        <v>3</v>
      </c>
      <c r="X4577">
        <f t="shared" si="2113"/>
        <v>2010</v>
      </c>
    </row>
    <row r="4578" spans="1:24" ht="12" customHeight="1">
      <c r="A4578" s="4">
        <v>4295</v>
      </c>
      <c r="B4578" s="4">
        <v>30593</v>
      </c>
      <c r="C4578" s="5">
        <f t="shared" ref="C4578:C4579" si="2125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  <c r="V4578">
        <f t="shared" si="2114"/>
        <v>27</v>
      </c>
      <c r="W4578">
        <f t="shared" si="2112"/>
        <v>7</v>
      </c>
      <c r="X4578">
        <f t="shared" si="2113"/>
        <v>2011</v>
      </c>
    </row>
    <row r="4579" spans="1:24" ht="12" customHeight="1">
      <c r="A4579" s="4">
        <v>4296</v>
      </c>
      <c r="B4579" s="4">
        <v>30593</v>
      </c>
      <c r="C4579" s="5">
        <f t="shared" si="2125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  <c r="V4579">
        <f t="shared" si="2114"/>
        <v>28</v>
      </c>
      <c r="W4579">
        <f t="shared" si="2112"/>
        <v>7</v>
      </c>
      <c r="X4579">
        <f t="shared" si="2113"/>
        <v>2011</v>
      </c>
    </row>
    <row r="4580" spans="1:24" ht="12" customHeight="1">
      <c r="A4580" s="4">
        <v>4617</v>
      </c>
      <c r="B4580" s="4">
        <v>32871</v>
      </c>
      <c r="C4580" s="5">
        <f t="shared" ref="C4580:C4581" si="2126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2127">C4580+2</f>
        <v>41210</v>
      </c>
      <c r="V4580">
        <f t="shared" si="2114"/>
        <v>28</v>
      </c>
      <c r="W4580">
        <f t="shared" si="2112"/>
        <v>10</v>
      </c>
      <c r="X4580">
        <f t="shared" si="2113"/>
        <v>2012</v>
      </c>
    </row>
    <row r="4581" spans="1:24" ht="12" customHeight="1">
      <c r="A4581" s="4">
        <v>4618</v>
      </c>
      <c r="B4581" s="4">
        <v>32871</v>
      </c>
      <c r="C4581" s="5">
        <f t="shared" si="2126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2127"/>
        <v>41210</v>
      </c>
      <c r="V4581">
        <f t="shared" si="2114"/>
        <v>28</v>
      </c>
      <c r="W4581">
        <f t="shared" si="2112"/>
        <v>10</v>
      </c>
      <c r="X4581">
        <f t="shared" si="2113"/>
        <v>2012</v>
      </c>
    </row>
    <row r="4582" spans="1:24" ht="12" customHeight="1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  <c r="V4582">
        <f t="shared" si="2114"/>
        <v>14</v>
      </c>
      <c r="W4582">
        <f t="shared" si="2112"/>
        <v>8</v>
      </c>
      <c r="X4582">
        <f t="shared" si="2113"/>
        <v>2010</v>
      </c>
    </row>
    <row r="4583" spans="1:24" ht="12" customHeight="1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  <c r="V4583">
        <f t="shared" si="2114"/>
        <v>29</v>
      </c>
      <c r="W4583">
        <f t="shared" si="2112"/>
        <v>11</v>
      </c>
      <c r="X4583">
        <f t="shared" si="2113"/>
        <v>2009</v>
      </c>
    </row>
    <row r="4584" spans="1:24" ht="12" customHeight="1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  <c r="V4584">
        <f t="shared" si="2114"/>
        <v>15</v>
      </c>
      <c r="W4584">
        <f t="shared" si="2112"/>
        <v>12</v>
      </c>
      <c r="X4584">
        <f t="shared" si="2113"/>
        <v>2009</v>
      </c>
    </row>
    <row r="4585" spans="1:24" ht="12" customHeight="1">
      <c r="A4585" s="4">
        <v>5413</v>
      </c>
      <c r="B4585" s="4">
        <v>38498</v>
      </c>
      <c r="C4585" s="5">
        <f t="shared" ref="C4585:C4586" si="2128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  <c r="V4585">
        <f t="shared" si="2114"/>
        <v>29</v>
      </c>
      <c r="W4585">
        <f t="shared" si="2112"/>
        <v>4</v>
      </c>
      <c r="X4585">
        <f t="shared" si="2113"/>
        <v>2012</v>
      </c>
    </row>
    <row r="4586" spans="1:24" ht="12" customHeight="1">
      <c r="A4586" s="4">
        <v>5414</v>
      </c>
      <c r="B4586" s="4">
        <v>38498</v>
      </c>
      <c r="C4586" s="5">
        <f t="shared" si="2128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  <c r="V4586">
        <f t="shared" si="2114"/>
        <v>30</v>
      </c>
      <c r="W4586">
        <f t="shared" si="2112"/>
        <v>4</v>
      </c>
      <c r="X4586">
        <f t="shared" si="2113"/>
        <v>2012</v>
      </c>
    </row>
    <row r="4587" spans="1:24" ht="12" customHeight="1">
      <c r="A4587" s="4">
        <v>5575</v>
      </c>
      <c r="B4587" s="4">
        <v>39492</v>
      </c>
      <c r="C4587" s="5">
        <f t="shared" ref="C4587:C4588" si="2129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2130">C4587+2</f>
        <v>40652</v>
      </c>
      <c r="V4587">
        <f t="shared" si="2114"/>
        <v>19</v>
      </c>
      <c r="W4587">
        <f t="shared" si="2112"/>
        <v>4</v>
      </c>
      <c r="X4587">
        <f t="shared" si="2113"/>
        <v>2011</v>
      </c>
    </row>
    <row r="4588" spans="1:24" ht="12" customHeight="1">
      <c r="A4588" s="4">
        <v>5576</v>
      </c>
      <c r="B4588" s="4">
        <v>39492</v>
      </c>
      <c r="C4588" s="5">
        <f t="shared" si="2129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2130"/>
        <v>40652</v>
      </c>
      <c r="V4588">
        <f t="shared" si="2114"/>
        <v>19</v>
      </c>
      <c r="W4588">
        <f t="shared" si="2112"/>
        <v>4</v>
      </c>
      <c r="X4588">
        <f t="shared" si="2113"/>
        <v>2011</v>
      </c>
    </row>
    <row r="4589" spans="1:24" ht="12" customHeight="1">
      <c r="A4589" s="4">
        <v>5602</v>
      </c>
      <c r="B4589" s="4">
        <v>39686</v>
      </c>
      <c r="C4589" s="5">
        <f t="shared" ref="C4589:C4590" si="2131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2132">C4589+1</f>
        <v>41069</v>
      </c>
      <c r="V4589">
        <f t="shared" si="2114"/>
        <v>9</v>
      </c>
      <c r="W4589">
        <f t="shared" si="2112"/>
        <v>6</v>
      </c>
      <c r="X4589">
        <f t="shared" si="2113"/>
        <v>2012</v>
      </c>
    </row>
    <row r="4590" spans="1:24" ht="12" customHeight="1">
      <c r="A4590" s="4">
        <v>5603</v>
      </c>
      <c r="B4590" s="4">
        <v>39686</v>
      </c>
      <c r="C4590" s="5">
        <f t="shared" si="2131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2132"/>
        <v>41069</v>
      </c>
      <c r="V4590">
        <f t="shared" si="2114"/>
        <v>9</v>
      </c>
      <c r="W4590">
        <f t="shared" si="2112"/>
        <v>6</v>
      </c>
      <c r="X4590">
        <f t="shared" si="2113"/>
        <v>2012</v>
      </c>
    </row>
    <row r="4591" spans="1:24" ht="12" customHeight="1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  <c r="V4591">
        <f t="shared" si="2114"/>
        <v>6</v>
      </c>
      <c r="W4591">
        <f t="shared" si="2112"/>
        <v>4</v>
      </c>
      <c r="X4591">
        <f t="shared" si="2113"/>
        <v>2009</v>
      </c>
    </row>
    <row r="4592" spans="1:24" ht="12" customHeight="1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2133">C4592+1</f>
        <v>40716</v>
      </c>
      <c r="V4592">
        <f t="shared" si="2114"/>
        <v>22</v>
      </c>
      <c r="W4592">
        <f t="shared" si="2112"/>
        <v>6</v>
      </c>
      <c r="X4592">
        <f t="shared" si="2113"/>
        <v>2011</v>
      </c>
    </row>
    <row r="4593" spans="1:24" ht="12" customHeight="1">
      <c r="A4593" s="4">
        <v>6468</v>
      </c>
      <c r="B4593" s="4">
        <v>46050</v>
      </c>
      <c r="C4593" s="5">
        <f t="shared" ref="C4593:C4594" si="2134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2133"/>
        <v>40183</v>
      </c>
      <c r="V4593">
        <f t="shared" si="2114"/>
        <v>5</v>
      </c>
      <c r="W4593">
        <f t="shared" si="2112"/>
        <v>1</v>
      </c>
      <c r="X4593">
        <f t="shared" si="2113"/>
        <v>2010</v>
      </c>
    </row>
    <row r="4594" spans="1:24" ht="12" customHeight="1">
      <c r="A4594" s="4">
        <v>6469</v>
      </c>
      <c r="B4594" s="4">
        <v>46050</v>
      </c>
      <c r="C4594" s="5">
        <f t="shared" si="2134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  <c r="V4594">
        <f t="shared" si="2114"/>
        <v>7</v>
      </c>
      <c r="W4594">
        <f t="shared" si="2112"/>
        <v>1</v>
      </c>
      <c r="X4594">
        <f t="shared" si="2113"/>
        <v>2010</v>
      </c>
    </row>
    <row r="4595" spans="1:24" ht="12" customHeight="1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  <c r="V4595">
        <f t="shared" si="2114"/>
        <v>14</v>
      </c>
      <c r="W4595">
        <f t="shared" si="2112"/>
        <v>9</v>
      </c>
      <c r="X4595">
        <f t="shared" si="2113"/>
        <v>2012</v>
      </c>
    </row>
    <row r="4596" spans="1:24" ht="12" customHeight="1">
      <c r="A4596" s="4">
        <v>6911</v>
      </c>
      <c r="B4596" s="4">
        <v>49313</v>
      </c>
      <c r="C4596" s="5">
        <f t="shared" ref="C4596:C4597" si="2135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  <c r="V4596">
        <f t="shared" si="2114"/>
        <v>4</v>
      </c>
      <c r="W4596">
        <f t="shared" si="2112"/>
        <v>10</v>
      </c>
      <c r="X4596">
        <f t="shared" si="2113"/>
        <v>2009</v>
      </c>
    </row>
    <row r="4597" spans="1:24" ht="12" customHeight="1">
      <c r="A4597" s="4">
        <v>6912</v>
      </c>
      <c r="B4597" s="4">
        <v>49313</v>
      </c>
      <c r="C4597" s="5">
        <f t="shared" si="2135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  <c r="V4597">
        <f t="shared" si="2114"/>
        <v>5</v>
      </c>
      <c r="W4597">
        <f t="shared" si="2112"/>
        <v>10</v>
      </c>
      <c r="X4597">
        <f t="shared" si="2113"/>
        <v>2009</v>
      </c>
    </row>
    <row r="4598" spans="1:24" ht="12" customHeight="1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  <c r="V4598">
        <f t="shared" si="2114"/>
        <v>29</v>
      </c>
      <c r="W4598">
        <f t="shared" si="2112"/>
        <v>11</v>
      </c>
      <c r="X4598">
        <f t="shared" si="2113"/>
        <v>2011</v>
      </c>
    </row>
    <row r="4599" spans="1:24" ht="12" customHeight="1">
      <c r="A4599" s="4">
        <v>6978</v>
      </c>
      <c r="B4599" s="4">
        <v>49889</v>
      </c>
      <c r="C4599" s="5">
        <f t="shared" ref="C4599:C4600" si="2136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2137">C4599+2</f>
        <v>41257</v>
      </c>
      <c r="V4599">
        <f t="shared" si="2114"/>
        <v>14</v>
      </c>
      <c r="W4599">
        <f t="shared" si="2112"/>
        <v>12</v>
      </c>
      <c r="X4599">
        <f t="shared" si="2113"/>
        <v>2012</v>
      </c>
    </row>
    <row r="4600" spans="1:24" ht="12" customHeight="1">
      <c r="A4600" s="4">
        <v>6979</v>
      </c>
      <c r="B4600" s="4">
        <v>49889</v>
      </c>
      <c r="C4600" s="5">
        <f t="shared" si="2136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2137"/>
        <v>41257</v>
      </c>
      <c r="V4600">
        <f t="shared" si="2114"/>
        <v>14</v>
      </c>
      <c r="W4600">
        <f t="shared" si="2112"/>
        <v>12</v>
      </c>
      <c r="X4600">
        <f t="shared" si="2113"/>
        <v>2012</v>
      </c>
    </row>
    <row r="4601" spans="1:24" ht="12" customHeight="1">
      <c r="A4601" s="4">
        <v>7356</v>
      </c>
      <c r="B4601" s="4">
        <v>52416</v>
      </c>
      <c r="C4601" s="5">
        <f t="shared" ref="C4601:C4602" si="2138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2137"/>
        <v>39846</v>
      </c>
      <c r="V4601">
        <f t="shared" si="2114"/>
        <v>2</v>
      </c>
      <c r="W4601">
        <f t="shared" si="2112"/>
        <v>2</v>
      </c>
      <c r="X4601">
        <f t="shared" si="2113"/>
        <v>2009</v>
      </c>
    </row>
    <row r="4602" spans="1:24" ht="12" customHeight="1">
      <c r="A4602" s="4">
        <v>7357</v>
      </c>
      <c r="B4602" s="4">
        <v>52416</v>
      </c>
      <c r="C4602" s="5">
        <f t="shared" si="2138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  <c r="V4602">
        <f t="shared" si="2114"/>
        <v>1</v>
      </c>
      <c r="W4602">
        <f t="shared" si="2112"/>
        <v>2</v>
      </c>
      <c r="X4602">
        <f t="shared" si="2113"/>
        <v>2009</v>
      </c>
    </row>
    <row r="4603" spans="1:24" ht="12" customHeight="1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  <c r="V4603">
        <f t="shared" si="2114"/>
        <v>6</v>
      </c>
      <c r="W4603">
        <f t="shared" si="2112"/>
        <v>7</v>
      </c>
      <c r="X4603">
        <f t="shared" si="2113"/>
        <v>2010</v>
      </c>
    </row>
    <row r="4604" spans="1:24" ht="12" customHeight="1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  <c r="V4604">
        <f t="shared" si="2114"/>
        <v>11</v>
      </c>
      <c r="W4604">
        <f t="shared" si="2112"/>
        <v>4</v>
      </c>
      <c r="X4604">
        <f t="shared" si="2113"/>
        <v>2011</v>
      </c>
    </row>
    <row r="4605" spans="1:24" ht="12" customHeight="1">
      <c r="A4605" s="4">
        <v>8042</v>
      </c>
      <c r="B4605" s="4">
        <v>57447</v>
      </c>
      <c r="C4605" s="5">
        <f t="shared" ref="C4605:C4606" si="2139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  <c r="V4605">
        <f t="shared" si="2114"/>
        <v>4</v>
      </c>
      <c r="W4605">
        <f t="shared" si="2112"/>
        <v>7</v>
      </c>
      <c r="X4605">
        <f t="shared" si="2113"/>
        <v>2011</v>
      </c>
    </row>
    <row r="4606" spans="1:24" ht="12" customHeight="1">
      <c r="A4606" s="4">
        <v>8043</v>
      </c>
      <c r="B4606" s="4">
        <v>57447</v>
      </c>
      <c r="C4606" s="5">
        <f t="shared" si="2139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  <c r="V4606">
        <f t="shared" si="2114"/>
        <v>7</v>
      </c>
      <c r="W4606">
        <f t="shared" si="2112"/>
        <v>7</v>
      </c>
      <c r="X4606">
        <f t="shared" si="2113"/>
        <v>2011</v>
      </c>
    </row>
    <row r="4607" spans="1:24" ht="12" customHeight="1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2140">C4607+4</f>
        <v>41148</v>
      </c>
      <c r="V4607">
        <f t="shared" si="2114"/>
        <v>27</v>
      </c>
      <c r="W4607">
        <f t="shared" si="2112"/>
        <v>8</v>
      </c>
      <c r="X4607">
        <f t="shared" si="2113"/>
        <v>2012</v>
      </c>
    </row>
    <row r="4608" spans="1:24" ht="12" customHeight="1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2140"/>
        <v>40253</v>
      </c>
      <c r="V4608">
        <f t="shared" si="2114"/>
        <v>16</v>
      </c>
      <c r="W4608">
        <f t="shared" si="2112"/>
        <v>3</v>
      </c>
      <c r="X4608">
        <f t="shared" si="2113"/>
        <v>2010</v>
      </c>
    </row>
    <row r="4609" spans="1:24" ht="12" customHeight="1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  <c r="V4609">
        <f t="shared" si="2114"/>
        <v>6</v>
      </c>
      <c r="W4609">
        <f t="shared" si="2112"/>
        <v>3</v>
      </c>
      <c r="X4609">
        <f t="shared" si="2113"/>
        <v>2009</v>
      </c>
    </row>
    <row r="4610" spans="1:24" ht="12" customHeight="1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  <c r="V4610">
        <f t="shared" si="2114"/>
        <v>25</v>
      </c>
      <c r="W4610">
        <f t="shared" si="2112"/>
        <v>8</v>
      </c>
      <c r="X4610">
        <f t="shared" si="2113"/>
        <v>2010</v>
      </c>
    </row>
    <row r="4611" spans="1:24" ht="12" customHeight="1">
      <c r="A4611" s="4">
        <v>525</v>
      </c>
      <c r="B4611" s="4">
        <v>3588</v>
      </c>
      <c r="C4611" s="5">
        <f t="shared" ref="C4611:C4614" si="2141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  <c r="V4611">
        <f t="shared" si="2114"/>
        <v>19</v>
      </c>
      <c r="W4611">
        <f t="shared" ref="W4611:W4674" si="2142">MONTH(U4611)</f>
        <v>3</v>
      </c>
      <c r="X4611">
        <f t="shared" ref="X4611:X4674" si="2143">YEAR(U4611)</f>
        <v>2011</v>
      </c>
    </row>
    <row r="4612" spans="1:24" ht="12" customHeight="1">
      <c r="A4612" s="4">
        <v>526</v>
      </c>
      <c r="B4612" s="4">
        <v>3588</v>
      </c>
      <c r="C4612" s="5">
        <f t="shared" si="2141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2144">C4612+2</f>
        <v>40622</v>
      </c>
      <c r="V4612">
        <f t="shared" ref="V4612:V4675" si="2145">DAY(U4612)</f>
        <v>20</v>
      </c>
      <c r="W4612">
        <f t="shared" si="2142"/>
        <v>3</v>
      </c>
      <c r="X4612">
        <f t="shared" si="2143"/>
        <v>2011</v>
      </c>
    </row>
    <row r="4613" spans="1:24" ht="12" customHeight="1">
      <c r="A4613" s="4">
        <v>527</v>
      </c>
      <c r="B4613" s="4">
        <v>3588</v>
      </c>
      <c r="C4613" s="5">
        <f t="shared" si="2141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2144"/>
        <v>40622</v>
      </c>
      <c r="V4613">
        <f t="shared" si="2145"/>
        <v>20</v>
      </c>
      <c r="W4613">
        <f t="shared" si="2142"/>
        <v>3</v>
      </c>
      <c r="X4613">
        <f t="shared" si="2143"/>
        <v>2011</v>
      </c>
    </row>
    <row r="4614" spans="1:24" ht="12" customHeight="1">
      <c r="A4614" s="4">
        <v>528</v>
      </c>
      <c r="B4614" s="4">
        <v>3588</v>
      </c>
      <c r="C4614" s="5">
        <f t="shared" si="2141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  <c r="V4614">
        <f t="shared" si="2145"/>
        <v>18</v>
      </c>
      <c r="W4614">
        <f t="shared" si="2142"/>
        <v>3</v>
      </c>
      <c r="X4614">
        <f t="shared" si="2143"/>
        <v>2011</v>
      </c>
    </row>
    <row r="4615" spans="1:24" ht="12" customHeight="1">
      <c r="A4615" s="4">
        <v>824</v>
      </c>
      <c r="B4615" s="4">
        <v>5957</v>
      </c>
      <c r="C4615" s="5">
        <f t="shared" ref="C4615:C4617" si="2146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  <c r="V4615">
        <f t="shared" si="2145"/>
        <v>27</v>
      </c>
      <c r="W4615">
        <f t="shared" si="2142"/>
        <v>12</v>
      </c>
      <c r="X4615">
        <f t="shared" si="2143"/>
        <v>2010</v>
      </c>
    </row>
    <row r="4616" spans="1:24" ht="12" customHeight="1">
      <c r="A4616" s="4">
        <v>825</v>
      </c>
      <c r="B4616" s="4">
        <v>5957</v>
      </c>
      <c r="C4616" s="5">
        <f t="shared" si="2146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  <c r="V4616">
        <f t="shared" si="2145"/>
        <v>28</v>
      </c>
      <c r="W4616">
        <f t="shared" si="2142"/>
        <v>12</v>
      </c>
      <c r="X4616">
        <f t="shared" si="2143"/>
        <v>2010</v>
      </c>
    </row>
    <row r="4617" spans="1:24" ht="12" customHeight="1">
      <c r="A4617" s="4">
        <v>826</v>
      </c>
      <c r="B4617" s="4">
        <v>5957</v>
      </c>
      <c r="C4617" s="5">
        <f t="shared" si="2146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  <c r="V4617">
        <f t="shared" si="2145"/>
        <v>29</v>
      </c>
      <c r="W4617">
        <f t="shared" si="2142"/>
        <v>12</v>
      </c>
      <c r="X4617">
        <f t="shared" si="2143"/>
        <v>2010</v>
      </c>
    </row>
    <row r="4618" spans="1:24" ht="12" customHeight="1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  <c r="V4618">
        <f t="shared" si="2145"/>
        <v>16</v>
      </c>
      <c r="W4618">
        <f t="shared" si="2142"/>
        <v>6</v>
      </c>
      <c r="X4618">
        <f t="shared" si="2143"/>
        <v>2012</v>
      </c>
    </row>
    <row r="4619" spans="1:24" ht="12" customHeight="1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  <c r="V4619">
        <f t="shared" si="2145"/>
        <v>28</v>
      </c>
      <c r="W4619">
        <f t="shared" si="2142"/>
        <v>4</v>
      </c>
      <c r="X4619">
        <f t="shared" si="2143"/>
        <v>2011</v>
      </c>
    </row>
    <row r="4620" spans="1:24" ht="12" customHeight="1">
      <c r="A4620" s="4">
        <v>927</v>
      </c>
      <c r="B4620" s="4">
        <v>6720</v>
      </c>
      <c r="C4620" s="5">
        <f t="shared" ref="C4620:C4622" si="2147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  <c r="V4620">
        <f t="shared" si="2145"/>
        <v>10</v>
      </c>
      <c r="W4620">
        <f t="shared" si="2142"/>
        <v>9</v>
      </c>
      <c r="X4620">
        <f t="shared" si="2143"/>
        <v>2010</v>
      </c>
    </row>
    <row r="4621" spans="1:24" ht="12" customHeight="1">
      <c r="A4621" s="4">
        <v>928</v>
      </c>
      <c r="B4621" s="4">
        <v>6720</v>
      </c>
      <c r="C4621" s="5">
        <f t="shared" si="2147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  <c r="V4621">
        <f t="shared" si="2145"/>
        <v>12</v>
      </c>
      <c r="W4621">
        <f t="shared" si="2142"/>
        <v>9</v>
      </c>
      <c r="X4621">
        <f t="shared" si="2143"/>
        <v>2010</v>
      </c>
    </row>
    <row r="4622" spans="1:24" ht="12" customHeight="1">
      <c r="A4622" s="4">
        <v>929</v>
      </c>
      <c r="B4622" s="4">
        <v>6720</v>
      </c>
      <c r="C4622" s="5">
        <f t="shared" si="2147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2148">C4622+2</f>
        <v>40432</v>
      </c>
      <c r="V4622">
        <f t="shared" si="2145"/>
        <v>11</v>
      </c>
      <c r="W4622">
        <f t="shared" si="2142"/>
        <v>9</v>
      </c>
      <c r="X4622">
        <f t="shared" si="2143"/>
        <v>2010</v>
      </c>
    </row>
    <row r="4623" spans="1:24" ht="12" customHeight="1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2148"/>
        <v>41037</v>
      </c>
      <c r="V4623">
        <f t="shared" si="2145"/>
        <v>8</v>
      </c>
      <c r="W4623">
        <f t="shared" si="2142"/>
        <v>5</v>
      </c>
      <c r="X4623">
        <f t="shared" si="2143"/>
        <v>2012</v>
      </c>
    </row>
    <row r="4624" spans="1:24" ht="12" customHeight="1">
      <c r="A4624" s="4">
        <v>1139</v>
      </c>
      <c r="B4624" s="4">
        <v>8295</v>
      </c>
      <c r="C4624" s="5">
        <f t="shared" ref="C4624:C4625" si="2149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2148"/>
        <v>39906</v>
      </c>
      <c r="V4624">
        <f t="shared" si="2145"/>
        <v>3</v>
      </c>
      <c r="W4624">
        <f t="shared" si="2142"/>
        <v>4</v>
      </c>
      <c r="X4624">
        <f t="shared" si="2143"/>
        <v>2009</v>
      </c>
    </row>
    <row r="4625" spans="1:24" ht="12" customHeight="1">
      <c r="A4625" s="4">
        <v>1140</v>
      </c>
      <c r="B4625" s="4">
        <v>8295</v>
      </c>
      <c r="C4625" s="5">
        <f t="shared" si="2149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2150">C4625+1</f>
        <v>39905</v>
      </c>
      <c r="V4625">
        <f t="shared" si="2145"/>
        <v>2</v>
      </c>
      <c r="W4625">
        <f t="shared" si="2142"/>
        <v>4</v>
      </c>
      <c r="X4625">
        <f t="shared" si="2143"/>
        <v>2009</v>
      </c>
    </row>
    <row r="4626" spans="1:24" ht="12" customHeight="1">
      <c r="A4626" s="4">
        <v>1189</v>
      </c>
      <c r="B4626" s="4">
        <v>8704</v>
      </c>
      <c r="C4626" s="5">
        <f t="shared" ref="C4626:C4627" si="2151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2150"/>
        <v>40725</v>
      </c>
      <c r="V4626">
        <f t="shared" si="2145"/>
        <v>1</v>
      </c>
      <c r="W4626">
        <f t="shared" si="2142"/>
        <v>7</v>
      </c>
      <c r="X4626">
        <f t="shared" si="2143"/>
        <v>2011</v>
      </c>
    </row>
    <row r="4627" spans="1:24" ht="12" customHeight="1">
      <c r="A4627" s="4">
        <v>1190</v>
      </c>
      <c r="B4627" s="4">
        <v>8704</v>
      </c>
      <c r="C4627" s="5">
        <f t="shared" si="2151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2150"/>
        <v>40725</v>
      </c>
      <c r="V4627">
        <f t="shared" si="2145"/>
        <v>1</v>
      </c>
      <c r="W4627">
        <f t="shared" si="2142"/>
        <v>7</v>
      </c>
      <c r="X4627">
        <f t="shared" si="2143"/>
        <v>2011</v>
      </c>
    </row>
    <row r="4628" spans="1:24" ht="12" customHeight="1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2150"/>
        <v>40491</v>
      </c>
      <c r="V4628">
        <f t="shared" si="2145"/>
        <v>9</v>
      </c>
      <c r="W4628">
        <f t="shared" si="2142"/>
        <v>11</v>
      </c>
      <c r="X4628">
        <f t="shared" si="2143"/>
        <v>2010</v>
      </c>
    </row>
    <row r="4629" spans="1:24" ht="12" customHeight="1">
      <c r="A4629" s="4">
        <v>1215</v>
      </c>
      <c r="B4629" s="4">
        <v>8933</v>
      </c>
      <c r="C4629" s="5">
        <f t="shared" ref="C4629:C4630" si="2152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2150"/>
        <v>40459</v>
      </c>
      <c r="V4629">
        <f t="shared" si="2145"/>
        <v>8</v>
      </c>
      <c r="W4629">
        <f t="shared" si="2142"/>
        <v>10</v>
      </c>
      <c r="X4629">
        <f t="shared" si="2143"/>
        <v>2010</v>
      </c>
    </row>
    <row r="4630" spans="1:24" ht="12" customHeight="1">
      <c r="A4630" s="4">
        <v>1216</v>
      </c>
      <c r="B4630" s="4">
        <v>8933</v>
      </c>
      <c r="C4630" s="5">
        <f t="shared" si="2152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  <c r="V4630">
        <f t="shared" si="2145"/>
        <v>9</v>
      </c>
      <c r="W4630">
        <f t="shared" si="2142"/>
        <v>10</v>
      </c>
      <c r="X4630">
        <f t="shared" si="2143"/>
        <v>2010</v>
      </c>
    </row>
    <row r="4631" spans="1:24" ht="12" customHeight="1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2153">C4631+1</f>
        <v>39855</v>
      </c>
      <c r="V4631">
        <f t="shared" si="2145"/>
        <v>11</v>
      </c>
      <c r="W4631">
        <f t="shared" si="2142"/>
        <v>2</v>
      </c>
      <c r="X4631">
        <f t="shared" si="2143"/>
        <v>2009</v>
      </c>
    </row>
    <row r="4632" spans="1:24" ht="12" customHeight="1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2153"/>
        <v>40902</v>
      </c>
      <c r="V4632">
        <f t="shared" si="2145"/>
        <v>25</v>
      </c>
      <c r="W4632">
        <f t="shared" si="2142"/>
        <v>12</v>
      </c>
      <c r="X4632">
        <f t="shared" si="2143"/>
        <v>2011</v>
      </c>
    </row>
    <row r="4633" spans="1:24" ht="12" customHeight="1">
      <c r="A4633" s="4">
        <v>1458</v>
      </c>
      <c r="B4633" s="4">
        <v>10502</v>
      </c>
      <c r="C4633" s="5">
        <f t="shared" ref="C4633:C4634" si="2154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2153"/>
        <v>40313</v>
      </c>
      <c r="V4633">
        <f t="shared" si="2145"/>
        <v>15</v>
      </c>
      <c r="W4633">
        <f t="shared" si="2142"/>
        <v>5</v>
      </c>
      <c r="X4633">
        <f t="shared" si="2143"/>
        <v>2010</v>
      </c>
    </row>
    <row r="4634" spans="1:24" ht="12" customHeight="1">
      <c r="A4634" s="4">
        <v>1459</v>
      </c>
      <c r="B4634" s="4">
        <v>10502</v>
      </c>
      <c r="C4634" s="5">
        <f t="shared" si="2154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2155">C4634+2</f>
        <v>40314</v>
      </c>
      <c r="V4634">
        <f t="shared" si="2145"/>
        <v>16</v>
      </c>
      <c r="W4634">
        <f t="shared" si="2142"/>
        <v>5</v>
      </c>
      <c r="X4634">
        <f t="shared" si="2143"/>
        <v>2010</v>
      </c>
    </row>
    <row r="4635" spans="1:24" ht="12" customHeight="1">
      <c r="A4635" s="4">
        <v>1506</v>
      </c>
      <c r="B4635" s="4">
        <v>10886</v>
      </c>
      <c r="C4635" s="5">
        <f t="shared" ref="C4635:C4636" si="2156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2155"/>
        <v>40050</v>
      </c>
      <c r="V4635">
        <f t="shared" si="2145"/>
        <v>25</v>
      </c>
      <c r="W4635">
        <f t="shared" si="2142"/>
        <v>8</v>
      </c>
      <c r="X4635">
        <f t="shared" si="2143"/>
        <v>2009</v>
      </c>
    </row>
    <row r="4636" spans="1:24" ht="12" customHeight="1">
      <c r="A4636" s="4">
        <v>1507</v>
      </c>
      <c r="B4636" s="4">
        <v>10886</v>
      </c>
      <c r="C4636" s="5">
        <f t="shared" si="2156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  <c r="V4636">
        <f t="shared" si="2145"/>
        <v>24</v>
      </c>
      <c r="W4636">
        <f t="shared" si="2142"/>
        <v>8</v>
      </c>
      <c r="X4636">
        <f t="shared" si="2143"/>
        <v>2009</v>
      </c>
    </row>
    <row r="4637" spans="1:24" ht="12" customHeight="1">
      <c r="A4637" s="4">
        <v>1535</v>
      </c>
      <c r="B4637" s="4">
        <v>11047</v>
      </c>
      <c r="C4637" s="5">
        <f t="shared" ref="C4637:C4638" si="2157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  <c r="V4637">
        <f t="shared" si="2145"/>
        <v>17</v>
      </c>
      <c r="W4637">
        <f t="shared" si="2142"/>
        <v>12</v>
      </c>
      <c r="X4637">
        <f t="shared" si="2143"/>
        <v>2010</v>
      </c>
    </row>
    <row r="4638" spans="1:24" ht="12" customHeight="1">
      <c r="A4638" s="4">
        <v>1536</v>
      </c>
      <c r="B4638" s="4">
        <v>11047</v>
      </c>
      <c r="C4638" s="5">
        <f t="shared" si="2157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2158">C4638+2</f>
        <v>40524</v>
      </c>
      <c r="V4638">
        <f t="shared" si="2145"/>
        <v>12</v>
      </c>
      <c r="W4638">
        <f t="shared" si="2142"/>
        <v>12</v>
      </c>
      <c r="X4638">
        <f t="shared" si="2143"/>
        <v>2010</v>
      </c>
    </row>
    <row r="4639" spans="1:24" ht="12" customHeight="1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2158"/>
        <v>40236</v>
      </c>
      <c r="V4639">
        <f t="shared" si="2145"/>
        <v>27</v>
      </c>
      <c r="W4639">
        <f t="shared" si="2142"/>
        <v>2</v>
      </c>
      <c r="X4639">
        <f t="shared" si="2143"/>
        <v>2010</v>
      </c>
    </row>
    <row r="4640" spans="1:24" ht="12" customHeight="1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2158"/>
        <v>40418</v>
      </c>
      <c r="V4640">
        <f t="shared" si="2145"/>
        <v>28</v>
      </c>
      <c r="W4640">
        <f t="shared" si="2142"/>
        <v>8</v>
      </c>
      <c r="X4640">
        <f t="shared" si="2143"/>
        <v>2010</v>
      </c>
    </row>
    <row r="4641" spans="1:24" ht="12" customHeight="1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2158"/>
        <v>40417</v>
      </c>
      <c r="V4641">
        <f t="shared" si="2145"/>
        <v>27</v>
      </c>
      <c r="W4641">
        <f t="shared" si="2142"/>
        <v>8</v>
      </c>
      <c r="X4641">
        <f t="shared" si="2143"/>
        <v>2010</v>
      </c>
    </row>
    <row r="4642" spans="1:24" ht="12" customHeight="1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2158"/>
        <v>40748</v>
      </c>
      <c r="V4642">
        <f t="shared" si="2145"/>
        <v>24</v>
      </c>
      <c r="W4642">
        <f t="shared" si="2142"/>
        <v>7</v>
      </c>
      <c r="X4642">
        <f t="shared" si="2143"/>
        <v>2011</v>
      </c>
    </row>
    <row r="4643" spans="1:24" ht="12" customHeight="1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  <c r="V4643">
        <f t="shared" si="2145"/>
        <v>15</v>
      </c>
      <c r="W4643">
        <f t="shared" si="2142"/>
        <v>7</v>
      </c>
      <c r="X4643">
        <f t="shared" si="2143"/>
        <v>2012</v>
      </c>
    </row>
    <row r="4644" spans="1:24" ht="12" customHeight="1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  <c r="V4644">
        <f t="shared" si="2145"/>
        <v>25</v>
      </c>
      <c r="W4644">
        <f t="shared" si="2142"/>
        <v>9</v>
      </c>
      <c r="X4644">
        <f t="shared" si="2143"/>
        <v>2009</v>
      </c>
    </row>
    <row r="4645" spans="1:24" ht="12" customHeight="1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  <c r="V4645">
        <f t="shared" si="2145"/>
        <v>21</v>
      </c>
      <c r="W4645">
        <f t="shared" si="2142"/>
        <v>11</v>
      </c>
      <c r="X4645">
        <f t="shared" si="2143"/>
        <v>2012</v>
      </c>
    </row>
    <row r="4646" spans="1:24" ht="12" customHeight="1">
      <c r="A4646" s="4">
        <v>2262</v>
      </c>
      <c r="B4646" s="4">
        <v>16258</v>
      </c>
      <c r="C4646" s="5">
        <f t="shared" ref="C4646:C4647" si="2159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  <c r="V4646">
        <f t="shared" si="2145"/>
        <v>7</v>
      </c>
      <c r="W4646">
        <f t="shared" si="2142"/>
        <v>7</v>
      </c>
      <c r="X4646">
        <f t="shared" si="2143"/>
        <v>2011</v>
      </c>
    </row>
    <row r="4647" spans="1:24" ht="12" customHeight="1">
      <c r="A4647" s="4">
        <v>2263</v>
      </c>
      <c r="B4647" s="4">
        <v>16258</v>
      </c>
      <c r="C4647" s="5">
        <f t="shared" si="2159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2160">C4647+2</f>
        <v>40732</v>
      </c>
      <c r="V4647">
        <f t="shared" si="2145"/>
        <v>8</v>
      </c>
      <c r="W4647">
        <f t="shared" si="2142"/>
        <v>7</v>
      </c>
      <c r="X4647">
        <f t="shared" si="2143"/>
        <v>2011</v>
      </c>
    </row>
    <row r="4648" spans="1:24" ht="12" customHeight="1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2160"/>
        <v>40378</v>
      </c>
      <c r="V4648">
        <f t="shared" si="2145"/>
        <v>19</v>
      </c>
      <c r="W4648">
        <f t="shared" si="2142"/>
        <v>7</v>
      </c>
      <c r="X4648">
        <f t="shared" si="2143"/>
        <v>2010</v>
      </c>
    </row>
    <row r="4649" spans="1:24" ht="12" customHeight="1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  <c r="V4649">
        <f t="shared" si="2145"/>
        <v>16</v>
      </c>
      <c r="W4649">
        <f t="shared" si="2142"/>
        <v>11</v>
      </c>
      <c r="X4649">
        <f t="shared" si="2143"/>
        <v>2011</v>
      </c>
    </row>
    <row r="4650" spans="1:24" ht="12" customHeight="1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  <c r="V4650">
        <f t="shared" si="2145"/>
        <v>19</v>
      </c>
      <c r="W4650">
        <f t="shared" si="2142"/>
        <v>1</v>
      </c>
      <c r="X4650">
        <f t="shared" si="2143"/>
        <v>2009</v>
      </c>
    </row>
    <row r="4651" spans="1:24" ht="12" customHeight="1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  <c r="V4651">
        <f t="shared" si="2145"/>
        <v>13</v>
      </c>
      <c r="W4651">
        <f t="shared" si="2142"/>
        <v>4</v>
      </c>
      <c r="X4651">
        <f t="shared" si="2143"/>
        <v>2009</v>
      </c>
    </row>
    <row r="4652" spans="1:24" ht="12" customHeight="1">
      <c r="A4652" s="4">
        <v>2773</v>
      </c>
      <c r="B4652" s="4">
        <v>20036</v>
      </c>
      <c r="C4652" s="5">
        <f t="shared" ref="C4652:C4653" si="2161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  <c r="V4652">
        <f t="shared" si="2145"/>
        <v>5</v>
      </c>
      <c r="W4652">
        <f t="shared" si="2142"/>
        <v>12</v>
      </c>
      <c r="X4652">
        <f t="shared" si="2143"/>
        <v>2010</v>
      </c>
    </row>
    <row r="4653" spans="1:24" ht="12" customHeight="1">
      <c r="A4653" s="4">
        <v>2774</v>
      </c>
      <c r="B4653" s="4">
        <v>20036</v>
      </c>
      <c r="C4653" s="5">
        <f t="shared" si="2161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2162">C4653+2</f>
        <v>40519</v>
      </c>
      <c r="V4653">
        <f t="shared" si="2145"/>
        <v>7</v>
      </c>
      <c r="W4653">
        <f t="shared" si="2142"/>
        <v>12</v>
      </c>
      <c r="X4653">
        <f t="shared" si="2143"/>
        <v>2010</v>
      </c>
    </row>
    <row r="4654" spans="1:24" ht="12" customHeight="1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2162"/>
        <v>41000</v>
      </c>
      <c r="V4654">
        <f t="shared" si="2145"/>
        <v>1</v>
      </c>
      <c r="W4654">
        <f t="shared" si="2142"/>
        <v>4</v>
      </c>
      <c r="X4654">
        <f t="shared" si="2143"/>
        <v>2012</v>
      </c>
    </row>
    <row r="4655" spans="1:24" ht="12" customHeight="1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  <c r="V4655">
        <f t="shared" si="2145"/>
        <v>17</v>
      </c>
      <c r="W4655">
        <f t="shared" si="2142"/>
        <v>9</v>
      </c>
      <c r="X4655">
        <f t="shared" si="2143"/>
        <v>2009</v>
      </c>
    </row>
    <row r="4656" spans="1:24" ht="12" customHeight="1">
      <c r="A4656" s="4">
        <v>2938</v>
      </c>
      <c r="B4656" s="4">
        <v>21314</v>
      </c>
      <c r="C4656" s="5">
        <f t="shared" ref="C4656:C4658" si="2163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  <c r="V4656">
        <f t="shared" si="2145"/>
        <v>4</v>
      </c>
      <c r="W4656">
        <f t="shared" si="2142"/>
        <v>11</v>
      </c>
      <c r="X4656">
        <f t="shared" si="2143"/>
        <v>2009</v>
      </c>
    </row>
    <row r="4657" spans="1:24" ht="12" customHeight="1">
      <c r="A4657" s="4">
        <v>2939</v>
      </c>
      <c r="B4657" s="4">
        <v>21314</v>
      </c>
      <c r="C4657" s="5">
        <f t="shared" si="2163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  <c r="V4657">
        <f t="shared" si="2145"/>
        <v>6</v>
      </c>
      <c r="W4657">
        <f t="shared" si="2142"/>
        <v>11</v>
      </c>
      <c r="X4657">
        <f t="shared" si="2143"/>
        <v>2009</v>
      </c>
    </row>
    <row r="4658" spans="1:24" ht="12" customHeight="1">
      <c r="A4658" s="4">
        <v>2940</v>
      </c>
      <c r="B4658" s="4">
        <v>21314</v>
      </c>
      <c r="C4658" s="5">
        <f t="shared" si="2163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  <c r="V4658">
        <f t="shared" si="2145"/>
        <v>9</v>
      </c>
      <c r="W4658">
        <f t="shared" si="2142"/>
        <v>11</v>
      </c>
      <c r="X4658">
        <f t="shared" si="2143"/>
        <v>2009</v>
      </c>
    </row>
    <row r="4659" spans="1:24" ht="12" customHeight="1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  <c r="V4659">
        <f t="shared" si="2145"/>
        <v>18</v>
      </c>
      <c r="W4659">
        <f t="shared" si="2142"/>
        <v>12</v>
      </c>
      <c r="X4659">
        <f t="shared" si="2143"/>
        <v>2010</v>
      </c>
    </row>
    <row r="4660" spans="1:24" ht="12" customHeight="1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  <c r="V4660">
        <f t="shared" si="2145"/>
        <v>14</v>
      </c>
      <c r="W4660">
        <f t="shared" si="2142"/>
        <v>7</v>
      </c>
      <c r="X4660">
        <f t="shared" si="2143"/>
        <v>2012</v>
      </c>
    </row>
    <row r="4661" spans="1:24" ht="12" customHeight="1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  <c r="V4661">
        <f t="shared" si="2145"/>
        <v>29</v>
      </c>
      <c r="W4661">
        <f t="shared" si="2142"/>
        <v>11</v>
      </c>
      <c r="X4661">
        <f t="shared" si="2143"/>
        <v>2012</v>
      </c>
    </row>
    <row r="4662" spans="1:24" ht="12" customHeight="1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  <c r="V4662">
        <f t="shared" si="2145"/>
        <v>12</v>
      </c>
      <c r="W4662">
        <f t="shared" si="2142"/>
        <v>11</v>
      </c>
      <c r="X4662">
        <f t="shared" si="2143"/>
        <v>2012</v>
      </c>
    </row>
    <row r="4663" spans="1:24" ht="12" customHeight="1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2164">C4663+3</f>
        <v>39876</v>
      </c>
      <c r="V4663">
        <f t="shared" si="2145"/>
        <v>4</v>
      </c>
      <c r="W4663">
        <f t="shared" si="2142"/>
        <v>3</v>
      </c>
      <c r="X4663">
        <f t="shared" si="2143"/>
        <v>2009</v>
      </c>
    </row>
    <row r="4664" spans="1:24" ht="12" customHeight="1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2164"/>
        <v>40708</v>
      </c>
      <c r="V4664">
        <f t="shared" si="2145"/>
        <v>14</v>
      </c>
      <c r="W4664">
        <f t="shared" si="2142"/>
        <v>6</v>
      </c>
      <c r="X4664">
        <f t="shared" si="2143"/>
        <v>2011</v>
      </c>
    </row>
    <row r="4665" spans="1:24" ht="12" customHeight="1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2165">C4665+1</f>
        <v>40553</v>
      </c>
      <c r="V4665">
        <f t="shared" si="2145"/>
        <v>10</v>
      </c>
      <c r="W4665">
        <f t="shared" si="2142"/>
        <v>1</v>
      </c>
      <c r="X4665">
        <f t="shared" si="2143"/>
        <v>2011</v>
      </c>
    </row>
    <row r="4666" spans="1:24" ht="12" customHeight="1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2165"/>
        <v>41240</v>
      </c>
      <c r="V4666">
        <f t="shared" si="2145"/>
        <v>27</v>
      </c>
      <c r="W4666">
        <f t="shared" si="2142"/>
        <v>11</v>
      </c>
      <c r="X4666">
        <f t="shared" si="2143"/>
        <v>2012</v>
      </c>
    </row>
    <row r="4667" spans="1:24" ht="12" customHeight="1">
      <c r="A4667" s="4">
        <v>3374</v>
      </c>
      <c r="B4667" s="4">
        <v>24098</v>
      </c>
      <c r="C4667" s="5">
        <f t="shared" ref="C4667:C4669" si="2166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2165"/>
        <v>41017</v>
      </c>
      <c r="V4667">
        <f t="shared" si="2145"/>
        <v>18</v>
      </c>
      <c r="W4667">
        <f t="shared" si="2142"/>
        <v>4</v>
      </c>
      <c r="X4667">
        <f t="shared" si="2143"/>
        <v>2012</v>
      </c>
    </row>
    <row r="4668" spans="1:24" ht="12" customHeight="1">
      <c r="A4668" s="4">
        <v>3375</v>
      </c>
      <c r="B4668" s="4">
        <v>24098</v>
      </c>
      <c r="C4668" s="5">
        <f t="shared" si="2166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  <c r="V4668">
        <f t="shared" si="2145"/>
        <v>19</v>
      </c>
      <c r="W4668">
        <f t="shared" si="2142"/>
        <v>4</v>
      </c>
      <c r="X4668">
        <f t="shared" si="2143"/>
        <v>2012</v>
      </c>
    </row>
    <row r="4669" spans="1:24" ht="12" customHeight="1">
      <c r="A4669" s="4">
        <v>3376</v>
      </c>
      <c r="B4669" s="4">
        <v>24098</v>
      </c>
      <c r="C4669" s="5">
        <f t="shared" si="2166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  <c r="V4669">
        <f t="shared" si="2145"/>
        <v>18</v>
      </c>
      <c r="W4669">
        <f t="shared" si="2142"/>
        <v>4</v>
      </c>
      <c r="X4669">
        <f t="shared" si="2143"/>
        <v>2012</v>
      </c>
    </row>
    <row r="4670" spans="1:24" ht="12" customHeight="1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  <c r="V4670">
        <f t="shared" si="2145"/>
        <v>18</v>
      </c>
      <c r="W4670">
        <f t="shared" si="2142"/>
        <v>8</v>
      </c>
      <c r="X4670">
        <f t="shared" si="2143"/>
        <v>2010</v>
      </c>
    </row>
    <row r="4671" spans="1:24" ht="12" customHeight="1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  <c r="V4671">
        <f t="shared" si="2145"/>
        <v>28</v>
      </c>
      <c r="W4671">
        <f t="shared" si="2142"/>
        <v>11</v>
      </c>
      <c r="X4671">
        <f t="shared" si="2143"/>
        <v>2009</v>
      </c>
    </row>
    <row r="4672" spans="1:24" ht="12" customHeight="1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2167">C4672+2</f>
        <v>40966</v>
      </c>
      <c r="V4672">
        <f t="shared" si="2145"/>
        <v>27</v>
      </c>
      <c r="W4672">
        <f t="shared" si="2142"/>
        <v>2</v>
      </c>
      <c r="X4672">
        <f t="shared" si="2143"/>
        <v>2012</v>
      </c>
    </row>
    <row r="4673" spans="1:24" ht="12" customHeight="1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2167"/>
        <v>40337</v>
      </c>
      <c r="V4673">
        <f t="shared" si="2145"/>
        <v>8</v>
      </c>
      <c r="W4673">
        <f t="shared" si="2142"/>
        <v>6</v>
      </c>
      <c r="X4673">
        <f t="shared" si="2143"/>
        <v>2010</v>
      </c>
    </row>
    <row r="4674" spans="1:24" ht="12" customHeight="1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  <c r="V4674">
        <f t="shared" si="2145"/>
        <v>13</v>
      </c>
      <c r="W4674">
        <f t="shared" si="2142"/>
        <v>8</v>
      </c>
      <c r="X4674">
        <f t="shared" si="2143"/>
        <v>2012</v>
      </c>
    </row>
    <row r="4675" spans="1:24" ht="12" customHeight="1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  <c r="V4675">
        <f t="shared" si="2145"/>
        <v>13</v>
      </c>
      <c r="W4675">
        <f t="shared" ref="W4675:W4738" si="2168">MONTH(U4675)</f>
        <v>8</v>
      </c>
      <c r="X4675">
        <f t="shared" ref="X4675:X4738" si="2169">YEAR(U4675)</f>
        <v>2012</v>
      </c>
    </row>
    <row r="4676" spans="1:24" ht="12" customHeight="1">
      <c r="A4676" s="4">
        <v>4190</v>
      </c>
      <c r="B4676" s="4">
        <v>29766</v>
      </c>
      <c r="C4676" s="5">
        <f t="shared" ref="C4676:C4677" si="2170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  <c r="V4676">
        <f t="shared" ref="V4676:V4739" si="2171">DAY(U4676)</f>
        <v>22</v>
      </c>
      <c r="W4676">
        <f t="shared" si="2168"/>
        <v>3</v>
      </c>
      <c r="X4676">
        <f t="shared" si="2169"/>
        <v>2009</v>
      </c>
    </row>
    <row r="4677" spans="1:24" ht="12" customHeight="1">
      <c r="A4677" s="4">
        <v>4191</v>
      </c>
      <c r="B4677" s="4">
        <v>29766</v>
      </c>
      <c r="C4677" s="5">
        <f t="shared" si="2170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  <c r="V4677">
        <f t="shared" si="2171"/>
        <v>21</v>
      </c>
      <c r="W4677">
        <f t="shared" si="2168"/>
        <v>3</v>
      </c>
      <c r="X4677">
        <f t="shared" si="2169"/>
        <v>2009</v>
      </c>
    </row>
    <row r="4678" spans="1:24" ht="12" customHeight="1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  <c r="V4678">
        <f t="shared" si="2171"/>
        <v>9</v>
      </c>
      <c r="W4678">
        <f t="shared" si="2168"/>
        <v>10</v>
      </c>
      <c r="X4678">
        <f t="shared" si="2169"/>
        <v>2009</v>
      </c>
    </row>
    <row r="4679" spans="1:24" ht="12" customHeight="1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  <c r="V4679">
        <f t="shared" si="2171"/>
        <v>26</v>
      </c>
      <c r="W4679">
        <f t="shared" si="2168"/>
        <v>4</v>
      </c>
      <c r="X4679">
        <f t="shared" si="2169"/>
        <v>2011</v>
      </c>
    </row>
    <row r="4680" spans="1:24" ht="12" customHeight="1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2172">C4680+4</f>
        <v>40446</v>
      </c>
      <c r="V4680">
        <f t="shared" si="2171"/>
        <v>25</v>
      </c>
      <c r="W4680">
        <f t="shared" si="2168"/>
        <v>9</v>
      </c>
      <c r="X4680">
        <f t="shared" si="2169"/>
        <v>2010</v>
      </c>
    </row>
    <row r="4681" spans="1:24" ht="12" customHeight="1">
      <c r="A4681" s="4">
        <v>4452</v>
      </c>
      <c r="B4681" s="4">
        <v>31718</v>
      </c>
      <c r="C4681" s="5">
        <f t="shared" ref="C4681:C4682" si="2173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2172"/>
        <v>40513</v>
      </c>
      <c r="V4681">
        <f t="shared" si="2171"/>
        <v>1</v>
      </c>
      <c r="W4681">
        <f t="shared" si="2168"/>
        <v>12</v>
      </c>
      <c r="X4681">
        <f t="shared" si="2169"/>
        <v>2010</v>
      </c>
    </row>
    <row r="4682" spans="1:24" ht="12" customHeight="1">
      <c r="A4682" s="4">
        <v>4453</v>
      </c>
      <c r="B4682" s="4">
        <v>31718</v>
      </c>
      <c r="C4682" s="5">
        <f t="shared" si="2173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  <c r="V4682">
        <f t="shared" si="2171"/>
        <v>4</v>
      </c>
      <c r="W4682">
        <f t="shared" si="2168"/>
        <v>12</v>
      </c>
      <c r="X4682">
        <f t="shared" si="2169"/>
        <v>2010</v>
      </c>
    </row>
    <row r="4683" spans="1:24" ht="12" customHeight="1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  <c r="V4683">
        <f t="shared" si="2171"/>
        <v>17</v>
      </c>
      <c r="W4683">
        <f t="shared" si="2168"/>
        <v>7</v>
      </c>
      <c r="X4683">
        <f t="shared" si="2169"/>
        <v>2009</v>
      </c>
    </row>
    <row r="4684" spans="1:24" ht="12" customHeight="1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2174">C4684+2</f>
        <v>40200</v>
      </c>
      <c r="V4684">
        <f t="shared" si="2171"/>
        <v>22</v>
      </c>
      <c r="W4684">
        <f t="shared" si="2168"/>
        <v>1</v>
      </c>
      <c r="X4684">
        <f t="shared" si="2169"/>
        <v>2010</v>
      </c>
    </row>
    <row r="4685" spans="1:24" ht="12" customHeight="1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2174"/>
        <v>41066</v>
      </c>
      <c r="V4685">
        <f t="shared" si="2171"/>
        <v>6</v>
      </c>
      <c r="W4685">
        <f t="shared" si="2168"/>
        <v>6</v>
      </c>
      <c r="X4685">
        <f t="shared" si="2169"/>
        <v>2012</v>
      </c>
    </row>
    <row r="4686" spans="1:24" ht="12" customHeight="1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  <c r="V4686">
        <f t="shared" si="2171"/>
        <v>23</v>
      </c>
      <c r="W4686">
        <f t="shared" si="2168"/>
        <v>2</v>
      </c>
      <c r="X4686">
        <f t="shared" si="2169"/>
        <v>2012</v>
      </c>
    </row>
    <row r="4687" spans="1:24" ht="12" customHeight="1">
      <c r="A4687" s="4">
        <v>5066</v>
      </c>
      <c r="B4687" s="4">
        <v>36103</v>
      </c>
      <c r="C4687" s="5">
        <f t="shared" ref="C4687:C4688" si="2175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2176">C4687+2</f>
        <v>41030</v>
      </c>
      <c r="V4687">
        <f t="shared" si="2171"/>
        <v>1</v>
      </c>
      <c r="W4687">
        <f t="shared" si="2168"/>
        <v>5</v>
      </c>
      <c r="X4687">
        <f t="shared" si="2169"/>
        <v>2012</v>
      </c>
    </row>
    <row r="4688" spans="1:24" ht="12" customHeight="1">
      <c r="A4688" s="4">
        <v>5067</v>
      </c>
      <c r="B4688" s="4">
        <v>36103</v>
      </c>
      <c r="C4688" s="5">
        <f t="shared" si="2175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2176"/>
        <v>41030</v>
      </c>
      <c r="V4688">
        <f t="shared" si="2171"/>
        <v>1</v>
      </c>
      <c r="W4688">
        <f t="shared" si="2168"/>
        <v>5</v>
      </c>
      <c r="X4688">
        <f t="shared" si="2169"/>
        <v>2012</v>
      </c>
    </row>
    <row r="4689" spans="1:24" ht="12" customHeight="1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2176"/>
        <v>40231</v>
      </c>
      <c r="V4689">
        <f t="shared" si="2171"/>
        <v>22</v>
      </c>
      <c r="W4689">
        <f t="shared" si="2168"/>
        <v>2</v>
      </c>
      <c r="X4689">
        <f t="shared" si="2169"/>
        <v>2010</v>
      </c>
    </row>
    <row r="4690" spans="1:24" ht="12" customHeight="1">
      <c r="A4690" s="4">
        <v>5368</v>
      </c>
      <c r="B4690" s="4">
        <v>38176</v>
      </c>
      <c r="C4690" s="5">
        <f t="shared" ref="C4690:C4691" si="2177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  <c r="V4690">
        <f t="shared" si="2171"/>
        <v>16</v>
      </c>
      <c r="W4690">
        <f t="shared" si="2168"/>
        <v>8</v>
      </c>
      <c r="X4690">
        <f t="shared" si="2169"/>
        <v>2010</v>
      </c>
    </row>
    <row r="4691" spans="1:24" ht="12" customHeight="1">
      <c r="A4691" s="4">
        <v>5369</v>
      </c>
      <c r="B4691" s="4">
        <v>38176</v>
      </c>
      <c r="C4691" s="5">
        <f t="shared" si="2177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  <c r="V4691">
        <f t="shared" si="2171"/>
        <v>17</v>
      </c>
      <c r="W4691">
        <f t="shared" si="2168"/>
        <v>8</v>
      </c>
      <c r="X4691">
        <f t="shared" si="2169"/>
        <v>2010</v>
      </c>
    </row>
    <row r="4692" spans="1:24" ht="12" customHeight="1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  <c r="V4692">
        <f t="shared" si="2171"/>
        <v>12</v>
      </c>
      <c r="W4692">
        <f t="shared" si="2168"/>
        <v>12</v>
      </c>
      <c r="X4692">
        <f t="shared" si="2169"/>
        <v>2011</v>
      </c>
    </row>
    <row r="4693" spans="1:24" ht="12" customHeight="1">
      <c r="A4693" s="4">
        <v>5704</v>
      </c>
      <c r="B4693" s="4">
        <v>40354</v>
      </c>
      <c r="C4693" s="5">
        <f t="shared" ref="C4693:C4694" si="2178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2179">C4693+1</f>
        <v>39817</v>
      </c>
      <c r="V4693">
        <f t="shared" si="2171"/>
        <v>4</v>
      </c>
      <c r="W4693">
        <f t="shared" si="2168"/>
        <v>1</v>
      </c>
      <c r="X4693">
        <f t="shared" si="2169"/>
        <v>2009</v>
      </c>
    </row>
    <row r="4694" spans="1:24" ht="12" customHeight="1">
      <c r="A4694" s="4">
        <v>5705</v>
      </c>
      <c r="B4694" s="4">
        <v>40354</v>
      </c>
      <c r="C4694" s="5">
        <f t="shared" si="2178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2179"/>
        <v>39817</v>
      </c>
      <c r="V4694">
        <f t="shared" si="2171"/>
        <v>4</v>
      </c>
      <c r="W4694">
        <f t="shared" si="2168"/>
        <v>1</v>
      </c>
      <c r="X4694">
        <f t="shared" si="2169"/>
        <v>2009</v>
      </c>
    </row>
    <row r="4695" spans="1:24" ht="12" customHeight="1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2179"/>
        <v>40267</v>
      </c>
      <c r="V4695">
        <f t="shared" si="2171"/>
        <v>30</v>
      </c>
      <c r="W4695">
        <f t="shared" si="2168"/>
        <v>3</v>
      </c>
      <c r="X4695">
        <f t="shared" si="2169"/>
        <v>2010</v>
      </c>
    </row>
    <row r="4696" spans="1:24" ht="12" customHeight="1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  <c r="V4696">
        <f t="shared" si="2171"/>
        <v>8</v>
      </c>
      <c r="W4696">
        <f t="shared" si="2168"/>
        <v>12</v>
      </c>
      <c r="X4696">
        <f t="shared" si="2169"/>
        <v>2010</v>
      </c>
    </row>
    <row r="4697" spans="1:24" ht="12" customHeight="1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2180">C4697+1</f>
        <v>40048</v>
      </c>
      <c r="V4697">
        <f t="shared" si="2171"/>
        <v>23</v>
      </c>
      <c r="W4697">
        <f t="shared" si="2168"/>
        <v>8</v>
      </c>
      <c r="X4697">
        <f t="shared" si="2169"/>
        <v>2009</v>
      </c>
    </row>
    <row r="4698" spans="1:24" ht="12" customHeight="1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2180"/>
        <v>40773</v>
      </c>
      <c r="V4698">
        <f t="shared" si="2171"/>
        <v>18</v>
      </c>
      <c r="W4698">
        <f t="shared" si="2168"/>
        <v>8</v>
      </c>
      <c r="X4698">
        <f t="shared" si="2169"/>
        <v>2011</v>
      </c>
    </row>
    <row r="4699" spans="1:24" ht="12" customHeight="1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2180"/>
        <v>41120</v>
      </c>
      <c r="V4699">
        <f t="shared" si="2171"/>
        <v>30</v>
      </c>
      <c r="W4699">
        <f t="shared" si="2168"/>
        <v>7</v>
      </c>
      <c r="X4699">
        <f t="shared" si="2169"/>
        <v>2012</v>
      </c>
    </row>
    <row r="4700" spans="1:24" ht="12" customHeight="1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  <c r="V4700">
        <f t="shared" si="2171"/>
        <v>23</v>
      </c>
      <c r="W4700">
        <f t="shared" si="2168"/>
        <v>9</v>
      </c>
      <c r="X4700">
        <f t="shared" si="2169"/>
        <v>2010</v>
      </c>
    </row>
    <row r="4701" spans="1:24" ht="12" customHeight="1">
      <c r="A4701" s="4">
        <v>6615</v>
      </c>
      <c r="B4701" s="4">
        <v>47078</v>
      </c>
      <c r="C4701" s="5">
        <f t="shared" ref="C4701:C4703" si="2181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  <c r="V4701">
        <f t="shared" si="2171"/>
        <v>19</v>
      </c>
      <c r="W4701">
        <f t="shared" si="2168"/>
        <v>4</v>
      </c>
      <c r="X4701">
        <f t="shared" si="2169"/>
        <v>2010</v>
      </c>
    </row>
    <row r="4702" spans="1:24" ht="12" customHeight="1">
      <c r="A4702" s="4">
        <v>6616</v>
      </c>
      <c r="B4702" s="4">
        <v>47078</v>
      </c>
      <c r="C4702" s="5">
        <f t="shared" si="2181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2182">C4702+1</f>
        <v>40288</v>
      </c>
      <c r="V4702">
        <f t="shared" si="2171"/>
        <v>20</v>
      </c>
      <c r="W4702">
        <f t="shared" si="2168"/>
        <v>4</v>
      </c>
      <c r="X4702">
        <f t="shared" si="2169"/>
        <v>2010</v>
      </c>
    </row>
    <row r="4703" spans="1:24" ht="12" customHeight="1">
      <c r="A4703" s="4">
        <v>6617</v>
      </c>
      <c r="B4703" s="4">
        <v>47078</v>
      </c>
      <c r="C4703" s="5">
        <f t="shared" si="2181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2182"/>
        <v>40288</v>
      </c>
      <c r="V4703">
        <f t="shared" si="2171"/>
        <v>20</v>
      </c>
      <c r="W4703">
        <f t="shared" si="2168"/>
        <v>4</v>
      </c>
      <c r="X4703">
        <f t="shared" si="2169"/>
        <v>2010</v>
      </c>
    </row>
    <row r="4704" spans="1:24" ht="12" customHeight="1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  <c r="V4704">
        <f t="shared" si="2171"/>
        <v>23</v>
      </c>
      <c r="W4704">
        <f t="shared" si="2168"/>
        <v>11</v>
      </c>
      <c r="X4704">
        <f t="shared" si="2169"/>
        <v>2011</v>
      </c>
    </row>
    <row r="4705" spans="1:24" ht="12" customHeight="1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  <c r="V4705">
        <f t="shared" si="2171"/>
        <v>15</v>
      </c>
      <c r="W4705">
        <f t="shared" si="2168"/>
        <v>8</v>
      </c>
      <c r="X4705">
        <f t="shared" si="2169"/>
        <v>2011</v>
      </c>
    </row>
    <row r="4706" spans="1:24" ht="12" customHeight="1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2183">C4706+2</f>
        <v>40116</v>
      </c>
      <c r="V4706">
        <f t="shared" si="2171"/>
        <v>30</v>
      </c>
      <c r="W4706">
        <f t="shared" si="2168"/>
        <v>10</v>
      </c>
      <c r="X4706">
        <f t="shared" si="2169"/>
        <v>2009</v>
      </c>
    </row>
    <row r="4707" spans="1:24" ht="12" customHeight="1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2183"/>
        <v>40005</v>
      </c>
      <c r="V4707">
        <f t="shared" si="2171"/>
        <v>11</v>
      </c>
      <c r="W4707">
        <f t="shared" si="2168"/>
        <v>7</v>
      </c>
      <c r="X4707">
        <f t="shared" si="2169"/>
        <v>2009</v>
      </c>
    </row>
    <row r="4708" spans="1:24" ht="12" customHeight="1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2184">C4708+0</f>
        <v>40837</v>
      </c>
      <c r="V4708">
        <f t="shared" si="2171"/>
        <v>21</v>
      </c>
      <c r="W4708">
        <f t="shared" si="2168"/>
        <v>10</v>
      </c>
      <c r="X4708">
        <f t="shared" si="2169"/>
        <v>2011</v>
      </c>
    </row>
    <row r="4709" spans="1:24" ht="12" customHeight="1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2184"/>
        <v>39900</v>
      </c>
      <c r="V4709">
        <f t="shared" si="2171"/>
        <v>28</v>
      </c>
      <c r="W4709">
        <f t="shared" si="2168"/>
        <v>3</v>
      </c>
      <c r="X4709">
        <f t="shared" si="2169"/>
        <v>2009</v>
      </c>
    </row>
    <row r="4710" spans="1:24" ht="12" customHeight="1">
      <c r="A4710" s="4">
        <v>7510</v>
      </c>
      <c r="B4710" s="4">
        <v>53605</v>
      </c>
      <c r="C4710" s="5">
        <f t="shared" ref="C4710:C4712" si="2185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2186">C4710+2</f>
        <v>40395</v>
      </c>
      <c r="V4710">
        <f t="shared" si="2171"/>
        <v>5</v>
      </c>
      <c r="W4710">
        <f t="shared" si="2168"/>
        <v>8</v>
      </c>
      <c r="X4710">
        <f t="shared" si="2169"/>
        <v>2010</v>
      </c>
    </row>
    <row r="4711" spans="1:24" ht="12" customHeight="1">
      <c r="A4711" s="4">
        <v>7511</v>
      </c>
      <c r="B4711" s="4">
        <v>53605</v>
      </c>
      <c r="C4711" s="5">
        <f t="shared" si="2185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2186"/>
        <v>40395</v>
      </c>
      <c r="V4711">
        <f t="shared" si="2171"/>
        <v>5</v>
      </c>
      <c r="W4711">
        <f t="shared" si="2168"/>
        <v>8</v>
      </c>
      <c r="X4711">
        <f t="shared" si="2169"/>
        <v>2010</v>
      </c>
    </row>
    <row r="4712" spans="1:24" ht="12" customHeight="1">
      <c r="A4712" s="4">
        <v>7512</v>
      </c>
      <c r="B4712" s="4">
        <v>53605</v>
      </c>
      <c r="C4712" s="5">
        <f t="shared" si="2185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2186"/>
        <v>40395</v>
      </c>
      <c r="V4712">
        <f t="shared" si="2171"/>
        <v>5</v>
      </c>
      <c r="W4712">
        <f t="shared" si="2168"/>
        <v>8</v>
      </c>
      <c r="X4712">
        <f t="shared" si="2169"/>
        <v>2010</v>
      </c>
    </row>
    <row r="4713" spans="1:24" ht="12" customHeight="1">
      <c r="A4713" s="4">
        <v>7536</v>
      </c>
      <c r="B4713" s="4">
        <v>53891</v>
      </c>
      <c r="C4713" s="5">
        <f t="shared" ref="C4713:C4715" si="2187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2188">C4713+1</f>
        <v>39836</v>
      </c>
      <c r="V4713">
        <f t="shared" si="2171"/>
        <v>23</v>
      </c>
      <c r="W4713">
        <f t="shared" si="2168"/>
        <v>1</v>
      </c>
      <c r="X4713">
        <f t="shared" si="2169"/>
        <v>2009</v>
      </c>
    </row>
    <row r="4714" spans="1:24" ht="12" customHeight="1">
      <c r="A4714" s="4">
        <v>7537</v>
      </c>
      <c r="B4714" s="4">
        <v>53891</v>
      </c>
      <c r="C4714" s="5">
        <f t="shared" si="2187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2188"/>
        <v>39836</v>
      </c>
      <c r="V4714">
        <f t="shared" si="2171"/>
        <v>23</v>
      </c>
      <c r="W4714">
        <f t="shared" si="2168"/>
        <v>1</v>
      </c>
      <c r="X4714">
        <f t="shared" si="2169"/>
        <v>2009</v>
      </c>
    </row>
    <row r="4715" spans="1:24" ht="12" customHeight="1">
      <c r="A4715" s="4">
        <v>7538</v>
      </c>
      <c r="B4715" s="4">
        <v>53891</v>
      </c>
      <c r="C4715" s="5">
        <f t="shared" si="2187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2188"/>
        <v>39836</v>
      </c>
      <c r="V4715">
        <f t="shared" si="2171"/>
        <v>23</v>
      </c>
      <c r="W4715">
        <f t="shared" si="2168"/>
        <v>1</v>
      </c>
      <c r="X4715">
        <f t="shared" si="2169"/>
        <v>2009</v>
      </c>
    </row>
    <row r="4716" spans="1:24" ht="12" customHeight="1">
      <c r="A4716" s="4">
        <v>7748</v>
      </c>
      <c r="B4716" s="4">
        <v>55460</v>
      </c>
      <c r="C4716" s="5">
        <f t="shared" ref="C4716:C4717" si="2189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  <c r="V4716">
        <f t="shared" si="2171"/>
        <v>28</v>
      </c>
      <c r="W4716">
        <f t="shared" si="2168"/>
        <v>5</v>
      </c>
      <c r="X4716">
        <f t="shared" si="2169"/>
        <v>2012</v>
      </c>
    </row>
    <row r="4717" spans="1:24" ht="12" customHeight="1">
      <c r="A4717" s="4">
        <v>7749</v>
      </c>
      <c r="B4717" s="4">
        <v>55460</v>
      </c>
      <c r="C4717" s="5">
        <f t="shared" si="2189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  <c r="V4717">
        <f t="shared" si="2171"/>
        <v>27</v>
      </c>
      <c r="W4717">
        <f t="shared" si="2168"/>
        <v>5</v>
      </c>
      <c r="X4717">
        <f t="shared" si="2169"/>
        <v>2012</v>
      </c>
    </row>
    <row r="4718" spans="1:24" ht="12" customHeight="1">
      <c r="A4718" s="4">
        <v>7815</v>
      </c>
      <c r="B4718" s="4">
        <v>55877</v>
      </c>
      <c r="C4718" s="5">
        <f t="shared" ref="C4718:C4719" si="2190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  <c r="V4718">
        <f t="shared" si="2171"/>
        <v>4</v>
      </c>
      <c r="W4718">
        <f t="shared" si="2168"/>
        <v>2</v>
      </c>
      <c r="X4718">
        <f t="shared" si="2169"/>
        <v>2010</v>
      </c>
    </row>
    <row r="4719" spans="1:24" ht="12" customHeight="1">
      <c r="A4719" s="4">
        <v>7816</v>
      </c>
      <c r="B4719" s="4">
        <v>55877</v>
      </c>
      <c r="C4719" s="5">
        <f t="shared" si="2190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2191">C4719+1</f>
        <v>40212</v>
      </c>
      <c r="V4719">
        <f t="shared" si="2171"/>
        <v>3</v>
      </c>
      <c r="W4719">
        <f t="shared" si="2168"/>
        <v>2</v>
      </c>
      <c r="X4719">
        <f t="shared" si="2169"/>
        <v>2010</v>
      </c>
    </row>
    <row r="4720" spans="1:24" ht="12" customHeight="1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2191"/>
        <v>40759</v>
      </c>
      <c r="V4720">
        <f t="shared" si="2171"/>
        <v>4</v>
      </c>
      <c r="W4720">
        <f t="shared" si="2168"/>
        <v>8</v>
      </c>
      <c r="X4720">
        <f t="shared" si="2169"/>
        <v>2011</v>
      </c>
    </row>
    <row r="4721" spans="1:24" ht="12" customHeight="1">
      <c r="A4721" s="4">
        <v>8044</v>
      </c>
      <c r="B4721" s="4">
        <v>57475</v>
      </c>
      <c r="C4721" s="5">
        <f t="shared" ref="C4721:C4724" si="2192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  <c r="V4721">
        <f t="shared" si="2171"/>
        <v>11</v>
      </c>
      <c r="W4721">
        <f t="shared" si="2168"/>
        <v>10</v>
      </c>
      <c r="X4721">
        <f t="shared" si="2169"/>
        <v>2010</v>
      </c>
    </row>
    <row r="4722" spans="1:24" ht="12" customHeight="1">
      <c r="A4722" s="4">
        <v>8045</v>
      </c>
      <c r="B4722" s="4">
        <v>57475</v>
      </c>
      <c r="C4722" s="5">
        <f t="shared" si="2192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2193">C4722+0</f>
        <v>40455</v>
      </c>
      <c r="V4722">
        <f t="shared" si="2171"/>
        <v>4</v>
      </c>
      <c r="W4722">
        <f t="shared" si="2168"/>
        <v>10</v>
      </c>
      <c r="X4722">
        <f t="shared" si="2169"/>
        <v>2010</v>
      </c>
    </row>
    <row r="4723" spans="1:24" ht="12" customHeight="1">
      <c r="A4723" s="4">
        <v>8046</v>
      </c>
      <c r="B4723" s="4">
        <v>57475</v>
      </c>
      <c r="C4723" s="5">
        <f t="shared" si="2192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2193"/>
        <v>40455</v>
      </c>
      <c r="V4723">
        <f t="shared" si="2171"/>
        <v>4</v>
      </c>
      <c r="W4723">
        <f t="shared" si="2168"/>
        <v>10</v>
      </c>
      <c r="X4723">
        <f t="shared" si="2169"/>
        <v>2010</v>
      </c>
    </row>
    <row r="4724" spans="1:24" ht="12" customHeight="1">
      <c r="A4724" s="4">
        <v>8047</v>
      </c>
      <c r="B4724" s="4">
        <v>57475</v>
      </c>
      <c r="C4724" s="5">
        <f t="shared" si="2192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  <c r="V4724">
        <f t="shared" si="2171"/>
        <v>6</v>
      </c>
      <c r="W4724">
        <f t="shared" si="2168"/>
        <v>10</v>
      </c>
      <c r="X4724">
        <f t="shared" si="2169"/>
        <v>2010</v>
      </c>
    </row>
    <row r="4725" spans="1:24" ht="12" customHeight="1">
      <c r="A4725" s="4">
        <v>8062</v>
      </c>
      <c r="B4725" s="4">
        <v>57537</v>
      </c>
      <c r="C4725" s="5">
        <f t="shared" ref="C4725:C4727" si="2194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2195">C4725+1</f>
        <v>41171</v>
      </c>
      <c r="V4725">
        <f t="shared" si="2171"/>
        <v>19</v>
      </c>
      <c r="W4725">
        <f t="shared" si="2168"/>
        <v>9</v>
      </c>
      <c r="X4725">
        <f t="shared" si="2169"/>
        <v>2012</v>
      </c>
    </row>
    <row r="4726" spans="1:24" ht="12" customHeight="1">
      <c r="A4726" s="4">
        <v>8063</v>
      </c>
      <c r="B4726" s="4">
        <v>57537</v>
      </c>
      <c r="C4726" s="5">
        <f t="shared" si="2194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2195"/>
        <v>41171</v>
      </c>
      <c r="V4726">
        <f t="shared" si="2171"/>
        <v>19</v>
      </c>
      <c r="W4726">
        <f t="shared" si="2168"/>
        <v>9</v>
      </c>
      <c r="X4726">
        <f t="shared" si="2169"/>
        <v>2012</v>
      </c>
    </row>
    <row r="4727" spans="1:24" ht="12" customHeight="1">
      <c r="A4727" s="4">
        <v>8064</v>
      </c>
      <c r="B4727" s="4">
        <v>57537</v>
      </c>
      <c r="C4727" s="5">
        <f t="shared" si="2194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  <c r="V4727">
        <f t="shared" si="2171"/>
        <v>18</v>
      </c>
      <c r="W4727">
        <f t="shared" si="2168"/>
        <v>9</v>
      </c>
      <c r="X4727">
        <f t="shared" si="2169"/>
        <v>2012</v>
      </c>
    </row>
    <row r="4728" spans="1:24" ht="12" customHeight="1">
      <c r="A4728" s="4">
        <v>8087</v>
      </c>
      <c r="B4728" s="4">
        <v>57698</v>
      </c>
      <c r="C4728" s="5">
        <f t="shared" ref="C4728:C4729" si="2196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  <c r="V4728">
        <f t="shared" si="2171"/>
        <v>7</v>
      </c>
      <c r="W4728">
        <f t="shared" si="2168"/>
        <v>1</v>
      </c>
      <c r="X4728">
        <f t="shared" si="2169"/>
        <v>2012</v>
      </c>
    </row>
    <row r="4729" spans="1:24" ht="12" customHeight="1">
      <c r="A4729" s="4">
        <v>8088</v>
      </c>
      <c r="B4729" s="4">
        <v>57698</v>
      </c>
      <c r="C4729" s="5">
        <f t="shared" si="2196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  <c r="V4729">
        <f t="shared" si="2171"/>
        <v>8</v>
      </c>
      <c r="W4729">
        <f t="shared" si="2168"/>
        <v>1</v>
      </c>
      <c r="X4729">
        <f t="shared" si="2169"/>
        <v>2012</v>
      </c>
    </row>
    <row r="4730" spans="1:24" ht="12" customHeight="1">
      <c r="A4730" s="4">
        <v>8143</v>
      </c>
      <c r="B4730" s="4">
        <v>58241</v>
      </c>
      <c r="C4730" s="5">
        <f t="shared" ref="C4730:C4731" si="2197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2198">C4730+1</f>
        <v>40429</v>
      </c>
      <c r="V4730">
        <f t="shared" si="2171"/>
        <v>8</v>
      </c>
      <c r="W4730">
        <f t="shared" si="2168"/>
        <v>9</v>
      </c>
      <c r="X4730">
        <f t="shared" si="2169"/>
        <v>2010</v>
      </c>
    </row>
    <row r="4731" spans="1:24" ht="12" customHeight="1">
      <c r="A4731" s="4">
        <v>8144</v>
      </c>
      <c r="B4731" s="4">
        <v>58241</v>
      </c>
      <c r="C4731" s="5">
        <f t="shared" si="2197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2198"/>
        <v>40429</v>
      </c>
      <c r="V4731">
        <f t="shared" si="2171"/>
        <v>8</v>
      </c>
      <c r="W4731">
        <f t="shared" si="2168"/>
        <v>9</v>
      </c>
      <c r="X4731">
        <f t="shared" si="2169"/>
        <v>2010</v>
      </c>
    </row>
    <row r="4732" spans="1:24" ht="12" customHeight="1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2199">C4732+2</f>
        <v>39921</v>
      </c>
      <c r="V4732">
        <f t="shared" si="2171"/>
        <v>18</v>
      </c>
      <c r="W4732">
        <f t="shared" si="2168"/>
        <v>4</v>
      </c>
      <c r="X4732">
        <f t="shared" si="2169"/>
        <v>2009</v>
      </c>
    </row>
    <row r="4733" spans="1:24" ht="12" customHeight="1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2199"/>
        <v>40758</v>
      </c>
      <c r="V4733">
        <f t="shared" si="2171"/>
        <v>3</v>
      </c>
      <c r="W4733">
        <f t="shared" si="2168"/>
        <v>8</v>
      </c>
      <c r="X4733">
        <f t="shared" si="2169"/>
        <v>2011</v>
      </c>
    </row>
    <row r="4734" spans="1:24" ht="12" customHeight="1">
      <c r="A4734" s="4">
        <v>95</v>
      </c>
      <c r="B4734" s="4">
        <v>612</v>
      </c>
      <c r="C4734" s="5">
        <f t="shared" ref="C4734:C4735" si="2200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2199"/>
        <v>41204</v>
      </c>
      <c r="V4734">
        <f t="shared" si="2171"/>
        <v>22</v>
      </c>
      <c r="W4734">
        <f t="shared" si="2168"/>
        <v>10</v>
      </c>
      <c r="X4734">
        <f t="shared" si="2169"/>
        <v>2012</v>
      </c>
    </row>
    <row r="4735" spans="1:24" ht="12" customHeight="1">
      <c r="A4735" s="4">
        <v>96</v>
      </c>
      <c r="B4735" s="4">
        <v>612</v>
      </c>
      <c r="C4735" s="5">
        <f t="shared" si="2200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2199"/>
        <v>41204</v>
      </c>
      <c r="V4735">
        <f t="shared" si="2171"/>
        <v>22</v>
      </c>
      <c r="W4735">
        <f t="shared" si="2168"/>
        <v>10</v>
      </c>
      <c r="X4735">
        <f t="shared" si="2169"/>
        <v>2012</v>
      </c>
    </row>
    <row r="4736" spans="1:24" ht="12" customHeight="1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2199"/>
        <v>40766</v>
      </c>
      <c r="V4736">
        <f t="shared" si="2171"/>
        <v>11</v>
      </c>
      <c r="W4736">
        <f t="shared" si="2168"/>
        <v>8</v>
      </c>
      <c r="X4736">
        <f t="shared" si="2169"/>
        <v>2011</v>
      </c>
    </row>
    <row r="4737" spans="1:24" ht="12" customHeight="1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2199"/>
        <v>40599</v>
      </c>
      <c r="V4737">
        <f t="shared" si="2171"/>
        <v>25</v>
      </c>
      <c r="W4737">
        <f t="shared" si="2168"/>
        <v>2</v>
      </c>
      <c r="X4737">
        <f t="shared" si="2169"/>
        <v>2011</v>
      </c>
    </row>
    <row r="4738" spans="1:24" ht="12" customHeight="1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  <c r="V4738">
        <f t="shared" si="2171"/>
        <v>11</v>
      </c>
      <c r="W4738">
        <f t="shared" si="2168"/>
        <v>6</v>
      </c>
      <c r="X4738">
        <f t="shared" si="2169"/>
        <v>2011</v>
      </c>
    </row>
    <row r="4739" spans="1:24" ht="12" customHeight="1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  <c r="V4739">
        <f t="shared" si="2171"/>
        <v>20</v>
      </c>
      <c r="W4739">
        <f t="shared" ref="W4739:W4802" si="2201">MONTH(U4739)</f>
        <v>4</v>
      </c>
      <c r="X4739">
        <f t="shared" ref="X4739:X4802" si="2202">YEAR(U4739)</f>
        <v>2010</v>
      </c>
    </row>
    <row r="4740" spans="1:24" ht="12" customHeight="1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  <c r="V4740">
        <f t="shared" ref="V4740:V4803" si="2203">DAY(U4740)</f>
        <v>21</v>
      </c>
      <c r="W4740">
        <f t="shared" si="2201"/>
        <v>7</v>
      </c>
      <c r="X4740">
        <f t="shared" si="2202"/>
        <v>2011</v>
      </c>
    </row>
    <row r="4741" spans="1:24" ht="12" customHeight="1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  <c r="V4741">
        <f t="shared" si="2203"/>
        <v>28</v>
      </c>
      <c r="W4741">
        <f t="shared" si="2201"/>
        <v>2</v>
      </c>
      <c r="X4741">
        <f t="shared" si="2202"/>
        <v>2009</v>
      </c>
    </row>
    <row r="4742" spans="1:24" ht="12" customHeight="1">
      <c r="A4742" s="4">
        <v>985</v>
      </c>
      <c r="B4742" s="4">
        <v>7107</v>
      </c>
      <c r="C4742" s="5">
        <f t="shared" ref="C4742:C4744" si="2204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  <c r="V4742">
        <f t="shared" si="2203"/>
        <v>4</v>
      </c>
      <c r="W4742">
        <f t="shared" si="2201"/>
        <v>1</v>
      </c>
      <c r="X4742">
        <f t="shared" si="2202"/>
        <v>2012</v>
      </c>
    </row>
    <row r="4743" spans="1:24" ht="12" customHeight="1">
      <c r="A4743" s="4">
        <v>986</v>
      </c>
      <c r="B4743" s="4">
        <v>7107</v>
      </c>
      <c r="C4743" s="5">
        <f t="shared" si="2204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  <c r="V4743">
        <f t="shared" si="2203"/>
        <v>6</v>
      </c>
      <c r="W4743">
        <f t="shared" si="2201"/>
        <v>1</v>
      </c>
      <c r="X4743">
        <f t="shared" si="2202"/>
        <v>2012</v>
      </c>
    </row>
    <row r="4744" spans="1:24" ht="12" customHeight="1">
      <c r="A4744" s="4">
        <v>987</v>
      </c>
      <c r="B4744" s="4">
        <v>7107</v>
      </c>
      <c r="C4744" s="5">
        <f t="shared" si="2204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2205">C4744+1</f>
        <v>40913</v>
      </c>
      <c r="V4744">
        <f t="shared" si="2203"/>
        <v>5</v>
      </c>
      <c r="W4744">
        <f t="shared" si="2201"/>
        <v>1</v>
      </c>
      <c r="X4744">
        <f t="shared" si="2202"/>
        <v>2012</v>
      </c>
    </row>
    <row r="4745" spans="1:24" ht="12" customHeight="1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2205"/>
        <v>40673</v>
      </c>
      <c r="V4745">
        <f t="shared" si="2203"/>
        <v>10</v>
      </c>
      <c r="W4745">
        <f t="shared" si="2201"/>
        <v>5</v>
      </c>
      <c r="X4745">
        <f t="shared" si="2202"/>
        <v>2011</v>
      </c>
    </row>
    <row r="4746" spans="1:24" ht="12" customHeight="1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  <c r="V4746">
        <f t="shared" si="2203"/>
        <v>5</v>
      </c>
      <c r="W4746">
        <f t="shared" si="2201"/>
        <v>10</v>
      </c>
      <c r="X4746">
        <f t="shared" si="2202"/>
        <v>2012</v>
      </c>
    </row>
    <row r="4747" spans="1:24" ht="12" customHeight="1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  <c r="V4747">
        <f t="shared" si="2203"/>
        <v>14</v>
      </c>
      <c r="W4747">
        <f t="shared" si="2201"/>
        <v>5</v>
      </c>
      <c r="X4747">
        <f t="shared" si="2202"/>
        <v>2009</v>
      </c>
    </row>
    <row r="4748" spans="1:24" ht="12" customHeight="1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2206">C4748+1</f>
        <v>40666</v>
      </c>
      <c r="V4748">
        <f t="shared" si="2203"/>
        <v>3</v>
      </c>
      <c r="W4748">
        <f t="shared" si="2201"/>
        <v>5</v>
      </c>
      <c r="X4748">
        <f t="shared" si="2202"/>
        <v>2011</v>
      </c>
    </row>
    <row r="4749" spans="1:24" ht="12" customHeight="1">
      <c r="A4749" s="4">
        <v>1620</v>
      </c>
      <c r="B4749" s="4">
        <v>11719</v>
      </c>
      <c r="C4749" s="5">
        <f t="shared" ref="C4749:C4751" si="2207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2206"/>
        <v>40580</v>
      </c>
      <c r="V4749">
        <f t="shared" si="2203"/>
        <v>6</v>
      </c>
      <c r="W4749">
        <f t="shared" si="2201"/>
        <v>2</v>
      </c>
      <c r="X4749">
        <f t="shared" si="2202"/>
        <v>2011</v>
      </c>
    </row>
    <row r="4750" spans="1:24" ht="12" customHeight="1">
      <c r="A4750" s="4">
        <v>1621</v>
      </c>
      <c r="B4750" s="4">
        <v>11719</v>
      </c>
      <c r="C4750" s="5">
        <f t="shared" si="2207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2208">C4750+0</f>
        <v>40579</v>
      </c>
      <c r="V4750">
        <f t="shared" si="2203"/>
        <v>5</v>
      </c>
      <c r="W4750">
        <f t="shared" si="2201"/>
        <v>2</v>
      </c>
      <c r="X4750">
        <f t="shared" si="2202"/>
        <v>2011</v>
      </c>
    </row>
    <row r="4751" spans="1:24" ht="12" customHeight="1">
      <c r="A4751" s="4">
        <v>1622</v>
      </c>
      <c r="B4751" s="4">
        <v>11719</v>
      </c>
      <c r="C4751" s="5">
        <f t="shared" si="2207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2208"/>
        <v>40579</v>
      </c>
      <c r="V4751">
        <f t="shared" si="2203"/>
        <v>5</v>
      </c>
      <c r="W4751">
        <f t="shared" si="2201"/>
        <v>2</v>
      </c>
      <c r="X4751">
        <f t="shared" si="2202"/>
        <v>2011</v>
      </c>
    </row>
    <row r="4752" spans="1:24" ht="12" customHeight="1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2209">C4752+2</f>
        <v>40325</v>
      </c>
      <c r="V4752">
        <f t="shared" si="2203"/>
        <v>27</v>
      </c>
      <c r="W4752">
        <f t="shared" si="2201"/>
        <v>5</v>
      </c>
      <c r="X4752">
        <f t="shared" si="2202"/>
        <v>2010</v>
      </c>
    </row>
    <row r="4753" spans="1:24" ht="12" customHeight="1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2209"/>
        <v>39910</v>
      </c>
      <c r="V4753">
        <f t="shared" si="2203"/>
        <v>7</v>
      </c>
      <c r="W4753">
        <f t="shared" si="2201"/>
        <v>4</v>
      </c>
      <c r="X4753">
        <f t="shared" si="2202"/>
        <v>2009</v>
      </c>
    </row>
    <row r="4754" spans="1:24" ht="12" customHeight="1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2209"/>
        <v>40059</v>
      </c>
      <c r="V4754">
        <f t="shared" si="2203"/>
        <v>3</v>
      </c>
      <c r="W4754">
        <f t="shared" si="2201"/>
        <v>9</v>
      </c>
      <c r="X4754">
        <f t="shared" si="2202"/>
        <v>2009</v>
      </c>
    </row>
    <row r="4755" spans="1:24" ht="12" customHeight="1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2210">C4755+0</f>
        <v>39930</v>
      </c>
      <c r="V4755">
        <f t="shared" si="2203"/>
        <v>27</v>
      </c>
      <c r="W4755">
        <f t="shared" si="2201"/>
        <v>4</v>
      </c>
      <c r="X4755">
        <f t="shared" si="2202"/>
        <v>2009</v>
      </c>
    </row>
    <row r="4756" spans="1:24" ht="12" customHeight="1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2210"/>
        <v>40056</v>
      </c>
      <c r="V4756">
        <f t="shared" si="2203"/>
        <v>31</v>
      </c>
      <c r="W4756">
        <f t="shared" si="2201"/>
        <v>8</v>
      </c>
      <c r="X4756">
        <f t="shared" si="2202"/>
        <v>2009</v>
      </c>
    </row>
    <row r="4757" spans="1:24" ht="12" customHeight="1">
      <c r="A4757" s="4">
        <v>2065</v>
      </c>
      <c r="B4757" s="4">
        <v>14785</v>
      </c>
      <c r="C4757" s="5">
        <f t="shared" ref="C4757:C4758" si="2211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2210"/>
        <v>40095</v>
      </c>
      <c r="V4757">
        <f t="shared" si="2203"/>
        <v>9</v>
      </c>
      <c r="W4757">
        <f t="shared" si="2201"/>
        <v>10</v>
      </c>
      <c r="X4757">
        <f t="shared" si="2202"/>
        <v>2009</v>
      </c>
    </row>
    <row r="4758" spans="1:24" ht="12" customHeight="1">
      <c r="A4758" s="4">
        <v>2066</v>
      </c>
      <c r="B4758" s="4">
        <v>14785</v>
      </c>
      <c r="C4758" s="5">
        <f t="shared" si="2211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  <c r="V4758">
        <f t="shared" si="2203"/>
        <v>10</v>
      </c>
      <c r="W4758">
        <f t="shared" si="2201"/>
        <v>10</v>
      </c>
      <c r="X4758">
        <f t="shared" si="2202"/>
        <v>2009</v>
      </c>
    </row>
    <row r="4759" spans="1:24" ht="12" customHeight="1">
      <c r="A4759" s="4">
        <v>2079</v>
      </c>
      <c r="B4759" s="4">
        <v>14855</v>
      </c>
      <c r="C4759" s="5">
        <f t="shared" ref="C4759:C4761" si="2212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2213">C4759+2</f>
        <v>40300</v>
      </c>
      <c r="V4759">
        <f t="shared" si="2203"/>
        <v>2</v>
      </c>
      <c r="W4759">
        <f t="shared" si="2201"/>
        <v>5</v>
      </c>
      <c r="X4759">
        <f t="shared" si="2202"/>
        <v>2010</v>
      </c>
    </row>
    <row r="4760" spans="1:24" ht="12" customHeight="1">
      <c r="A4760" s="4">
        <v>2080</v>
      </c>
      <c r="B4760" s="4">
        <v>14855</v>
      </c>
      <c r="C4760" s="5">
        <f t="shared" si="2212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2213"/>
        <v>40300</v>
      </c>
      <c r="V4760">
        <f t="shared" si="2203"/>
        <v>2</v>
      </c>
      <c r="W4760">
        <f t="shared" si="2201"/>
        <v>5</v>
      </c>
      <c r="X4760">
        <f t="shared" si="2202"/>
        <v>2010</v>
      </c>
    </row>
    <row r="4761" spans="1:24" ht="12" customHeight="1">
      <c r="A4761" s="4">
        <v>2081</v>
      </c>
      <c r="B4761" s="4">
        <v>14855</v>
      </c>
      <c r="C4761" s="5">
        <f t="shared" si="2212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2213"/>
        <v>40300</v>
      </c>
      <c r="V4761">
        <f t="shared" si="2203"/>
        <v>2</v>
      </c>
      <c r="W4761">
        <f t="shared" si="2201"/>
        <v>5</v>
      </c>
      <c r="X4761">
        <f t="shared" si="2202"/>
        <v>2010</v>
      </c>
    </row>
    <row r="4762" spans="1:24" ht="12" customHeight="1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2213"/>
        <v>40412</v>
      </c>
      <c r="V4762">
        <f t="shared" si="2203"/>
        <v>22</v>
      </c>
      <c r="W4762">
        <f t="shared" si="2201"/>
        <v>8</v>
      </c>
      <c r="X4762">
        <f t="shared" si="2202"/>
        <v>2010</v>
      </c>
    </row>
    <row r="4763" spans="1:24" ht="12" customHeight="1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2213"/>
        <v>40378</v>
      </c>
      <c r="V4763">
        <f t="shared" si="2203"/>
        <v>19</v>
      </c>
      <c r="W4763">
        <f t="shared" si="2201"/>
        <v>7</v>
      </c>
      <c r="X4763">
        <f t="shared" si="2202"/>
        <v>2010</v>
      </c>
    </row>
    <row r="4764" spans="1:24" ht="12" customHeight="1">
      <c r="A4764" s="4">
        <v>2718</v>
      </c>
      <c r="B4764" s="4">
        <v>19621</v>
      </c>
      <c r="C4764" s="5">
        <f t="shared" ref="C4764:C4765" si="2214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2215">C4764+1</f>
        <v>40794</v>
      </c>
      <c r="V4764">
        <f t="shared" si="2203"/>
        <v>8</v>
      </c>
      <c r="W4764">
        <f t="shared" si="2201"/>
        <v>9</v>
      </c>
      <c r="X4764">
        <f t="shared" si="2202"/>
        <v>2011</v>
      </c>
    </row>
    <row r="4765" spans="1:24" ht="12" customHeight="1">
      <c r="A4765" s="4">
        <v>2719</v>
      </c>
      <c r="B4765" s="4">
        <v>19621</v>
      </c>
      <c r="C4765" s="5">
        <f t="shared" si="2214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2215"/>
        <v>40794</v>
      </c>
      <c r="V4765">
        <f t="shared" si="2203"/>
        <v>8</v>
      </c>
      <c r="W4765">
        <f t="shared" si="2201"/>
        <v>9</v>
      </c>
      <c r="X4765">
        <f t="shared" si="2202"/>
        <v>2011</v>
      </c>
    </row>
    <row r="4766" spans="1:24" ht="12" customHeight="1">
      <c r="A4766" s="4">
        <v>2771</v>
      </c>
      <c r="B4766" s="4">
        <v>20036</v>
      </c>
      <c r="C4766" s="5">
        <f t="shared" ref="C4766:C4767" si="2216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  <c r="V4766">
        <f t="shared" si="2203"/>
        <v>8</v>
      </c>
      <c r="W4766">
        <f t="shared" si="2201"/>
        <v>12</v>
      </c>
      <c r="X4766">
        <f t="shared" si="2202"/>
        <v>2010</v>
      </c>
    </row>
    <row r="4767" spans="1:24" ht="12" customHeight="1">
      <c r="A4767" s="4">
        <v>2772</v>
      </c>
      <c r="B4767" s="4">
        <v>20036</v>
      </c>
      <c r="C4767" s="5">
        <f t="shared" si="2216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  <c r="V4767">
        <f t="shared" si="2203"/>
        <v>7</v>
      </c>
      <c r="W4767">
        <f t="shared" si="2201"/>
        <v>12</v>
      </c>
      <c r="X4767">
        <f t="shared" si="2202"/>
        <v>2010</v>
      </c>
    </row>
    <row r="4768" spans="1:24" ht="12" customHeight="1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  <c r="V4768">
        <f t="shared" si="2203"/>
        <v>6</v>
      </c>
      <c r="W4768">
        <f t="shared" si="2201"/>
        <v>3</v>
      </c>
      <c r="X4768">
        <f t="shared" si="2202"/>
        <v>2009</v>
      </c>
    </row>
    <row r="4769" spans="1:24" ht="12" customHeight="1">
      <c r="A4769" s="4">
        <v>2909</v>
      </c>
      <c r="B4769" s="4">
        <v>20967</v>
      </c>
      <c r="C4769" s="5">
        <f t="shared" ref="C4769:C4770" si="2217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  <c r="V4769">
        <f t="shared" si="2203"/>
        <v>15</v>
      </c>
      <c r="W4769">
        <f t="shared" si="2201"/>
        <v>3</v>
      </c>
      <c r="X4769">
        <f t="shared" si="2202"/>
        <v>2011</v>
      </c>
    </row>
    <row r="4770" spans="1:24" ht="12" customHeight="1">
      <c r="A4770" s="4">
        <v>2910</v>
      </c>
      <c r="B4770" s="4">
        <v>20967</v>
      </c>
      <c r="C4770" s="5">
        <f t="shared" si="2217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  <c r="V4770">
        <f t="shared" si="2203"/>
        <v>16</v>
      </c>
      <c r="W4770">
        <f t="shared" si="2201"/>
        <v>3</v>
      </c>
      <c r="X4770">
        <f t="shared" si="2202"/>
        <v>2011</v>
      </c>
    </row>
    <row r="4771" spans="1:24" ht="12" customHeight="1">
      <c r="A4771" s="4">
        <v>2974</v>
      </c>
      <c r="B4771" s="4">
        <v>21478</v>
      </c>
      <c r="C4771" s="5">
        <f t="shared" ref="C4771:C4772" si="2218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  <c r="V4771">
        <f t="shared" si="2203"/>
        <v>4</v>
      </c>
      <c r="W4771">
        <f t="shared" si="2201"/>
        <v>3</v>
      </c>
      <c r="X4771">
        <f t="shared" si="2202"/>
        <v>2012</v>
      </c>
    </row>
    <row r="4772" spans="1:24" ht="12" customHeight="1">
      <c r="A4772" s="4">
        <v>2975</v>
      </c>
      <c r="B4772" s="4">
        <v>21478</v>
      </c>
      <c r="C4772" s="5">
        <f t="shared" si="2218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  <c r="V4772">
        <f t="shared" si="2203"/>
        <v>6</v>
      </c>
      <c r="W4772">
        <f t="shared" si="2201"/>
        <v>3</v>
      </c>
      <c r="X4772">
        <f t="shared" si="2202"/>
        <v>2012</v>
      </c>
    </row>
    <row r="4773" spans="1:24" ht="12" customHeight="1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2219">C4773+1</f>
        <v>39900</v>
      </c>
      <c r="V4773">
        <f t="shared" si="2203"/>
        <v>28</v>
      </c>
      <c r="W4773">
        <f t="shared" si="2201"/>
        <v>3</v>
      </c>
      <c r="X4773">
        <f t="shared" si="2202"/>
        <v>2009</v>
      </c>
    </row>
    <row r="4774" spans="1:24" ht="12" customHeight="1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2219"/>
        <v>40473</v>
      </c>
      <c r="V4774">
        <f t="shared" si="2203"/>
        <v>22</v>
      </c>
      <c r="W4774">
        <f t="shared" si="2201"/>
        <v>10</v>
      </c>
      <c r="X4774">
        <f t="shared" si="2202"/>
        <v>2010</v>
      </c>
    </row>
    <row r="4775" spans="1:24" ht="12" customHeight="1">
      <c r="A4775" s="4">
        <v>3184</v>
      </c>
      <c r="B4775" s="4">
        <v>22851</v>
      </c>
      <c r="C4775" s="5">
        <f t="shared" ref="C4775:C4777" si="2220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2219"/>
        <v>39874</v>
      </c>
      <c r="V4775">
        <f t="shared" si="2203"/>
        <v>2</v>
      </c>
      <c r="W4775">
        <f t="shared" si="2201"/>
        <v>3</v>
      </c>
      <c r="X4775">
        <f t="shared" si="2202"/>
        <v>2009</v>
      </c>
    </row>
    <row r="4776" spans="1:24" ht="12" customHeight="1">
      <c r="A4776" s="4">
        <v>3185</v>
      </c>
      <c r="B4776" s="4">
        <v>22851</v>
      </c>
      <c r="C4776" s="5">
        <f t="shared" si="2220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  <c r="V4776">
        <f t="shared" si="2203"/>
        <v>3</v>
      </c>
      <c r="W4776">
        <f t="shared" si="2201"/>
        <v>3</v>
      </c>
      <c r="X4776">
        <f t="shared" si="2202"/>
        <v>2009</v>
      </c>
    </row>
    <row r="4777" spans="1:24" ht="12" customHeight="1">
      <c r="A4777" s="4">
        <v>3186</v>
      </c>
      <c r="B4777" s="4">
        <v>22851</v>
      </c>
      <c r="C4777" s="5">
        <f t="shared" si="2220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2221">C4777+1</f>
        <v>39874</v>
      </c>
      <c r="V4777">
        <f t="shared" si="2203"/>
        <v>2</v>
      </c>
      <c r="W4777">
        <f t="shared" si="2201"/>
        <v>3</v>
      </c>
      <c r="X4777">
        <f t="shared" si="2202"/>
        <v>2009</v>
      </c>
    </row>
    <row r="4778" spans="1:24" ht="12" customHeight="1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2221"/>
        <v>40695</v>
      </c>
      <c r="V4778">
        <f t="shared" si="2203"/>
        <v>1</v>
      </c>
      <c r="W4778">
        <f t="shared" si="2201"/>
        <v>6</v>
      </c>
      <c r="X4778">
        <f t="shared" si="2202"/>
        <v>2011</v>
      </c>
    </row>
    <row r="4779" spans="1:24" ht="12" customHeight="1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2221"/>
        <v>40239</v>
      </c>
      <c r="V4779">
        <f t="shared" si="2203"/>
        <v>2</v>
      </c>
      <c r="W4779">
        <f t="shared" si="2201"/>
        <v>3</v>
      </c>
      <c r="X4779">
        <f t="shared" si="2202"/>
        <v>2010</v>
      </c>
    </row>
    <row r="4780" spans="1:24" ht="12" customHeight="1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  <c r="V4780">
        <f t="shared" si="2203"/>
        <v>2</v>
      </c>
      <c r="W4780">
        <f t="shared" si="2201"/>
        <v>2</v>
      </c>
      <c r="X4780">
        <f t="shared" si="2202"/>
        <v>2010</v>
      </c>
    </row>
    <row r="4781" spans="1:24" ht="12" customHeight="1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2222">C4781+1</f>
        <v>40895</v>
      </c>
      <c r="V4781">
        <f t="shared" si="2203"/>
        <v>18</v>
      </c>
      <c r="W4781">
        <f t="shared" si="2201"/>
        <v>12</v>
      </c>
      <c r="X4781">
        <f t="shared" si="2202"/>
        <v>2011</v>
      </c>
    </row>
    <row r="4782" spans="1:24" ht="12" customHeight="1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2222"/>
        <v>40835</v>
      </c>
      <c r="V4782">
        <f t="shared" si="2203"/>
        <v>19</v>
      </c>
      <c r="W4782">
        <f t="shared" si="2201"/>
        <v>10</v>
      </c>
      <c r="X4782">
        <f t="shared" si="2202"/>
        <v>2011</v>
      </c>
    </row>
    <row r="4783" spans="1:24" ht="12" customHeight="1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  <c r="V4783">
        <f t="shared" si="2203"/>
        <v>7</v>
      </c>
      <c r="W4783">
        <f t="shared" si="2201"/>
        <v>2</v>
      </c>
      <c r="X4783">
        <f t="shared" si="2202"/>
        <v>2011</v>
      </c>
    </row>
    <row r="4784" spans="1:24" ht="12" customHeight="1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  <c r="V4784">
        <f t="shared" si="2203"/>
        <v>1</v>
      </c>
      <c r="W4784">
        <f t="shared" si="2201"/>
        <v>3</v>
      </c>
      <c r="X4784">
        <f t="shared" si="2202"/>
        <v>2010</v>
      </c>
    </row>
    <row r="4785" spans="1:24" ht="12" customHeight="1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  <c r="V4785">
        <f t="shared" si="2203"/>
        <v>30</v>
      </c>
      <c r="W4785">
        <f t="shared" si="2201"/>
        <v>11</v>
      </c>
      <c r="X4785">
        <f t="shared" si="2202"/>
        <v>2012</v>
      </c>
    </row>
    <row r="4786" spans="1:24" ht="12" customHeight="1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  <c r="V4786">
        <f t="shared" si="2203"/>
        <v>14</v>
      </c>
      <c r="W4786">
        <f t="shared" si="2201"/>
        <v>3</v>
      </c>
      <c r="X4786">
        <f t="shared" si="2202"/>
        <v>2010</v>
      </c>
    </row>
    <row r="4787" spans="1:24" ht="12" customHeight="1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2223">C4787+2</f>
        <v>39847</v>
      </c>
      <c r="V4787">
        <f t="shared" si="2203"/>
        <v>3</v>
      </c>
      <c r="W4787">
        <f t="shared" si="2201"/>
        <v>2</v>
      </c>
      <c r="X4787">
        <f t="shared" si="2202"/>
        <v>2009</v>
      </c>
    </row>
    <row r="4788" spans="1:24" ht="12" customHeight="1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2223"/>
        <v>40896</v>
      </c>
      <c r="V4788">
        <f t="shared" si="2203"/>
        <v>19</v>
      </c>
      <c r="W4788">
        <f t="shared" si="2201"/>
        <v>12</v>
      </c>
      <c r="X4788">
        <f t="shared" si="2202"/>
        <v>2011</v>
      </c>
    </row>
    <row r="4789" spans="1:24" ht="12" customHeight="1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  <c r="V4789">
        <f t="shared" si="2203"/>
        <v>11</v>
      </c>
      <c r="W4789">
        <f t="shared" si="2201"/>
        <v>10</v>
      </c>
      <c r="X4789">
        <f t="shared" si="2202"/>
        <v>2009</v>
      </c>
    </row>
    <row r="4790" spans="1:24" ht="12" customHeight="1">
      <c r="A4790" s="4">
        <v>4280</v>
      </c>
      <c r="B4790" s="4">
        <v>30497</v>
      </c>
      <c r="C4790" s="5">
        <f t="shared" ref="C4790:C4791" si="2224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225">C4790+2</f>
        <v>40582</v>
      </c>
      <c r="V4790">
        <f t="shared" si="2203"/>
        <v>8</v>
      </c>
      <c r="W4790">
        <f t="shared" si="2201"/>
        <v>2</v>
      </c>
      <c r="X4790">
        <f t="shared" si="2202"/>
        <v>2011</v>
      </c>
    </row>
    <row r="4791" spans="1:24" ht="12" customHeight="1">
      <c r="A4791" s="4">
        <v>4281</v>
      </c>
      <c r="B4791" s="4">
        <v>30497</v>
      </c>
      <c r="C4791" s="5">
        <f t="shared" si="2224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225"/>
        <v>40582</v>
      </c>
      <c r="V4791">
        <f t="shared" si="2203"/>
        <v>8</v>
      </c>
      <c r="W4791">
        <f t="shared" si="2201"/>
        <v>2</v>
      </c>
      <c r="X4791">
        <f t="shared" si="2202"/>
        <v>2011</v>
      </c>
    </row>
    <row r="4792" spans="1:24" ht="12" customHeight="1">
      <c r="A4792" s="4">
        <v>4343</v>
      </c>
      <c r="B4792" s="4">
        <v>30917</v>
      </c>
      <c r="C4792" s="5">
        <f t="shared" ref="C4792:C4793" si="2226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225"/>
        <v>40485</v>
      </c>
      <c r="V4792">
        <f t="shared" si="2203"/>
        <v>3</v>
      </c>
      <c r="W4792">
        <f t="shared" si="2201"/>
        <v>11</v>
      </c>
      <c r="X4792">
        <f t="shared" si="2202"/>
        <v>2010</v>
      </c>
    </row>
    <row r="4793" spans="1:24" ht="12" customHeight="1">
      <c r="A4793" s="4">
        <v>4344</v>
      </c>
      <c r="B4793" s="4">
        <v>30917</v>
      </c>
      <c r="C4793" s="5">
        <f t="shared" si="2226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  <c r="V4793">
        <f t="shared" si="2203"/>
        <v>5</v>
      </c>
      <c r="W4793">
        <f t="shared" si="2201"/>
        <v>11</v>
      </c>
      <c r="X4793">
        <f t="shared" si="2202"/>
        <v>2010</v>
      </c>
    </row>
    <row r="4794" spans="1:24" ht="12" customHeight="1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  <c r="V4794">
        <f t="shared" si="2203"/>
        <v>8</v>
      </c>
      <c r="W4794">
        <f t="shared" si="2201"/>
        <v>11</v>
      </c>
      <c r="X4794">
        <f t="shared" si="2202"/>
        <v>2012</v>
      </c>
    </row>
    <row r="4795" spans="1:24" ht="12" customHeight="1">
      <c r="A4795" s="4">
        <v>4456</v>
      </c>
      <c r="B4795" s="4">
        <v>31777</v>
      </c>
      <c r="C4795" s="5">
        <f t="shared" ref="C4795:C4796" si="2227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  <c r="V4795">
        <f t="shared" si="2203"/>
        <v>21</v>
      </c>
      <c r="W4795">
        <f t="shared" si="2201"/>
        <v>10</v>
      </c>
      <c r="X4795">
        <f t="shared" si="2202"/>
        <v>2011</v>
      </c>
    </row>
    <row r="4796" spans="1:24" ht="12" customHeight="1">
      <c r="A4796" s="4">
        <v>4457</v>
      </c>
      <c r="B4796" s="4">
        <v>31777</v>
      </c>
      <c r="C4796" s="5">
        <f t="shared" si="2227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  <c r="V4796">
        <f t="shared" si="2203"/>
        <v>19</v>
      </c>
      <c r="W4796">
        <f t="shared" si="2201"/>
        <v>10</v>
      </c>
      <c r="X4796">
        <f t="shared" si="2202"/>
        <v>2011</v>
      </c>
    </row>
    <row r="4797" spans="1:24" ht="12" customHeight="1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228">C4797+1</f>
        <v>40134</v>
      </c>
      <c r="V4797">
        <f t="shared" si="2203"/>
        <v>17</v>
      </c>
      <c r="W4797">
        <f t="shared" si="2201"/>
        <v>11</v>
      </c>
      <c r="X4797">
        <f t="shared" si="2202"/>
        <v>2009</v>
      </c>
    </row>
    <row r="4798" spans="1:24" ht="12" customHeight="1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228"/>
        <v>40229</v>
      </c>
      <c r="V4798">
        <f t="shared" si="2203"/>
        <v>20</v>
      </c>
      <c r="W4798">
        <f t="shared" si="2201"/>
        <v>2</v>
      </c>
      <c r="X4798">
        <f t="shared" si="2202"/>
        <v>2010</v>
      </c>
    </row>
    <row r="4799" spans="1:24" ht="12" customHeight="1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229">C4799+2</f>
        <v>40852</v>
      </c>
      <c r="V4799">
        <f t="shared" si="2203"/>
        <v>5</v>
      </c>
      <c r="W4799">
        <f t="shared" si="2201"/>
        <v>11</v>
      </c>
      <c r="X4799">
        <f t="shared" si="2202"/>
        <v>2011</v>
      </c>
    </row>
    <row r="4800" spans="1:24" ht="12" customHeight="1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229"/>
        <v>41004</v>
      </c>
      <c r="V4800">
        <f t="shared" si="2203"/>
        <v>5</v>
      </c>
      <c r="W4800">
        <f t="shared" si="2201"/>
        <v>4</v>
      </c>
      <c r="X4800">
        <f t="shared" si="2202"/>
        <v>2012</v>
      </c>
    </row>
    <row r="4801" spans="1:24" ht="12" customHeight="1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  <c r="V4801">
        <f t="shared" si="2203"/>
        <v>3</v>
      </c>
      <c r="W4801">
        <f t="shared" si="2201"/>
        <v>9</v>
      </c>
      <c r="X4801">
        <f t="shared" si="2202"/>
        <v>2011</v>
      </c>
    </row>
    <row r="4802" spans="1:24" ht="12" customHeight="1">
      <c r="A4802" s="4">
        <v>4939</v>
      </c>
      <c r="B4802" s="4">
        <v>35137</v>
      </c>
      <c r="C4802" s="5">
        <f t="shared" ref="C4802:C4803" si="2230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  <c r="V4802">
        <f t="shared" si="2203"/>
        <v>19</v>
      </c>
      <c r="W4802">
        <f t="shared" si="2201"/>
        <v>7</v>
      </c>
      <c r="X4802">
        <f t="shared" si="2202"/>
        <v>2010</v>
      </c>
    </row>
    <row r="4803" spans="1:24" ht="12" customHeight="1">
      <c r="A4803" s="4">
        <v>4940</v>
      </c>
      <c r="B4803" s="4">
        <v>35137</v>
      </c>
      <c r="C4803" s="5">
        <f t="shared" si="2230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  <c r="V4803">
        <f t="shared" si="2203"/>
        <v>20</v>
      </c>
      <c r="W4803">
        <f t="shared" ref="W4803:W4866" si="2231">MONTH(U4803)</f>
        <v>7</v>
      </c>
      <c r="X4803">
        <f t="shared" ref="X4803:X4866" si="2232">YEAR(U4803)</f>
        <v>2010</v>
      </c>
    </row>
    <row r="4804" spans="1:24" ht="12" customHeight="1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  <c r="V4804">
        <f t="shared" ref="V4804:V4867" si="2233">DAY(U4804)</f>
        <v>17</v>
      </c>
      <c r="W4804">
        <f t="shared" si="2231"/>
        <v>4</v>
      </c>
      <c r="X4804">
        <f t="shared" si="2232"/>
        <v>2009</v>
      </c>
    </row>
    <row r="4805" spans="1:24" ht="12" customHeight="1">
      <c r="A4805" s="4">
        <v>5232</v>
      </c>
      <c r="B4805" s="4">
        <v>37252</v>
      </c>
      <c r="C4805" s="5">
        <f t="shared" ref="C4805:C4808" si="2234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  <c r="V4805">
        <f t="shared" si="2233"/>
        <v>21</v>
      </c>
      <c r="W4805">
        <f t="shared" si="2231"/>
        <v>11</v>
      </c>
      <c r="X4805">
        <f t="shared" si="2232"/>
        <v>2011</v>
      </c>
    </row>
    <row r="4806" spans="1:24" ht="12" customHeight="1">
      <c r="A4806" s="4">
        <v>5233</v>
      </c>
      <c r="B4806" s="4">
        <v>37252</v>
      </c>
      <c r="C4806" s="5">
        <f t="shared" si="2234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  <c r="V4806">
        <f t="shared" si="2233"/>
        <v>23</v>
      </c>
      <c r="W4806">
        <f t="shared" si="2231"/>
        <v>11</v>
      </c>
      <c r="X4806">
        <f t="shared" si="2232"/>
        <v>2011</v>
      </c>
    </row>
    <row r="4807" spans="1:24" ht="12" customHeight="1">
      <c r="A4807" s="4">
        <v>5234</v>
      </c>
      <c r="B4807" s="4">
        <v>37252</v>
      </c>
      <c r="C4807" s="5">
        <f t="shared" si="2234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  <c r="V4807">
        <f t="shared" si="2233"/>
        <v>21</v>
      </c>
      <c r="W4807">
        <f t="shared" si="2231"/>
        <v>11</v>
      </c>
      <c r="X4807">
        <f t="shared" si="2232"/>
        <v>2011</v>
      </c>
    </row>
    <row r="4808" spans="1:24" ht="12" customHeight="1">
      <c r="A4808" s="4">
        <v>5235</v>
      </c>
      <c r="B4808" s="4">
        <v>37252</v>
      </c>
      <c r="C4808" s="5">
        <f t="shared" si="2234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  <c r="V4808">
        <f t="shared" si="2233"/>
        <v>24</v>
      </c>
      <c r="W4808">
        <f t="shared" si="2231"/>
        <v>11</v>
      </c>
      <c r="X4808">
        <f t="shared" si="2232"/>
        <v>2011</v>
      </c>
    </row>
    <row r="4809" spans="1:24" ht="12" customHeight="1">
      <c r="A4809" s="4">
        <v>5496</v>
      </c>
      <c r="B4809" s="4">
        <v>38979</v>
      </c>
      <c r="C4809" s="5">
        <f t="shared" ref="C4809:C4811" si="2235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  <c r="V4809">
        <f t="shared" si="2233"/>
        <v>26</v>
      </c>
      <c r="W4809">
        <f t="shared" si="2231"/>
        <v>2</v>
      </c>
      <c r="X4809">
        <f t="shared" si="2232"/>
        <v>2010</v>
      </c>
    </row>
    <row r="4810" spans="1:24" ht="12" customHeight="1">
      <c r="A4810" s="4">
        <v>5497</v>
      </c>
      <c r="B4810" s="4">
        <v>38979</v>
      </c>
      <c r="C4810" s="5">
        <f t="shared" si="2235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236">C4810+5</f>
        <v>40240</v>
      </c>
      <c r="V4810">
        <f t="shared" si="2233"/>
        <v>3</v>
      </c>
      <c r="W4810">
        <f t="shared" si="2231"/>
        <v>3</v>
      </c>
      <c r="X4810">
        <f t="shared" si="2232"/>
        <v>2010</v>
      </c>
    </row>
    <row r="4811" spans="1:24" ht="12" customHeight="1">
      <c r="A4811" s="4">
        <v>5498</v>
      </c>
      <c r="B4811" s="4">
        <v>38979</v>
      </c>
      <c r="C4811" s="5">
        <f t="shared" si="2235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236"/>
        <v>40240</v>
      </c>
      <c r="V4811">
        <f t="shared" si="2233"/>
        <v>3</v>
      </c>
      <c r="W4811">
        <f t="shared" si="2231"/>
        <v>3</v>
      </c>
      <c r="X4811">
        <f t="shared" si="2232"/>
        <v>2010</v>
      </c>
    </row>
    <row r="4812" spans="1:24" ht="12" customHeight="1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  <c r="V4812">
        <f t="shared" si="2233"/>
        <v>8</v>
      </c>
      <c r="W4812">
        <f t="shared" si="2231"/>
        <v>1</v>
      </c>
      <c r="X4812">
        <f t="shared" si="2232"/>
        <v>2012</v>
      </c>
    </row>
    <row r="4813" spans="1:24" ht="12" customHeight="1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  <c r="V4813">
        <f t="shared" si="2233"/>
        <v>5</v>
      </c>
      <c r="W4813">
        <f t="shared" si="2231"/>
        <v>2</v>
      </c>
      <c r="X4813">
        <f t="shared" si="2232"/>
        <v>2009</v>
      </c>
    </row>
    <row r="4814" spans="1:24" ht="12" customHeight="1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  <c r="V4814">
        <f t="shared" si="2233"/>
        <v>27</v>
      </c>
      <c r="W4814">
        <f t="shared" si="2231"/>
        <v>9</v>
      </c>
      <c r="X4814">
        <f t="shared" si="2232"/>
        <v>2009</v>
      </c>
    </row>
    <row r="4815" spans="1:24" ht="12" customHeight="1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  <c r="V4815">
        <f t="shared" si="2233"/>
        <v>29</v>
      </c>
      <c r="W4815">
        <f t="shared" si="2231"/>
        <v>9</v>
      </c>
      <c r="X4815">
        <f t="shared" si="2232"/>
        <v>2010</v>
      </c>
    </row>
    <row r="4816" spans="1:24" ht="12" customHeight="1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  <c r="V4816">
        <f t="shared" si="2233"/>
        <v>27</v>
      </c>
      <c r="W4816">
        <f t="shared" si="2231"/>
        <v>6</v>
      </c>
      <c r="X4816">
        <f t="shared" si="2232"/>
        <v>2010</v>
      </c>
    </row>
    <row r="4817" spans="1:24" ht="12" customHeight="1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  <c r="V4817">
        <f t="shared" si="2233"/>
        <v>25</v>
      </c>
      <c r="W4817">
        <f t="shared" si="2231"/>
        <v>4</v>
      </c>
      <c r="X4817">
        <f t="shared" si="2232"/>
        <v>2011</v>
      </c>
    </row>
    <row r="4818" spans="1:24" ht="12" customHeight="1">
      <c r="A4818" s="4">
        <v>6212</v>
      </c>
      <c r="B4818" s="4">
        <v>44002</v>
      </c>
      <c r="C4818" s="5">
        <f t="shared" ref="C4818:C4819" si="2237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  <c r="V4818">
        <f t="shared" si="2233"/>
        <v>9</v>
      </c>
      <c r="W4818">
        <f t="shared" si="2231"/>
        <v>2</v>
      </c>
      <c r="X4818">
        <f t="shared" si="2232"/>
        <v>2009</v>
      </c>
    </row>
    <row r="4819" spans="1:24" ht="12" customHeight="1">
      <c r="A4819" s="4">
        <v>6213</v>
      </c>
      <c r="B4819" s="4">
        <v>44002</v>
      </c>
      <c r="C4819" s="5">
        <f t="shared" si="2237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  <c r="V4819">
        <f t="shared" si="2233"/>
        <v>7</v>
      </c>
      <c r="W4819">
        <f t="shared" si="2231"/>
        <v>2</v>
      </c>
      <c r="X4819">
        <f t="shared" si="2232"/>
        <v>2009</v>
      </c>
    </row>
    <row r="4820" spans="1:24" ht="12" customHeight="1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238">C4820+2</f>
        <v>40049</v>
      </c>
      <c r="V4820">
        <f t="shared" si="2233"/>
        <v>24</v>
      </c>
      <c r="W4820">
        <f t="shared" si="2231"/>
        <v>8</v>
      </c>
      <c r="X4820">
        <f t="shared" si="2232"/>
        <v>2009</v>
      </c>
    </row>
    <row r="4821" spans="1:24" ht="12" customHeight="1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238"/>
        <v>40513</v>
      </c>
      <c r="V4821">
        <f t="shared" si="2233"/>
        <v>1</v>
      </c>
      <c r="W4821">
        <f t="shared" si="2231"/>
        <v>12</v>
      </c>
      <c r="X4821">
        <f t="shared" si="2232"/>
        <v>2010</v>
      </c>
    </row>
    <row r="4822" spans="1:24" ht="12" customHeight="1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238"/>
        <v>40668</v>
      </c>
      <c r="V4822">
        <f t="shared" si="2233"/>
        <v>5</v>
      </c>
      <c r="W4822">
        <f t="shared" si="2231"/>
        <v>5</v>
      </c>
      <c r="X4822">
        <f t="shared" si="2232"/>
        <v>2011</v>
      </c>
    </row>
    <row r="4823" spans="1:24" ht="12" customHeight="1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238"/>
        <v>41064</v>
      </c>
      <c r="V4823">
        <f t="shared" si="2233"/>
        <v>4</v>
      </c>
      <c r="W4823">
        <f t="shared" si="2231"/>
        <v>6</v>
      </c>
      <c r="X4823">
        <f t="shared" si="2232"/>
        <v>2012</v>
      </c>
    </row>
    <row r="4824" spans="1:24" ht="12" customHeight="1">
      <c r="A4824" s="4">
        <v>6556</v>
      </c>
      <c r="B4824" s="4">
        <v>46624</v>
      </c>
      <c r="C4824" s="5">
        <f t="shared" ref="C4824:C4825" si="2239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  <c r="V4824">
        <f t="shared" si="2233"/>
        <v>27</v>
      </c>
      <c r="W4824">
        <f t="shared" si="2231"/>
        <v>4</v>
      </c>
      <c r="X4824">
        <f t="shared" si="2232"/>
        <v>2010</v>
      </c>
    </row>
    <row r="4825" spans="1:24" ht="12" customHeight="1">
      <c r="A4825" s="4">
        <v>6557</v>
      </c>
      <c r="B4825" s="4">
        <v>46624</v>
      </c>
      <c r="C4825" s="5">
        <f t="shared" si="2239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240">C4825+2</f>
        <v>40296</v>
      </c>
      <c r="V4825">
        <f t="shared" si="2233"/>
        <v>28</v>
      </c>
      <c r="W4825">
        <f t="shared" si="2231"/>
        <v>4</v>
      </c>
      <c r="X4825">
        <f t="shared" si="2232"/>
        <v>2010</v>
      </c>
    </row>
    <row r="4826" spans="1:24" ht="12" customHeight="1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240"/>
        <v>40895</v>
      </c>
      <c r="V4826">
        <f t="shared" si="2233"/>
        <v>18</v>
      </c>
      <c r="W4826">
        <f t="shared" si="2231"/>
        <v>12</v>
      </c>
      <c r="X4826">
        <f t="shared" si="2232"/>
        <v>2011</v>
      </c>
    </row>
    <row r="4827" spans="1:24" ht="12" customHeight="1">
      <c r="A4827" s="4">
        <v>6674</v>
      </c>
      <c r="B4827" s="4">
        <v>47494</v>
      </c>
      <c r="C4827" s="5">
        <f t="shared" ref="C4827:C4828" si="2241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  <c r="V4827">
        <f t="shared" si="2233"/>
        <v>2</v>
      </c>
      <c r="W4827">
        <f t="shared" si="2231"/>
        <v>7</v>
      </c>
      <c r="X4827">
        <f t="shared" si="2232"/>
        <v>2009</v>
      </c>
    </row>
    <row r="4828" spans="1:24" ht="12" customHeight="1">
      <c r="A4828" s="4">
        <v>6675</v>
      </c>
      <c r="B4828" s="4">
        <v>47494</v>
      </c>
      <c r="C4828" s="5">
        <f t="shared" si="2241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  <c r="V4828">
        <f t="shared" si="2233"/>
        <v>1</v>
      </c>
      <c r="W4828">
        <f t="shared" si="2231"/>
        <v>7</v>
      </c>
      <c r="X4828">
        <f t="shared" si="2232"/>
        <v>2009</v>
      </c>
    </row>
    <row r="4829" spans="1:24" ht="12" customHeight="1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  <c r="V4829">
        <f t="shared" si="2233"/>
        <v>13</v>
      </c>
      <c r="W4829">
        <f t="shared" si="2231"/>
        <v>9</v>
      </c>
      <c r="X4829">
        <f t="shared" si="2232"/>
        <v>2012</v>
      </c>
    </row>
    <row r="4830" spans="1:24" ht="12" customHeight="1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  <c r="V4830">
        <f t="shared" si="2233"/>
        <v>1</v>
      </c>
      <c r="W4830">
        <f t="shared" si="2231"/>
        <v>7</v>
      </c>
      <c r="X4830">
        <f t="shared" si="2232"/>
        <v>2009</v>
      </c>
    </row>
    <row r="4831" spans="1:24" ht="12" customHeight="1">
      <c r="A4831" s="4">
        <v>6744</v>
      </c>
      <c r="B4831" s="4">
        <v>48032</v>
      </c>
      <c r="C4831" s="5">
        <f t="shared" ref="C4831:C4832" si="2242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243">C4831+1</f>
        <v>40417</v>
      </c>
      <c r="V4831">
        <f t="shared" si="2233"/>
        <v>27</v>
      </c>
      <c r="W4831">
        <f t="shared" si="2231"/>
        <v>8</v>
      </c>
      <c r="X4831">
        <f t="shared" si="2232"/>
        <v>2010</v>
      </c>
    </row>
    <row r="4832" spans="1:24" ht="12" customHeight="1">
      <c r="A4832" s="4">
        <v>6745</v>
      </c>
      <c r="B4832" s="4">
        <v>48032</v>
      </c>
      <c r="C4832" s="5">
        <f t="shared" si="2242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243"/>
        <v>40417</v>
      </c>
      <c r="V4832">
        <f t="shared" si="2233"/>
        <v>27</v>
      </c>
      <c r="W4832">
        <f t="shared" si="2231"/>
        <v>8</v>
      </c>
      <c r="X4832">
        <f t="shared" si="2232"/>
        <v>2010</v>
      </c>
    </row>
    <row r="4833" spans="1:24" ht="12" customHeight="1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  <c r="V4833">
        <f t="shared" si="2233"/>
        <v>18</v>
      </c>
      <c r="W4833">
        <f t="shared" si="2231"/>
        <v>4</v>
      </c>
      <c r="X4833">
        <f t="shared" si="2232"/>
        <v>2012</v>
      </c>
    </row>
    <row r="4834" spans="1:24" ht="12" customHeight="1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  <c r="V4834">
        <f t="shared" si="2233"/>
        <v>17</v>
      </c>
      <c r="W4834">
        <f t="shared" si="2231"/>
        <v>1</v>
      </c>
      <c r="X4834">
        <f t="shared" si="2232"/>
        <v>2009</v>
      </c>
    </row>
    <row r="4835" spans="1:24" ht="12" customHeight="1">
      <c r="A4835" s="4">
        <v>6970</v>
      </c>
      <c r="B4835" s="4">
        <v>49799</v>
      </c>
      <c r="C4835" s="5">
        <f t="shared" ref="C4835:C4836" si="2244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  <c r="V4835">
        <f t="shared" si="2233"/>
        <v>26</v>
      </c>
      <c r="W4835">
        <f t="shared" si="2231"/>
        <v>8</v>
      </c>
      <c r="X4835">
        <f t="shared" si="2232"/>
        <v>2009</v>
      </c>
    </row>
    <row r="4836" spans="1:24" ht="12" customHeight="1">
      <c r="A4836" s="4">
        <v>6971</v>
      </c>
      <c r="B4836" s="4">
        <v>49799</v>
      </c>
      <c r="C4836" s="5">
        <f t="shared" si="2244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245">C4836+1</f>
        <v>40050</v>
      </c>
      <c r="V4836">
        <f t="shared" si="2233"/>
        <v>25</v>
      </c>
      <c r="W4836">
        <f t="shared" si="2231"/>
        <v>8</v>
      </c>
      <c r="X4836">
        <f t="shared" si="2232"/>
        <v>2009</v>
      </c>
    </row>
    <row r="4837" spans="1:24" ht="12" customHeight="1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245"/>
        <v>40786</v>
      </c>
      <c r="V4837">
        <f t="shared" si="2233"/>
        <v>31</v>
      </c>
      <c r="W4837">
        <f t="shared" si="2231"/>
        <v>8</v>
      </c>
      <c r="X4837">
        <f t="shared" si="2232"/>
        <v>2011</v>
      </c>
    </row>
    <row r="4838" spans="1:24" ht="12" customHeight="1">
      <c r="A4838" s="4">
        <v>7014</v>
      </c>
      <c r="B4838" s="4">
        <v>50054</v>
      </c>
      <c r="C4838" s="5">
        <f t="shared" ref="C4838:C4839" si="2246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247">C4838+2</f>
        <v>40429</v>
      </c>
      <c r="V4838">
        <f t="shared" si="2233"/>
        <v>8</v>
      </c>
      <c r="W4838">
        <f t="shared" si="2231"/>
        <v>9</v>
      </c>
      <c r="X4838">
        <f t="shared" si="2232"/>
        <v>2010</v>
      </c>
    </row>
    <row r="4839" spans="1:24" ht="12" customHeight="1">
      <c r="A4839" s="4">
        <v>7015</v>
      </c>
      <c r="B4839" s="4">
        <v>50054</v>
      </c>
      <c r="C4839" s="5">
        <f t="shared" si="2246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247"/>
        <v>40429</v>
      </c>
      <c r="V4839">
        <f t="shared" si="2233"/>
        <v>8</v>
      </c>
      <c r="W4839">
        <f t="shared" si="2231"/>
        <v>9</v>
      </c>
      <c r="X4839">
        <f t="shared" si="2232"/>
        <v>2010</v>
      </c>
    </row>
    <row r="4840" spans="1:24" ht="12" customHeight="1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  <c r="V4840">
        <f t="shared" si="2233"/>
        <v>7</v>
      </c>
      <c r="W4840">
        <f t="shared" si="2231"/>
        <v>11</v>
      </c>
      <c r="X4840">
        <f t="shared" si="2232"/>
        <v>2012</v>
      </c>
    </row>
    <row r="4841" spans="1:24" ht="12" customHeight="1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248">C4841+2</f>
        <v>40854</v>
      </c>
      <c r="V4841">
        <f t="shared" si="2233"/>
        <v>7</v>
      </c>
      <c r="W4841">
        <f t="shared" si="2231"/>
        <v>11</v>
      </c>
      <c r="X4841">
        <f t="shared" si="2232"/>
        <v>2011</v>
      </c>
    </row>
    <row r="4842" spans="1:24" ht="12" customHeight="1">
      <c r="A4842" s="4">
        <v>7698</v>
      </c>
      <c r="B4842" s="4">
        <v>55200</v>
      </c>
      <c r="C4842" s="5">
        <f t="shared" ref="C4842:C4843" si="2249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248"/>
        <v>40420</v>
      </c>
      <c r="V4842">
        <f t="shared" si="2233"/>
        <v>30</v>
      </c>
      <c r="W4842">
        <f t="shared" si="2231"/>
        <v>8</v>
      </c>
      <c r="X4842">
        <f t="shared" si="2232"/>
        <v>2010</v>
      </c>
    </row>
    <row r="4843" spans="1:24" ht="12" customHeight="1">
      <c r="A4843" s="4">
        <v>7699</v>
      </c>
      <c r="B4843" s="4">
        <v>55200</v>
      </c>
      <c r="C4843" s="5">
        <f t="shared" si="2249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248"/>
        <v>40420</v>
      </c>
      <c r="V4843">
        <f t="shared" si="2233"/>
        <v>30</v>
      </c>
      <c r="W4843">
        <f t="shared" si="2231"/>
        <v>8</v>
      </c>
      <c r="X4843">
        <f t="shared" si="2232"/>
        <v>2010</v>
      </c>
    </row>
    <row r="4844" spans="1:24" ht="12" customHeight="1">
      <c r="A4844" s="4">
        <v>7799</v>
      </c>
      <c r="B4844" s="4">
        <v>55808</v>
      </c>
      <c r="C4844" s="5">
        <f t="shared" ref="C4844:C4845" si="2250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248"/>
        <v>40590</v>
      </c>
      <c r="V4844">
        <f t="shared" si="2233"/>
        <v>16</v>
      </c>
      <c r="W4844">
        <f t="shared" si="2231"/>
        <v>2</v>
      </c>
      <c r="X4844">
        <f t="shared" si="2232"/>
        <v>2011</v>
      </c>
    </row>
    <row r="4845" spans="1:24" ht="12" customHeight="1">
      <c r="A4845" s="4">
        <v>7800</v>
      </c>
      <c r="B4845" s="4">
        <v>55808</v>
      </c>
      <c r="C4845" s="5">
        <f t="shared" si="2250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248"/>
        <v>40590</v>
      </c>
      <c r="V4845">
        <f t="shared" si="2233"/>
        <v>16</v>
      </c>
      <c r="W4845">
        <f t="shared" si="2231"/>
        <v>2</v>
      </c>
      <c r="X4845">
        <f t="shared" si="2232"/>
        <v>2011</v>
      </c>
    </row>
    <row r="4846" spans="1:24" ht="12" customHeight="1">
      <c r="A4846" s="4">
        <v>7823</v>
      </c>
      <c r="B4846" s="4">
        <v>55937</v>
      </c>
      <c r="C4846" s="5">
        <f t="shared" ref="C4846:C4847" si="2251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248"/>
        <v>39841</v>
      </c>
      <c r="V4846">
        <f t="shared" si="2233"/>
        <v>28</v>
      </c>
      <c r="W4846">
        <f t="shared" si="2231"/>
        <v>1</v>
      </c>
      <c r="X4846">
        <f t="shared" si="2232"/>
        <v>2009</v>
      </c>
    </row>
    <row r="4847" spans="1:24" ht="12" customHeight="1">
      <c r="A4847" s="4">
        <v>7824</v>
      </c>
      <c r="B4847" s="4">
        <v>55937</v>
      </c>
      <c r="C4847" s="5">
        <f t="shared" si="2251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248"/>
        <v>39841</v>
      </c>
      <c r="V4847">
        <f t="shared" si="2233"/>
        <v>28</v>
      </c>
      <c r="W4847">
        <f t="shared" si="2231"/>
        <v>1</v>
      </c>
      <c r="X4847">
        <f t="shared" si="2232"/>
        <v>2009</v>
      </c>
    </row>
    <row r="4848" spans="1:24" ht="12" customHeight="1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248"/>
        <v>41015</v>
      </c>
      <c r="V4848">
        <f t="shared" si="2233"/>
        <v>16</v>
      </c>
      <c r="W4848">
        <f t="shared" si="2231"/>
        <v>4</v>
      </c>
      <c r="X4848">
        <f t="shared" si="2232"/>
        <v>2012</v>
      </c>
    </row>
    <row r="4849" spans="1:24" ht="12" customHeight="1">
      <c r="A4849" s="4">
        <v>8050</v>
      </c>
      <c r="B4849" s="4">
        <v>57477</v>
      </c>
      <c r="C4849" s="5">
        <f t="shared" ref="C4849:C4850" si="2252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248"/>
        <v>40449</v>
      </c>
      <c r="V4849">
        <f t="shared" si="2233"/>
        <v>28</v>
      </c>
      <c r="W4849">
        <f t="shared" si="2231"/>
        <v>9</v>
      </c>
      <c r="X4849">
        <f t="shared" si="2232"/>
        <v>2010</v>
      </c>
    </row>
    <row r="4850" spans="1:24" ht="12" customHeight="1">
      <c r="A4850" s="4">
        <v>8051</v>
      </c>
      <c r="B4850" s="4">
        <v>57477</v>
      </c>
      <c r="C4850" s="5">
        <f t="shared" si="2252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  <c r="V4850">
        <f t="shared" si="2233"/>
        <v>27</v>
      </c>
      <c r="W4850">
        <f t="shared" si="2231"/>
        <v>9</v>
      </c>
      <c r="X4850">
        <f t="shared" si="2232"/>
        <v>2010</v>
      </c>
    </row>
    <row r="4851" spans="1:24" ht="12" customHeight="1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  <c r="V4851">
        <f t="shared" si="2233"/>
        <v>22</v>
      </c>
      <c r="W4851">
        <f t="shared" si="2231"/>
        <v>7</v>
      </c>
      <c r="X4851">
        <f t="shared" si="2232"/>
        <v>2011</v>
      </c>
    </row>
    <row r="4852" spans="1:24" ht="12" customHeight="1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  <c r="V4852">
        <f t="shared" si="2233"/>
        <v>1</v>
      </c>
      <c r="W4852">
        <f t="shared" si="2231"/>
        <v>3</v>
      </c>
      <c r="X4852">
        <f t="shared" si="2232"/>
        <v>2012</v>
      </c>
    </row>
    <row r="4853" spans="1:24" ht="12" customHeight="1">
      <c r="A4853" s="4">
        <v>8393</v>
      </c>
      <c r="B4853" s="4">
        <v>59969</v>
      </c>
      <c r="C4853" s="5">
        <f t="shared" ref="C4853:C4854" si="2253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  <c r="V4853">
        <f t="shared" si="2233"/>
        <v>13</v>
      </c>
      <c r="W4853">
        <f t="shared" si="2231"/>
        <v>1</v>
      </c>
      <c r="X4853">
        <f t="shared" si="2232"/>
        <v>2012</v>
      </c>
    </row>
    <row r="4854" spans="1:24" ht="12" customHeight="1">
      <c r="A4854" s="4">
        <v>8394</v>
      </c>
      <c r="B4854" s="4">
        <v>59969</v>
      </c>
      <c r="C4854" s="5">
        <f t="shared" si="2253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  <c r="V4854">
        <f t="shared" si="2233"/>
        <v>12</v>
      </c>
      <c r="W4854">
        <f t="shared" si="2231"/>
        <v>1</v>
      </c>
      <c r="X4854">
        <f t="shared" si="2232"/>
        <v>2012</v>
      </c>
    </row>
    <row r="4855" spans="1:24" ht="12" customHeight="1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254">C4855+2</f>
        <v>40799</v>
      </c>
      <c r="V4855">
        <f t="shared" si="2233"/>
        <v>13</v>
      </c>
      <c r="W4855">
        <f t="shared" si="2231"/>
        <v>9</v>
      </c>
      <c r="X4855">
        <f t="shared" si="2232"/>
        <v>2011</v>
      </c>
    </row>
    <row r="4856" spans="1:24" ht="12" customHeight="1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254"/>
        <v>40641</v>
      </c>
      <c r="V4856">
        <f t="shared" si="2233"/>
        <v>8</v>
      </c>
      <c r="W4856">
        <f t="shared" si="2231"/>
        <v>4</v>
      </c>
      <c r="X4856">
        <f t="shared" si="2232"/>
        <v>2011</v>
      </c>
    </row>
    <row r="4857" spans="1:24" ht="12" customHeight="1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254"/>
        <v>40086</v>
      </c>
      <c r="V4857">
        <f t="shared" si="2233"/>
        <v>30</v>
      </c>
      <c r="W4857">
        <f t="shared" si="2231"/>
        <v>9</v>
      </c>
      <c r="X4857">
        <f t="shared" si="2232"/>
        <v>2009</v>
      </c>
    </row>
    <row r="4858" spans="1:24" ht="12" customHeight="1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  <c r="V4858">
        <f t="shared" si="2233"/>
        <v>18</v>
      </c>
      <c r="W4858">
        <f t="shared" si="2231"/>
        <v>8</v>
      </c>
      <c r="X4858">
        <f t="shared" si="2232"/>
        <v>2012</v>
      </c>
    </row>
    <row r="4859" spans="1:24" ht="12" customHeight="1">
      <c r="A4859" s="4">
        <v>109</v>
      </c>
      <c r="B4859" s="4">
        <v>710</v>
      </c>
      <c r="C4859" s="5">
        <f t="shared" ref="C4859:C4861" si="2255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  <c r="V4859">
        <f t="shared" si="2233"/>
        <v>5</v>
      </c>
      <c r="W4859">
        <f t="shared" si="2231"/>
        <v>1</v>
      </c>
      <c r="X4859">
        <f t="shared" si="2232"/>
        <v>2010</v>
      </c>
    </row>
    <row r="4860" spans="1:24" ht="12" customHeight="1">
      <c r="A4860" s="4">
        <v>110</v>
      </c>
      <c r="B4860" s="4">
        <v>710</v>
      </c>
      <c r="C4860" s="5">
        <f t="shared" si="2255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  <c r="V4860">
        <f t="shared" si="2233"/>
        <v>3</v>
      </c>
      <c r="W4860">
        <f t="shared" si="2231"/>
        <v>1</v>
      </c>
      <c r="X4860">
        <f t="shared" si="2232"/>
        <v>2010</v>
      </c>
    </row>
    <row r="4861" spans="1:24" ht="12" customHeight="1">
      <c r="A4861" s="4">
        <v>111</v>
      </c>
      <c r="B4861" s="4">
        <v>710</v>
      </c>
      <c r="C4861" s="5">
        <f t="shared" si="2255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  <c r="V4861">
        <f t="shared" si="2233"/>
        <v>5</v>
      </c>
      <c r="W4861">
        <f t="shared" si="2231"/>
        <v>1</v>
      </c>
      <c r="X4861">
        <f t="shared" si="2232"/>
        <v>2010</v>
      </c>
    </row>
    <row r="4862" spans="1:24" ht="12" customHeight="1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  <c r="V4862">
        <f t="shared" si="2233"/>
        <v>20</v>
      </c>
      <c r="W4862">
        <f t="shared" si="2231"/>
        <v>2</v>
      </c>
      <c r="X4862">
        <f t="shared" si="2232"/>
        <v>2012</v>
      </c>
    </row>
    <row r="4863" spans="1:24" ht="12" customHeight="1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256">C4863+0</f>
        <v>40348</v>
      </c>
      <c r="V4863">
        <f t="shared" si="2233"/>
        <v>19</v>
      </c>
      <c r="W4863">
        <f t="shared" si="2231"/>
        <v>6</v>
      </c>
      <c r="X4863">
        <f t="shared" si="2232"/>
        <v>2010</v>
      </c>
    </row>
    <row r="4864" spans="1:24" ht="12" customHeight="1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256"/>
        <v>40203</v>
      </c>
      <c r="V4864">
        <f t="shared" si="2233"/>
        <v>25</v>
      </c>
      <c r="W4864">
        <f t="shared" si="2231"/>
        <v>1</v>
      </c>
      <c r="X4864">
        <f t="shared" si="2232"/>
        <v>2010</v>
      </c>
    </row>
    <row r="4865" spans="1:24" ht="12" customHeight="1">
      <c r="A4865" s="4">
        <v>232</v>
      </c>
      <c r="B4865" s="4">
        <v>1542</v>
      </c>
      <c r="C4865" s="5">
        <f t="shared" ref="C4865:C4866" si="2257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258">C4865+2</f>
        <v>40437</v>
      </c>
      <c r="V4865">
        <f t="shared" si="2233"/>
        <v>16</v>
      </c>
      <c r="W4865">
        <f t="shared" si="2231"/>
        <v>9</v>
      </c>
      <c r="X4865">
        <f t="shared" si="2232"/>
        <v>2010</v>
      </c>
    </row>
    <row r="4866" spans="1:24" ht="12" customHeight="1">
      <c r="A4866" s="4">
        <v>233</v>
      </c>
      <c r="B4866" s="4">
        <v>1542</v>
      </c>
      <c r="C4866" s="5">
        <f t="shared" si="2257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258"/>
        <v>40437</v>
      </c>
      <c r="V4866">
        <f t="shared" si="2233"/>
        <v>16</v>
      </c>
      <c r="W4866">
        <f t="shared" si="2231"/>
        <v>9</v>
      </c>
      <c r="X4866">
        <f t="shared" si="2232"/>
        <v>2010</v>
      </c>
    </row>
    <row r="4867" spans="1:24" ht="12" customHeight="1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258"/>
        <v>41149</v>
      </c>
      <c r="V4867">
        <f t="shared" si="2233"/>
        <v>28</v>
      </c>
      <c r="W4867">
        <f t="shared" ref="W4867:W4930" si="2259">MONTH(U4867)</f>
        <v>8</v>
      </c>
      <c r="X4867">
        <f t="shared" ref="X4867:X4930" si="2260">YEAR(U4867)</f>
        <v>2012</v>
      </c>
    </row>
    <row r="4868" spans="1:24" ht="12" customHeight="1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  <c r="V4868">
        <f t="shared" ref="V4868:V4931" si="2261">DAY(U4868)</f>
        <v>23</v>
      </c>
      <c r="W4868">
        <f t="shared" si="2259"/>
        <v>10</v>
      </c>
      <c r="X4868">
        <f t="shared" si="2260"/>
        <v>2012</v>
      </c>
    </row>
    <row r="4869" spans="1:24" ht="12" customHeight="1">
      <c r="A4869" s="4">
        <v>384</v>
      </c>
      <c r="B4869" s="4">
        <v>2657</v>
      </c>
      <c r="C4869" s="5">
        <f t="shared" ref="C4869:C4870" si="2262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  <c r="V4869">
        <f t="shared" si="2261"/>
        <v>18</v>
      </c>
      <c r="W4869">
        <f t="shared" si="2259"/>
        <v>10</v>
      </c>
      <c r="X4869">
        <f t="shared" si="2260"/>
        <v>2011</v>
      </c>
    </row>
    <row r="4870" spans="1:24" ht="12" customHeight="1">
      <c r="A4870" s="4">
        <v>385</v>
      </c>
      <c r="B4870" s="4">
        <v>2657</v>
      </c>
      <c r="C4870" s="5">
        <f t="shared" si="2262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263">C4870+1</f>
        <v>40833</v>
      </c>
      <c r="V4870">
        <f t="shared" si="2261"/>
        <v>17</v>
      </c>
      <c r="W4870">
        <f t="shared" si="2259"/>
        <v>10</v>
      </c>
      <c r="X4870">
        <f t="shared" si="2260"/>
        <v>2011</v>
      </c>
    </row>
    <row r="4871" spans="1:24" ht="12" customHeight="1">
      <c r="A4871" s="4">
        <v>389</v>
      </c>
      <c r="B4871" s="4">
        <v>2688</v>
      </c>
      <c r="C4871" s="5">
        <f t="shared" ref="C4871:C4873" si="2264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263"/>
        <v>40932</v>
      </c>
      <c r="V4871">
        <f t="shared" si="2261"/>
        <v>24</v>
      </c>
      <c r="W4871">
        <f t="shared" si="2259"/>
        <v>1</v>
      </c>
      <c r="X4871">
        <f t="shared" si="2260"/>
        <v>2012</v>
      </c>
    </row>
    <row r="4872" spans="1:24" ht="12" customHeight="1">
      <c r="A4872" s="4">
        <v>390</v>
      </c>
      <c r="B4872" s="4">
        <v>2688</v>
      </c>
      <c r="C4872" s="5">
        <f t="shared" si="2264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263"/>
        <v>40932</v>
      </c>
      <c r="V4872">
        <f t="shared" si="2261"/>
        <v>24</v>
      </c>
      <c r="W4872">
        <f t="shared" si="2259"/>
        <v>1</v>
      </c>
      <c r="X4872">
        <f t="shared" si="2260"/>
        <v>2012</v>
      </c>
    </row>
    <row r="4873" spans="1:24" ht="12" customHeight="1">
      <c r="A4873" s="4">
        <v>391</v>
      </c>
      <c r="B4873" s="4">
        <v>2688</v>
      </c>
      <c r="C4873" s="5">
        <f t="shared" si="2264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  <c r="V4873">
        <f t="shared" si="2261"/>
        <v>25</v>
      </c>
      <c r="W4873">
        <f t="shared" si="2259"/>
        <v>1</v>
      </c>
      <c r="X4873">
        <f t="shared" si="2260"/>
        <v>2012</v>
      </c>
    </row>
    <row r="4874" spans="1:24" ht="12" customHeight="1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  <c r="V4874">
        <f t="shared" si="2261"/>
        <v>20</v>
      </c>
      <c r="W4874">
        <f t="shared" si="2259"/>
        <v>9</v>
      </c>
      <c r="X4874">
        <f t="shared" si="2260"/>
        <v>2009</v>
      </c>
    </row>
    <row r="4875" spans="1:24" ht="12" customHeight="1">
      <c r="A4875" s="4">
        <v>419</v>
      </c>
      <c r="B4875" s="4">
        <v>2818</v>
      </c>
      <c r="C4875" s="5">
        <f t="shared" ref="C4875:C4877" si="2265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  <c r="V4875">
        <f t="shared" si="2261"/>
        <v>13</v>
      </c>
      <c r="W4875">
        <f t="shared" si="2259"/>
        <v>12</v>
      </c>
      <c r="X4875">
        <f t="shared" si="2260"/>
        <v>2009</v>
      </c>
    </row>
    <row r="4876" spans="1:24" ht="12" customHeight="1">
      <c r="A4876" s="4">
        <v>420</v>
      </c>
      <c r="B4876" s="4">
        <v>2818</v>
      </c>
      <c r="C4876" s="5">
        <f t="shared" si="2265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266">C4876+1</f>
        <v>40159</v>
      </c>
      <c r="V4876">
        <f t="shared" si="2261"/>
        <v>12</v>
      </c>
      <c r="W4876">
        <f t="shared" si="2259"/>
        <v>12</v>
      </c>
      <c r="X4876">
        <f t="shared" si="2260"/>
        <v>2009</v>
      </c>
    </row>
    <row r="4877" spans="1:24" ht="12" customHeight="1">
      <c r="A4877" s="4">
        <v>421</v>
      </c>
      <c r="B4877" s="4">
        <v>2818</v>
      </c>
      <c r="C4877" s="5">
        <f t="shared" si="2265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266"/>
        <v>40159</v>
      </c>
      <c r="V4877">
        <f t="shared" si="2261"/>
        <v>12</v>
      </c>
      <c r="W4877">
        <f t="shared" si="2259"/>
        <v>12</v>
      </c>
      <c r="X4877">
        <f t="shared" si="2260"/>
        <v>2009</v>
      </c>
    </row>
    <row r="4878" spans="1:24" ht="12" customHeight="1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266"/>
        <v>40280</v>
      </c>
      <c r="V4878">
        <f t="shared" si="2261"/>
        <v>12</v>
      </c>
      <c r="W4878">
        <f t="shared" si="2259"/>
        <v>4</v>
      </c>
      <c r="X4878">
        <f t="shared" si="2260"/>
        <v>2010</v>
      </c>
    </row>
    <row r="4879" spans="1:24" ht="12" customHeight="1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266"/>
        <v>40395</v>
      </c>
      <c r="V4879">
        <f t="shared" si="2261"/>
        <v>5</v>
      </c>
      <c r="W4879">
        <f t="shared" si="2259"/>
        <v>8</v>
      </c>
      <c r="X4879">
        <f t="shared" si="2260"/>
        <v>2010</v>
      </c>
    </row>
    <row r="4880" spans="1:24" ht="12" customHeight="1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  <c r="V4880">
        <f t="shared" si="2261"/>
        <v>29</v>
      </c>
      <c r="W4880">
        <f t="shared" si="2259"/>
        <v>7</v>
      </c>
      <c r="X4880">
        <f t="shared" si="2260"/>
        <v>2009</v>
      </c>
    </row>
    <row r="4881" spans="1:24" ht="12" customHeight="1">
      <c r="A4881" s="4">
        <v>504</v>
      </c>
      <c r="B4881" s="4">
        <v>3488</v>
      </c>
      <c r="C4881" s="5">
        <f t="shared" ref="C4881:C4882" si="2267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  <c r="V4881">
        <f t="shared" si="2261"/>
        <v>10</v>
      </c>
      <c r="W4881">
        <f t="shared" si="2259"/>
        <v>1</v>
      </c>
      <c r="X4881">
        <f t="shared" si="2260"/>
        <v>2011</v>
      </c>
    </row>
    <row r="4882" spans="1:24" ht="12" customHeight="1">
      <c r="A4882" s="4">
        <v>505</v>
      </c>
      <c r="B4882" s="4">
        <v>3488</v>
      </c>
      <c r="C4882" s="5">
        <f t="shared" si="2267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  <c r="V4882">
        <f t="shared" si="2261"/>
        <v>8</v>
      </c>
      <c r="W4882">
        <f t="shared" si="2259"/>
        <v>1</v>
      </c>
      <c r="X4882">
        <f t="shared" si="2260"/>
        <v>2011</v>
      </c>
    </row>
    <row r="4883" spans="1:24" ht="12" customHeight="1">
      <c r="A4883" s="4">
        <v>506</v>
      </c>
      <c r="B4883" s="4">
        <v>3492</v>
      </c>
      <c r="C4883" s="5">
        <f t="shared" ref="C4883:C4885" si="2268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  <c r="V4883">
        <f t="shared" si="2261"/>
        <v>28</v>
      </c>
      <c r="W4883">
        <f t="shared" si="2259"/>
        <v>11</v>
      </c>
      <c r="X4883">
        <f t="shared" si="2260"/>
        <v>2009</v>
      </c>
    </row>
    <row r="4884" spans="1:24" ht="12" customHeight="1">
      <c r="A4884" s="4">
        <v>507</v>
      </c>
      <c r="B4884" s="4">
        <v>3492</v>
      </c>
      <c r="C4884" s="5">
        <f t="shared" si="2268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269">C4884+0</f>
        <v>40140</v>
      </c>
      <c r="V4884">
        <f t="shared" si="2261"/>
        <v>23</v>
      </c>
      <c r="W4884">
        <f t="shared" si="2259"/>
        <v>11</v>
      </c>
      <c r="X4884">
        <f t="shared" si="2260"/>
        <v>2009</v>
      </c>
    </row>
    <row r="4885" spans="1:24" ht="12" customHeight="1">
      <c r="A4885" s="4">
        <v>508</v>
      </c>
      <c r="B4885" s="4">
        <v>3492</v>
      </c>
      <c r="C4885" s="5">
        <f t="shared" si="2268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269"/>
        <v>40140</v>
      </c>
      <c r="V4885">
        <f t="shared" si="2261"/>
        <v>23</v>
      </c>
      <c r="W4885">
        <f t="shared" si="2259"/>
        <v>11</v>
      </c>
      <c r="X4885">
        <f t="shared" si="2260"/>
        <v>2009</v>
      </c>
    </row>
    <row r="4886" spans="1:24" ht="12" customHeight="1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  <c r="V4886">
        <f t="shared" si="2261"/>
        <v>18</v>
      </c>
      <c r="W4886">
        <f t="shared" si="2259"/>
        <v>5</v>
      </c>
      <c r="X4886">
        <f t="shared" si="2260"/>
        <v>2009</v>
      </c>
    </row>
    <row r="4887" spans="1:24" ht="12" customHeight="1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  <c r="V4887">
        <f t="shared" si="2261"/>
        <v>1</v>
      </c>
      <c r="W4887">
        <f t="shared" si="2259"/>
        <v>12</v>
      </c>
      <c r="X4887">
        <f t="shared" si="2260"/>
        <v>2011</v>
      </c>
    </row>
    <row r="4888" spans="1:24" ht="12" customHeight="1">
      <c r="A4888" s="4">
        <v>563</v>
      </c>
      <c r="B4888" s="4">
        <v>3810</v>
      </c>
      <c r="C4888" s="5">
        <f t="shared" ref="C4888:C4889" si="2270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271">C4888+2</f>
        <v>41170</v>
      </c>
      <c r="V4888">
        <f t="shared" si="2261"/>
        <v>18</v>
      </c>
      <c r="W4888">
        <f t="shared" si="2259"/>
        <v>9</v>
      </c>
      <c r="X4888">
        <f t="shared" si="2260"/>
        <v>2012</v>
      </c>
    </row>
    <row r="4889" spans="1:24" ht="12" customHeight="1">
      <c r="A4889" s="4">
        <v>564</v>
      </c>
      <c r="B4889" s="4">
        <v>3810</v>
      </c>
      <c r="C4889" s="5">
        <f t="shared" si="2270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271"/>
        <v>41170</v>
      </c>
      <c r="V4889">
        <f t="shared" si="2261"/>
        <v>18</v>
      </c>
      <c r="W4889">
        <f t="shared" si="2259"/>
        <v>9</v>
      </c>
      <c r="X4889">
        <f t="shared" si="2260"/>
        <v>2012</v>
      </c>
    </row>
    <row r="4890" spans="1:24" ht="12" customHeight="1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  <c r="V4890">
        <f t="shared" si="2261"/>
        <v>30</v>
      </c>
      <c r="W4890">
        <f t="shared" si="2259"/>
        <v>9</v>
      </c>
      <c r="X4890">
        <f t="shared" si="2260"/>
        <v>2009</v>
      </c>
    </row>
    <row r="4891" spans="1:24" ht="12" customHeight="1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  <c r="V4891">
        <f t="shared" si="2261"/>
        <v>29</v>
      </c>
      <c r="W4891">
        <f t="shared" si="2259"/>
        <v>3</v>
      </c>
      <c r="X4891">
        <f t="shared" si="2260"/>
        <v>2009</v>
      </c>
    </row>
    <row r="4892" spans="1:24" ht="12" customHeight="1">
      <c r="A4892" s="4">
        <v>646</v>
      </c>
      <c r="B4892" s="4">
        <v>4578</v>
      </c>
      <c r="C4892" s="5">
        <f t="shared" ref="C4892:C4894" si="2272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  <c r="V4892">
        <f t="shared" si="2261"/>
        <v>17</v>
      </c>
      <c r="W4892">
        <f t="shared" si="2259"/>
        <v>9</v>
      </c>
      <c r="X4892">
        <f t="shared" si="2260"/>
        <v>2012</v>
      </c>
    </row>
    <row r="4893" spans="1:24" ht="12" customHeight="1">
      <c r="A4893" s="4">
        <v>647</v>
      </c>
      <c r="B4893" s="4">
        <v>4578</v>
      </c>
      <c r="C4893" s="5">
        <f t="shared" si="2272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273">C4893+7</f>
        <v>41171</v>
      </c>
      <c r="V4893">
        <f t="shared" si="2261"/>
        <v>19</v>
      </c>
      <c r="W4893">
        <f t="shared" si="2259"/>
        <v>9</v>
      </c>
      <c r="X4893">
        <f t="shared" si="2260"/>
        <v>2012</v>
      </c>
    </row>
    <row r="4894" spans="1:24" ht="12" customHeight="1">
      <c r="A4894" s="4">
        <v>648</v>
      </c>
      <c r="B4894" s="4">
        <v>4578</v>
      </c>
      <c r="C4894" s="5">
        <f t="shared" si="2272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273"/>
        <v>41171</v>
      </c>
      <c r="V4894">
        <f t="shared" si="2261"/>
        <v>19</v>
      </c>
      <c r="W4894">
        <f t="shared" si="2259"/>
        <v>9</v>
      </c>
      <c r="X4894">
        <f t="shared" si="2260"/>
        <v>2012</v>
      </c>
    </row>
    <row r="4895" spans="1:24" ht="12" customHeight="1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  <c r="V4895">
        <f t="shared" si="2261"/>
        <v>9</v>
      </c>
      <c r="W4895">
        <f t="shared" si="2259"/>
        <v>1</v>
      </c>
      <c r="X4895">
        <f t="shared" si="2260"/>
        <v>2010</v>
      </c>
    </row>
    <row r="4896" spans="1:24" ht="12" customHeight="1">
      <c r="A4896" s="4">
        <v>731</v>
      </c>
      <c r="B4896" s="4">
        <v>5281</v>
      </c>
      <c r="C4896" s="5">
        <f t="shared" ref="C4896:C4897" si="2274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275">C4896+1</f>
        <v>40849</v>
      </c>
      <c r="V4896">
        <f t="shared" si="2261"/>
        <v>2</v>
      </c>
      <c r="W4896">
        <f t="shared" si="2259"/>
        <v>11</v>
      </c>
      <c r="X4896">
        <f t="shared" si="2260"/>
        <v>2011</v>
      </c>
    </row>
    <row r="4897" spans="1:24" ht="12" customHeight="1">
      <c r="A4897" s="4">
        <v>732</v>
      </c>
      <c r="B4897" s="4">
        <v>5281</v>
      </c>
      <c r="C4897" s="5">
        <f t="shared" si="2274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275"/>
        <v>40849</v>
      </c>
      <c r="V4897">
        <f t="shared" si="2261"/>
        <v>2</v>
      </c>
      <c r="W4897">
        <f t="shared" si="2259"/>
        <v>11</v>
      </c>
      <c r="X4897">
        <f t="shared" si="2260"/>
        <v>2011</v>
      </c>
    </row>
    <row r="4898" spans="1:24" ht="12" customHeight="1">
      <c r="A4898" s="4">
        <v>787</v>
      </c>
      <c r="B4898" s="4">
        <v>5635</v>
      </c>
      <c r="C4898" s="5">
        <f t="shared" ref="C4898:C4899" si="2276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277">C4898+2</f>
        <v>41138</v>
      </c>
      <c r="V4898">
        <f t="shared" si="2261"/>
        <v>17</v>
      </c>
      <c r="W4898">
        <f t="shared" si="2259"/>
        <v>8</v>
      </c>
      <c r="X4898">
        <f t="shared" si="2260"/>
        <v>2012</v>
      </c>
    </row>
    <row r="4899" spans="1:24" ht="12" customHeight="1">
      <c r="A4899" s="4">
        <v>788</v>
      </c>
      <c r="B4899" s="4">
        <v>5635</v>
      </c>
      <c r="C4899" s="5">
        <f t="shared" si="2276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277"/>
        <v>41138</v>
      </c>
      <c r="V4899">
        <f t="shared" si="2261"/>
        <v>17</v>
      </c>
      <c r="W4899">
        <f t="shared" si="2259"/>
        <v>8</v>
      </c>
      <c r="X4899">
        <f t="shared" si="2260"/>
        <v>2012</v>
      </c>
    </row>
    <row r="4900" spans="1:24" ht="12" customHeight="1">
      <c r="A4900" s="4">
        <v>791</v>
      </c>
      <c r="B4900" s="4">
        <v>5696</v>
      </c>
      <c r="C4900" s="5">
        <f t="shared" ref="C4900:C4902" si="2278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277"/>
        <v>40668</v>
      </c>
      <c r="V4900">
        <f t="shared" si="2261"/>
        <v>5</v>
      </c>
      <c r="W4900">
        <f t="shared" si="2259"/>
        <v>5</v>
      </c>
      <c r="X4900">
        <f t="shared" si="2260"/>
        <v>2011</v>
      </c>
    </row>
    <row r="4901" spans="1:24" ht="12" customHeight="1">
      <c r="A4901" s="4">
        <v>792</v>
      </c>
      <c r="B4901" s="4">
        <v>5696</v>
      </c>
      <c r="C4901" s="5">
        <f t="shared" si="2278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277"/>
        <v>40668</v>
      </c>
      <c r="V4901">
        <f t="shared" si="2261"/>
        <v>5</v>
      </c>
      <c r="W4901">
        <f t="shared" si="2259"/>
        <v>5</v>
      </c>
      <c r="X4901">
        <f t="shared" si="2260"/>
        <v>2011</v>
      </c>
    </row>
    <row r="4902" spans="1:24" ht="12" customHeight="1">
      <c r="A4902" s="4">
        <v>793</v>
      </c>
      <c r="B4902" s="4">
        <v>5696</v>
      </c>
      <c r="C4902" s="5">
        <f t="shared" si="2278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277"/>
        <v>40668</v>
      </c>
      <c r="V4902">
        <f t="shared" si="2261"/>
        <v>5</v>
      </c>
      <c r="W4902">
        <f t="shared" si="2259"/>
        <v>5</v>
      </c>
      <c r="X4902">
        <f t="shared" si="2260"/>
        <v>2011</v>
      </c>
    </row>
    <row r="4903" spans="1:24" ht="12" customHeight="1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  <c r="V4903">
        <f t="shared" si="2261"/>
        <v>13</v>
      </c>
      <c r="W4903">
        <f t="shared" si="2259"/>
        <v>4</v>
      </c>
      <c r="X4903">
        <f t="shared" si="2260"/>
        <v>2009</v>
      </c>
    </row>
    <row r="4904" spans="1:24" ht="12" customHeight="1">
      <c r="A4904" s="4">
        <v>868</v>
      </c>
      <c r="B4904" s="4">
        <v>6241</v>
      </c>
      <c r="C4904" s="5">
        <f t="shared" ref="C4904:C4905" si="2279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  <c r="V4904">
        <f t="shared" si="2261"/>
        <v>3</v>
      </c>
      <c r="W4904">
        <f t="shared" si="2259"/>
        <v>1</v>
      </c>
      <c r="X4904">
        <f t="shared" si="2260"/>
        <v>2010</v>
      </c>
    </row>
    <row r="4905" spans="1:24" ht="12" customHeight="1">
      <c r="A4905" s="4">
        <v>869</v>
      </c>
      <c r="B4905" s="4">
        <v>6241</v>
      </c>
      <c r="C4905" s="5">
        <f t="shared" si="2279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  <c r="V4905">
        <f t="shared" si="2261"/>
        <v>2</v>
      </c>
      <c r="W4905">
        <f t="shared" si="2259"/>
        <v>1</v>
      </c>
      <c r="X4905">
        <f t="shared" si="2260"/>
        <v>2010</v>
      </c>
    </row>
    <row r="4906" spans="1:24" ht="12" customHeight="1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280">C4906+2</f>
        <v>40041</v>
      </c>
      <c r="V4906">
        <f t="shared" si="2261"/>
        <v>16</v>
      </c>
      <c r="W4906">
        <f t="shared" si="2259"/>
        <v>8</v>
      </c>
      <c r="X4906">
        <f t="shared" si="2260"/>
        <v>2009</v>
      </c>
    </row>
    <row r="4907" spans="1:24" ht="12" customHeight="1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280"/>
        <v>40407</v>
      </c>
      <c r="V4907">
        <f t="shared" si="2261"/>
        <v>17</v>
      </c>
      <c r="W4907">
        <f t="shared" si="2259"/>
        <v>8</v>
      </c>
      <c r="X4907">
        <f t="shared" si="2260"/>
        <v>2010</v>
      </c>
    </row>
    <row r="4908" spans="1:24" ht="12" customHeight="1">
      <c r="A4908" s="4">
        <v>947</v>
      </c>
      <c r="B4908" s="4">
        <v>6854</v>
      </c>
      <c r="C4908" s="5">
        <f t="shared" ref="C4908:C4909" si="2281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280"/>
        <v>39821</v>
      </c>
      <c r="V4908">
        <f t="shared" si="2261"/>
        <v>8</v>
      </c>
      <c r="W4908">
        <f t="shared" si="2259"/>
        <v>1</v>
      </c>
      <c r="X4908">
        <f t="shared" si="2260"/>
        <v>2009</v>
      </c>
    </row>
    <row r="4909" spans="1:24" ht="12" customHeight="1">
      <c r="A4909" s="4">
        <v>948</v>
      </c>
      <c r="B4909" s="4">
        <v>6854</v>
      </c>
      <c r="C4909" s="5">
        <f t="shared" si="2281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280"/>
        <v>39821</v>
      </c>
      <c r="V4909">
        <f t="shared" si="2261"/>
        <v>8</v>
      </c>
      <c r="W4909">
        <f t="shared" si="2259"/>
        <v>1</v>
      </c>
      <c r="X4909">
        <f t="shared" si="2260"/>
        <v>2009</v>
      </c>
    </row>
    <row r="4910" spans="1:24" ht="12" customHeight="1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  <c r="V4910">
        <f t="shared" si="2261"/>
        <v>3</v>
      </c>
      <c r="W4910">
        <f t="shared" si="2259"/>
        <v>6</v>
      </c>
      <c r="X4910">
        <f t="shared" si="2260"/>
        <v>2010</v>
      </c>
    </row>
    <row r="4911" spans="1:24" ht="12" customHeight="1">
      <c r="A4911" s="4">
        <v>1019</v>
      </c>
      <c r="B4911" s="4">
        <v>7457</v>
      </c>
      <c r="C4911" s="5">
        <f t="shared" ref="C4911:C4912" si="2282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  <c r="V4911">
        <f t="shared" si="2261"/>
        <v>3</v>
      </c>
      <c r="W4911">
        <f t="shared" si="2259"/>
        <v>10</v>
      </c>
      <c r="X4911">
        <f t="shared" si="2260"/>
        <v>2010</v>
      </c>
    </row>
    <row r="4912" spans="1:24" ht="12" customHeight="1">
      <c r="A4912" s="4">
        <v>1020</v>
      </c>
      <c r="B4912" s="4">
        <v>7457</v>
      </c>
      <c r="C4912" s="5">
        <f t="shared" si="2282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  <c r="V4912">
        <f t="shared" si="2261"/>
        <v>2</v>
      </c>
      <c r="W4912">
        <f t="shared" si="2259"/>
        <v>10</v>
      </c>
      <c r="X4912">
        <f t="shared" si="2260"/>
        <v>2010</v>
      </c>
    </row>
    <row r="4913" spans="1:24" ht="12" customHeight="1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  <c r="V4913">
        <f t="shared" si="2261"/>
        <v>1</v>
      </c>
      <c r="W4913">
        <f t="shared" si="2259"/>
        <v>3</v>
      </c>
      <c r="X4913">
        <f t="shared" si="2260"/>
        <v>2012</v>
      </c>
    </row>
    <row r="4914" spans="1:24" ht="12" customHeight="1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  <c r="V4914">
        <f t="shared" si="2261"/>
        <v>13</v>
      </c>
      <c r="W4914">
        <f t="shared" si="2259"/>
        <v>1</v>
      </c>
      <c r="X4914">
        <f t="shared" si="2260"/>
        <v>2012</v>
      </c>
    </row>
    <row r="4915" spans="1:24" ht="12" customHeight="1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  <c r="V4915">
        <f t="shared" si="2261"/>
        <v>7</v>
      </c>
      <c r="W4915">
        <f t="shared" si="2259"/>
        <v>6</v>
      </c>
      <c r="X4915">
        <f t="shared" si="2260"/>
        <v>2009</v>
      </c>
    </row>
    <row r="4916" spans="1:24" ht="12" customHeight="1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  <c r="V4916">
        <f t="shared" si="2261"/>
        <v>13</v>
      </c>
      <c r="W4916">
        <f t="shared" si="2259"/>
        <v>5</v>
      </c>
      <c r="X4916">
        <f t="shared" si="2260"/>
        <v>2011</v>
      </c>
    </row>
    <row r="4917" spans="1:24" ht="12" customHeight="1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  <c r="V4917">
        <f t="shared" si="2261"/>
        <v>15</v>
      </c>
      <c r="W4917">
        <f t="shared" si="2259"/>
        <v>5</v>
      </c>
      <c r="X4917">
        <f t="shared" si="2260"/>
        <v>2012</v>
      </c>
    </row>
    <row r="4918" spans="1:24" ht="12" customHeight="1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283">C4918+1</f>
        <v>41081</v>
      </c>
      <c r="V4918">
        <f t="shared" si="2261"/>
        <v>21</v>
      </c>
      <c r="W4918">
        <f t="shared" si="2259"/>
        <v>6</v>
      </c>
      <c r="X4918">
        <f t="shared" si="2260"/>
        <v>2012</v>
      </c>
    </row>
    <row r="4919" spans="1:24" ht="12" customHeight="1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283"/>
        <v>40304</v>
      </c>
      <c r="V4919">
        <f t="shared" si="2261"/>
        <v>6</v>
      </c>
      <c r="W4919">
        <f t="shared" si="2259"/>
        <v>5</v>
      </c>
      <c r="X4919">
        <f t="shared" si="2260"/>
        <v>2010</v>
      </c>
    </row>
    <row r="4920" spans="1:24" ht="12" customHeight="1">
      <c r="A4920" s="4">
        <v>1175</v>
      </c>
      <c r="B4920" s="4">
        <v>8580</v>
      </c>
      <c r="C4920" s="5">
        <f t="shared" ref="C4920:C4921" si="2284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  <c r="V4920">
        <f t="shared" si="2261"/>
        <v>22</v>
      </c>
      <c r="W4920">
        <f t="shared" si="2259"/>
        <v>3</v>
      </c>
      <c r="X4920">
        <f t="shared" si="2260"/>
        <v>2011</v>
      </c>
    </row>
    <row r="4921" spans="1:24" ht="12" customHeight="1">
      <c r="A4921" s="4">
        <v>1176</v>
      </c>
      <c r="B4921" s="4">
        <v>8580</v>
      </c>
      <c r="C4921" s="5">
        <f t="shared" si="2284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  <c r="V4921">
        <f t="shared" si="2261"/>
        <v>23</v>
      </c>
      <c r="W4921">
        <f t="shared" si="2259"/>
        <v>3</v>
      </c>
      <c r="X4921">
        <f t="shared" si="2260"/>
        <v>2011</v>
      </c>
    </row>
    <row r="4922" spans="1:24" ht="12" customHeight="1">
      <c r="A4922" s="4">
        <v>1182</v>
      </c>
      <c r="B4922" s="4">
        <v>8646</v>
      </c>
      <c r="C4922" s="5">
        <f t="shared" ref="C4922:C4925" si="2285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286">C4922+2</f>
        <v>39914</v>
      </c>
      <c r="V4922">
        <f t="shared" si="2261"/>
        <v>11</v>
      </c>
      <c r="W4922">
        <f t="shared" si="2259"/>
        <v>4</v>
      </c>
      <c r="X4922">
        <f t="shared" si="2260"/>
        <v>2009</v>
      </c>
    </row>
    <row r="4923" spans="1:24" ht="12" customHeight="1">
      <c r="A4923" s="4">
        <v>1183</v>
      </c>
      <c r="B4923" s="4">
        <v>8646</v>
      </c>
      <c r="C4923" s="5">
        <f t="shared" si="2285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286"/>
        <v>39914</v>
      </c>
      <c r="V4923">
        <f t="shared" si="2261"/>
        <v>11</v>
      </c>
      <c r="W4923">
        <f t="shared" si="2259"/>
        <v>4</v>
      </c>
      <c r="X4923">
        <f t="shared" si="2260"/>
        <v>2009</v>
      </c>
    </row>
    <row r="4924" spans="1:24" ht="12" customHeight="1">
      <c r="A4924" s="4">
        <v>1184</v>
      </c>
      <c r="B4924" s="4">
        <v>8646</v>
      </c>
      <c r="C4924" s="5">
        <f t="shared" si="2285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286"/>
        <v>39914</v>
      </c>
      <c r="V4924">
        <f t="shared" si="2261"/>
        <v>11</v>
      </c>
      <c r="W4924">
        <f t="shared" si="2259"/>
        <v>4</v>
      </c>
      <c r="X4924">
        <f t="shared" si="2260"/>
        <v>2009</v>
      </c>
    </row>
    <row r="4925" spans="1:24" ht="12" customHeight="1">
      <c r="A4925" s="4">
        <v>1185</v>
      </c>
      <c r="B4925" s="4">
        <v>8646</v>
      </c>
      <c r="C4925" s="5">
        <f t="shared" si="2285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  <c r="V4925">
        <f t="shared" si="2261"/>
        <v>10</v>
      </c>
      <c r="W4925">
        <f t="shared" si="2259"/>
        <v>4</v>
      </c>
      <c r="X4925">
        <f t="shared" si="2260"/>
        <v>2009</v>
      </c>
    </row>
    <row r="4926" spans="1:24" ht="12" customHeight="1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  <c r="V4926">
        <f t="shared" si="2261"/>
        <v>30</v>
      </c>
      <c r="W4926">
        <f t="shared" si="2259"/>
        <v>5</v>
      </c>
      <c r="X4926">
        <f t="shared" si="2260"/>
        <v>2011</v>
      </c>
    </row>
    <row r="4927" spans="1:24" ht="12" customHeight="1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287">C4927+4</f>
        <v>40700</v>
      </c>
      <c r="V4927">
        <f t="shared" si="2261"/>
        <v>6</v>
      </c>
      <c r="W4927">
        <f t="shared" si="2259"/>
        <v>6</v>
      </c>
      <c r="X4927">
        <f t="shared" si="2260"/>
        <v>2011</v>
      </c>
    </row>
    <row r="4928" spans="1:24" ht="12" customHeight="1">
      <c r="A4928" s="4">
        <v>1234</v>
      </c>
      <c r="B4928" s="4">
        <v>8998</v>
      </c>
      <c r="C4928" s="5">
        <f t="shared" ref="C4928:C4930" si="2288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287"/>
        <v>40185</v>
      </c>
      <c r="V4928">
        <f t="shared" si="2261"/>
        <v>7</v>
      </c>
      <c r="W4928">
        <f t="shared" si="2259"/>
        <v>1</v>
      </c>
      <c r="X4928">
        <f t="shared" si="2260"/>
        <v>2010</v>
      </c>
    </row>
    <row r="4929" spans="1:24" ht="12" customHeight="1">
      <c r="A4929" s="4">
        <v>1235</v>
      </c>
      <c r="B4929" s="4">
        <v>8998</v>
      </c>
      <c r="C4929" s="5">
        <f t="shared" si="2288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  <c r="V4929">
        <f t="shared" si="2261"/>
        <v>5</v>
      </c>
      <c r="W4929">
        <f t="shared" si="2259"/>
        <v>1</v>
      </c>
      <c r="X4929">
        <f t="shared" si="2260"/>
        <v>2010</v>
      </c>
    </row>
    <row r="4930" spans="1:24" ht="12" customHeight="1">
      <c r="A4930" s="4">
        <v>1236</v>
      </c>
      <c r="B4930" s="4">
        <v>8998</v>
      </c>
      <c r="C4930" s="5">
        <f t="shared" si="2288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  <c r="V4930">
        <f t="shared" si="2261"/>
        <v>8</v>
      </c>
      <c r="W4930">
        <f t="shared" si="2259"/>
        <v>1</v>
      </c>
      <c r="X4930">
        <f t="shared" si="2260"/>
        <v>2010</v>
      </c>
    </row>
    <row r="4931" spans="1:24" ht="12" customHeight="1">
      <c r="A4931" s="4">
        <v>1256</v>
      </c>
      <c r="B4931" s="4">
        <v>9124</v>
      </c>
      <c r="C4931" s="5">
        <f t="shared" ref="C4931:C4932" si="2289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  <c r="V4931">
        <f t="shared" si="2261"/>
        <v>16</v>
      </c>
      <c r="W4931">
        <f t="shared" ref="W4931:W4994" si="2290">MONTH(U4931)</f>
        <v>10</v>
      </c>
      <c r="X4931">
        <f t="shared" ref="X4931:X4994" si="2291">YEAR(U4931)</f>
        <v>2011</v>
      </c>
    </row>
    <row r="4932" spans="1:24" ht="12" customHeight="1">
      <c r="A4932" s="4">
        <v>1257</v>
      </c>
      <c r="B4932" s="4">
        <v>9124</v>
      </c>
      <c r="C4932" s="5">
        <f t="shared" si="2289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  <c r="V4932">
        <f t="shared" ref="V4932:V4995" si="2292">DAY(U4932)</f>
        <v>21</v>
      </c>
      <c r="W4932">
        <f t="shared" si="2290"/>
        <v>10</v>
      </c>
      <c r="X4932">
        <f t="shared" si="2291"/>
        <v>2011</v>
      </c>
    </row>
    <row r="4933" spans="1:24" ht="12" customHeight="1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  <c r="V4933">
        <f t="shared" si="2292"/>
        <v>20</v>
      </c>
      <c r="W4933">
        <f t="shared" si="2290"/>
        <v>8</v>
      </c>
      <c r="X4933">
        <f t="shared" si="2291"/>
        <v>2010</v>
      </c>
    </row>
    <row r="4934" spans="1:24" ht="12" customHeight="1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293">C4934+1</f>
        <v>41048</v>
      </c>
      <c r="V4934">
        <f t="shared" si="2292"/>
        <v>19</v>
      </c>
      <c r="W4934">
        <f t="shared" si="2290"/>
        <v>5</v>
      </c>
      <c r="X4934">
        <f t="shared" si="2291"/>
        <v>2012</v>
      </c>
    </row>
    <row r="4935" spans="1:24" ht="12" customHeight="1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293"/>
        <v>40764</v>
      </c>
      <c r="V4935">
        <f t="shared" si="2292"/>
        <v>9</v>
      </c>
      <c r="W4935">
        <f t="shared" si="2290"/>
        <v>8</v>
      </c>
      <c r="X4935">
        <f t="shared" si="2291"/>
        <v>2011</v>
      </c>
    </row>
    <row r="4936" spans="1:24" ht="12" customHeight="1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  <c r="V4936">
        <f t="shared" si="2292"/>
        <v>24</v>
      </c>
      <c r="W4936">
        <f t="shared" si="2290"/>
        <v>3</v>
      </c>
      <c r="X4936">
        <f t="shared" si="2291"/>
        <v>2012</v>
      </c>
    </row>
    <row r="4937" spans="1:24" ht="12" customHeight="1">
      <c r="A4937" s="4">
        <v>1374</v>
      </c>
      <c r="B4937" s="4">
        <v>9954</v>
      </c>
      <c r="C4937" s="5">
        <f t="shared" ref="C4937:C4939" si="2294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  <c r="V4937">
        <f t="shared" si="2292"/>
        <v>20</v>
      </c>
      <c r="W4937">
        <f t="shared" si="2290"/>
        <v>6</v>
      </c>
      <c r="X4937">
        <f t="shared" si="2291"/>
        <v>2009</v>
      </c>
    </row>
    <row r="4938" spans="1:24" ht="12" customHeight="1">
      <c r="A4938" s="4">
        <v>1375</v>
      </c>
      <c r="B4938" s="4">
        <v>9954</v>
      </c>
      <c r="C4938" s="5">
        <f t="shared" si="2294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295">C4938+2</f>
        <v>39985</v>
      </c>
      <c r="V4938">
        <f t="shared" si="2292"/>
        <v>21</v>
      </c>
      <c r="W4938">
        <f t="shared" si="2290"/>
        <v>6</v>
      </c>
      <c r="X4938">
        <f t="shared" si="2291"/>
        <v>2009</v>
      </c>
    </row>
    <row r="4939" spans="1:24" ht="12" customHeight="1">
      <c r="A4939" s="4">
        <v>1376</v>
      </c>
      <c r="B4939" s="4">
        <v>9954</v>
      </c>
      <c r="C4939" s="5">
        <f t="shared" si="2294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295"/>
        <v>39985</v>
      </c>
      <c r="V4939">
        <f t="shared" si="2292"/>
        <v>21</v>
      </c>
      <c r="W4939">
        <f t="shared" si="2290"/>
        <v>6</v>
      </c>
      <c r="X4939">
        <f t="shared" si="2291"/>
        <v>2009</v>
      </c>
    </row>
    <row r="4940" spans="1:24" ht="12" customHeight="1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  <c r="V4940">
        <f t="shared" si="2292"/>
        <v>8</v>
      </c>
      <c r="W4940">
        <f t="shared" si="2290"/>
        <v>8</v>
      </c>
      <c r="X4940">
        <f t="shared" si="2291"/>
        <v>2010</v>
      </c>
    </row>
    <row r="4941" spans="1:24" ht="12" customHeight="1">
      <c r="A4941" s="4">
        <v>1415</v>
      </c>
      <c r="B4941" s="4">
        <v>10272</v>
      </c>
      <c r="C4941" s="5">
        <f t="shared" ref="C4941:C4942" si="2296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  <c r="V4941">
        <f t="shared" si="2292"/>
        <v>19</v>
      </c>
      <c r="W4941">
        <f t="shared" si="2290"/>
        <v>1</v>
      </c>
      <c r="X4941">
        <f t="shared" si="2291"/>
        <v>2009</v>
      </c>
    </row>
    <row r="4942" spans="1:24" ht="12" customHeight="1">
      <c r="A4942" s="4">
        <v>1416</v>
      </c>
      <c r="B4942" s="4">
        <v>10272</v>
      </c>
      <c r="C4942" s="5">
        <f t="shared" si="2296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  <c r="V4942">
        <f t="shared" si="2292"/>
        <v>17</v>
      </c>
      <c r="W4942">
        <f t="shared" si="2290"/>
        <v>1</v>
      </c>
      <c r="X4942">
        <f t="shared" si="2291"/>
        <v>2009</v>
      </c>
    </row>
    <row r="4943" spans="1:24" ht="12" customHeight="1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  <c r="V4943">
        <f t="shared" si="2292"/>
        <v>29</v>
      </c>
      <c r="W4943">
        <f t="shared" si="2290"/>
        <v>1</v>
      </c>
      <c r="X4943">
        <f t="shared" si="2291"/>
        <v>2009</v>
      </c>
    </row>
    <row r="4944" spans="1:24" ht="12" customHeight="1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  <c r="V4944">
        <f t="shared" si="2292"/>
        <v>1</v>
      </c>
      <c r="W4944">
        <f t="shared" si="2290"/>
        <v>7</v>
      </c>
      <c r="X4944">
        <f t="shared" si="2291"/>
        <v>2011</v>
      </c>
    </row>
    <row r="4945" spans="1:24" ht="12" customHeight="1">
      <c r="A4945" s="4">
        <v>1587</v>
      </c>
      <c r="B4945" s="4">
        <v>11431</v>
      </c>
      <c r="C4945" s="5">
        <f t="shared" ref="C4945:C4946" si="2297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  <c r="V4945">
        <f t="shared" si="2292"/>
        <v>3</v>
      </c>
      <c r="W4945">
        <f t="shared" si="2290"/>
        <v>8</v>
      </c>
      <c r="X4945">
        <f t="shared" si="2291"/>
        <v>2012</v>
      </c>
    </row>
    <row r="4946" spans="1:24" ht="12" customHeight="1">
      <c r="A4946" s="4">
        <v>1588</v>
      </c>
      <c r="B4946" s="4">
        <v>11431</v>
      </c>
      <c r="C4946" s="5">
        <f t="shared" si="2297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  <c r="V4946">
        <f t="shared" si="2292"/>
        <v>2</v>
      </c>
      <c r="W4946">
        <f t="shared" si="2290"/>
        <v>8</v>
      </c>
      <c r="X4946">
        <f t="shared" si="2291"/>
        <v>2012</v>
      </c>
    </row>
    <row r="4947" spans="1:24" ht="12" customHeight="1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298">C4947+2</f>
        <v>40800</v>
      </c>
      <c r="V4947">
        <f t="shared" si="2292"/>
        <v>14</v>
      </c>
      <c r="W4947">
        <f t="shared" si="2290"/>
        <v>9</v>
      </c>
      <c r="X4947">
        <f t="shared" si="2291"/>
        <v>2011</v>
      </c>
    </row>
    <row r="4948" spans="1:24" ht="12" customHeight="1">
      <c r="A4948" s="4">
        <v>1677</v>
      </c>
      <c r="B4948" s="4">
        <v>12097</v>
      </c>
      <c r="C4948" s="5">
        <f t="shared" ref="C4948:C4949" si="2299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298"/>
        <v>40493</v>
      </c>
      <c r="V4948">
        <f t="shared" si="2292"/>
        <v>11</v>
      </c>
      <c r="W4948">
        <f t="shared" si="2290"/>
        <v>11</v>
      </c>
      <c r="X4948">
        <f t="shared" si="2291"/>
        <v>2010</v>
      </c>
    </row>
    <row r="4949" spans="1:24" ht="12" customHeight="1">
      <c r="A4949" s="4">
        <v>1678</v>
      </c>
      <c r="B4949" s="4">
        <v>12097</v>
      </c>
      <c r="C4949" s="5">
        <f t="shared" si="2299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  <c r="V4949">
        <f t="shared" si="2292"/>
        <v>9</v>
      </c>
      <c r="W4949">
        <f t="shared" si="2290"/>
        <v>11</v>
      </c>
      <c r="X4949">
        <f t="shared" si="2291"/>
        <v>2010</v>
      </c>
    </row>
    <row r="4950" spans="1:24" ht="12" customHeight="1">
      <c r="A4950" s="4">
        <v>1688</v>
      </c>
      <c r="B4950" s="4">
        <v>12196</v>
      </c>
      <c r="C4950" s="5">
        <f t="shared" ref="C4950:C4951" si="2300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  <c r="V4950">
        <f t="shared" si="2292"/>
        <v>3</v>
      </c>
      <c r="W4950">
        <f t="shared" si="2290"/>
        <v>6</v>
      </c>
      <c r="X4950">
        <f t="shared" si="2291"/>
        <v>2010</v>
      </c>
    </row>
    <row r="4951" spans="1:24" ht="12" customHeight="1">
      <c r="A4951" s="4">
        <v>1689</v>
      </c>
      <c r="B4951" s="4">
        <v>12196</v>
      </c>
      <c r="C4951" s="5">
        <f t="shared" si="2300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  <c r="V4951">
        <f t="shared" si="2292"/>
        <v>2</v>
      </c>
      <c r="W4951">
        <f t="shared" si="2290"/>
        <v>6</v>
      </c>
      <c r="X4951">
        <f t="shared" si="2291"/>
        <v>2010</v>
      </c>
    </row>
    <row r="4952" spans="1:24" ht="12" customHeight="1">
      <c r="A4952" s="4">
        <v>1734</v>
      </c>
      <c r="B4952" s="4">
        <v>12451</v>
      </c>
      <c r="C4952" s="5">
        <f t="shared" ref="C4952:C4953" si="2301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302">C4952+2</f>
        <v>40289</v>
      </c>
      <c r="V4952">
        <f t="shared" si="2292"/>
        <v>21</v>
      </c>
      <c r="W4952">
        <f t="shared" si="2290"/>
        <v>4</v>
      </c>
      <c r="X4952">
        <f t="shared" si="2291"/>
        <v>2010</v>
      </c>
    </row>
    <row r="4953" spans="1:24" ht="12" customHeight="1">
      <c r="A4953" s="4">
        <v>1735</v>
      </c>
      <c r="B4953" s="4">
        <v>12451</v>
      </c>
      <c r="C4953" s="5">
        <f t="shared" si="2301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302"/>
        <v>40289</v>
      </c>
      <c r="V4953">
        <f t="shared" si="2292"/>
        <v>21</v>
      </c>
      <c r="W4953">
        <f t="shared" si="2290"/>
        <v>4</v>
      </c>
      <c r="X4953">
        <f t="shared" si="2291"/>
        <v>2010</v>
      </c>
    </row>
    <row r="4954" spans="1:24" ht="12" customHeight="1">
      <c r="A4954" s="4">
        <v>1742</v>
      </c>
      <c r="B4954" s="4">
        <v>12483</v>
      </c>
      <c r="C4954" s="5">
        <f t="shared" ref="C4954:C4956" si="2303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  <c r="V4954">
        <f t="shared" si="2292"/>
        <v>4</v>
      </c>
      <c r="W4954">
        <f t="shared" si="2290"/>
        <v>8</v>
      </c>
      <c r="X4954">
        <f t="shared" si="2291"/>
        <v>2010</v>
      </c>
    </row>
    <row r="4955" spans="1:24" ht="12" customHeight="1">
      <c r="A4955" s="4">
        <v>1743</v>
      </c>
      <c r="B4955" s="4">
        <v>12483</v>
      </c>
      <c r="C4955" s="5">
        <f t="shared" si="2303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  <c r="V4955">
        <f t="shared" si="2292"/>
        <v>6</v>
      </c>
      <c r="W4955">
        <f t="shared" si="2290"/>
        <v>8</v>
      </c>
      <c r="X4955">
        <f t="shared" si="2291"/>
        <v>2010</v>
      </c>
    </row>
    <row r="4956" spans="1:24" ht="12" customHeight="1">
      <c r="A4956" s="4">
        <v>1744</v>
      </c>
      <c r="B4956" s="4">
        <v>12483</v>
      </c>
      <c r="C4956" s="5">
        <f t="shared" si="2303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  <c r="V4956">
        <f t="shared" si="2292"/>
        <v>5</v>
      </c>
      <c r="W4956">
        <f t="shared" si="2290"/>
        <v>8</v>
      </c>
      <c r="X4956">
        <f t="shared" si="2291"/>
        <v>2010</v>
      </c>
    </row>
    <row r="4957" spans="1:24" ht="12" customHeight="1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  <c r="V4957">
        <f t="shared" si="2292"/>
        <v>11</v>
      </c>
      <c r="W4957">
        <f t="shared" si="2290"/>
        <v>3</v>
      </c>
      <c r="X4957">
        <f t="shared" si="2291"/>
        <v>2011</v>
      </c>
    </row>
    <row r="4958" spans="1:24" ht="12" customHeight="1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  <c r="V4958">
        <f t="shared" si="2292"/>
        <v>27</v>
      </c>
      <c r="W4958">
        <f t="shared" si="2290"/>
        <v>9</v>
      </c>
      <c r="X4958">
        <f t="shared" si="2291"/>
        <v>2009</v>
      </c>
    </row>
    <row r="4959" spans="1:24" ht="12" customHeight="1">
      <c r="A4959" s="4">
        <v>1881</v>
      </c>
      <c r="B4959" s="4">
        <v>13540</v>
      </c>
      <c r="C4959" s="5">
        <f t="shared" ref="C4959:C4961" si="2304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305">C4959+0</f>
        <v>40321</v>
      </c>
      <c r="V4959">
        <f t="shared" si="2292"/>
        <v>23</v>
      </c>
      <c r="W4959">
        <f t="shared" si="2290"/>
        <v>5</v>
      </c>
      <c r="X4959">
        <f t="shared" si="2291"/>
        <v>2010</v>
      </c>
    </row>
    <row r="4960" spans="1:24" ht="12" customHeight="1">
      <c r="A4960" s="4">
        <v>1882</v>
      </c>
      <c r="B4960" s="4">
        <v>13540</v>
      </c>
      <c r="C4960" s="5">
        <f t="shared" si="2304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305"/>
        <v>40321</v>
      </c>
      <c r="V4960">
        <f t="shared" si="2292"/>
        <v>23</v>
      </c>
      <c r="W4960">
        <f t="shared" si="2290"/>
        <v>5</v>
      </c>
      <c r="X4960">
        <f t="shared" si="2291"/>
        <v>2010</v>
      </c>
    </row>
    <row r="4961" spans="1:24" ht="12" customHeight="1">
      <c r="A4961" s="4">
        <v>1883</v>
      </c>
      <c r="B4961" s="4">
        <v>13540</v>
      </c>
      <c r="C4961" s="5">
        <f t="shared" si="2304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305"/>
        <v>40321</v>
      </c>
      <c r="V4961">
        <f t="shared" si="2292"/>
        <v>23</v>
      </c>
      <c r="W4961">
        <f t="shared" si="2290"/>
        <v>5</v>
      </c>
      <c r="X4961">
        <f t="shared" si="2291"/>
        <v>2010</v>
      </c>
    </row>
    <row r="4962" spans="1:24" ht="12" customHeight="1">
      <c r="A4962" s="4">
        <v>1919</v>
      </c>
      <c r="B4962" s="4">
        <v>13762</v>
      </c>
      <c r="C4962" s="5">
        <f t="shared" ref="C4962:C4964" si="2306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  <c r="V4962">
        <f t="shared" si="2292"/>
        <v>24</v>
      </c>
      <c r="W4962">
        <f t="shared" si="2290"/>
        <v>6</v>
      </c>
      <c r="X4962">
        <f t="shared" si="2291"/>
        <v>2010</v>
      </c>
    </row>
    <row r="4963" spans="1:24" ht="12" customHeight="1">
      <c r="A4963" s="4">
        <v>1920</v>
      </c>
      <c r="B4963" s="4">
        <v>13762</v>
      </c>
      <c r="C4963" s="5">
        <f t="shared" si="2306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307">C4963+2</f>
        <v>40352</v>
      </c>
      <c r="V4963">
        <f t="shared" si="2292"/>
        <v>23</v>
      </c>
      <c r="W4963">
        <f t="shared" si="2290"/>
        <v>6</v>
      </c>
      <c r="X4963">
        <f t="shared" si="2291"/>
        <v>2010</v>
      </c>
    </row>
    <row r="4964" spans="1:24" ht="12" customHeight="1">
      <c r="A4964" s="4">
        <v>1921</v>
      </c>
      <c r="B4964" s="4">
        <v>13762</v>
      </c>
      <c r="C4964" s="5">
        <f t="shared" si="2306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307"/>
        <v>40352</v>
      </c>
      <c r="V4964">
        <f t="shared" si="2292"/>
        <v>23</v>
      </c>
      <c r="W4964">
        <f t="shared" si="2290"/>
        <v>6</v>
      </c>
      <c r="X4964">
        <f t="shared" si="2291"/>
        <v>2010</v>
      </c>
    </row>
    <row r="4965" spans="1:24" ht="12" customHeight="1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308">C4965+1</f>
        <v>40136</v>
      </c>
      <c r="V4965">
        <f t="shared" si="2292"/>
        <v>19</v>
      </c>
      <c r="W4965">
        <f t="shared" si="2290"/>
        <v>11</v>
      </c>
      <c r="X4965">
        <f t="shared" si="2291"/>
        <v>2009</v>
      </c>
    </row>
    <row r="4966" spans="1:24" ht="12" customHeight="1">
      <c r="A4966" s="4">
        <v>2016</v>
      </c>
      <c r="B4966" s="4">
        <v>14400</v>
      </c>
      <c r="C4966" s="5">
        <f t="shared" ref="C4966:C4968" si="2309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308"/>
        <v>39849</v>
      </c>
      <c r="V4966">
        <f t="shared" si="2292"/>
        <v>5</v>
      </c>
      <c r="W4966">
        <f t="shared" si="2290"/>
        <v>2</v>
      </c>
      <c r="X4966">
        <f t="shared" si="2291"/>
        <v>2009</v>
      </c>
    </row>
    <row r="4967" spans="1:24" ht="12" customHeight="1">
      <c r="A4967" s="4">
        <v>2017</v>
      </c>
      <c r="B4967" s="4">
        <v>14400</v>
      </c>
      <c r="C4967" s="5">
        <f t="shared" si="2309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308"/>
        <v>39849</v>
      </c>
      <c r="V4967">
        <f t="shared" si="2292"/>
        <v>5</v>
      </c>
      <c r="W4967">
        <f t="shared" si="2290"/>
        <v>2</v>
      </c>
      <c r="X4967">
        <f t="shared" si="2291"/>
        <v>2009</v>
      </c>
    </row>
    <row r="4968" spans="1:24" ht="12" customHeight="1">
      <c r="A4968" s="4">
        <v>2018</v>
      </c>
      <c r="B4968" s="4">
        <v>14400</v>
      </c>
      <c r="C4968" s="5">
        <f t="shared" si="2309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308"/>
        <v>39849</v>
      </c>
      <c r="V4968">
        <f t="shared" si="2292"/>
        <v>5</v>
      </c>
      <c r="W4968">
        <f t="shared" si="2290"/>
        <v>2</v>
      </c>
      <c r="X4968">
        <f t="shared" si="2291"/>
        <v>2009</v>
      </c>
    </row>
    <row r="4969" spans="1:24" ht="12" customHeight="1">
      <c r="A4969" s="4">
        <v>2033</v>
      </c>
      <c r="B4969" s="4">
        <v>14500</v>
      </c>
      <c r="C4969" s="5">
        <f t="shared" ref="C4969:C4970" si="2310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  <c r="V4969">
        <f t="shared" si="2292"/>
        <v>26</v>
      </c>
      <c r="W4969">
        <f t="shared" si="2290"/>
        <v>6</v>
      </c>
      <c r="X4969">
        <f t="shared" si="2291"/>
        <v>2011</v>
      </c>
    </row>
    <row r="4970" spans="1:24" ht="12" customHeight="1">
      <c r="A4970" s="4">
        <v>2034</v>
      </c>
      <c r="B4970" s="4">
        <v>14500</v>
      </c>
      <c r="C4970" s="5">
        <f t="shared" si="2310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  <c r="V4970">
        <f t="shared" si="2292"/>
        <v>25</v>
      </c>
      <c r="W4970">
        <f t="shared" si="2290"/>
        <v>6</v>
      </c>
      <c r="X4970">
        <f t="shared" si="2291"/>
        <v>2011</v>
      </c>
    </row>
    <row r="4971" spans="1:24" ht="12" customHeight="1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  <c r="V4971">
        <f t="shared" si="2292"/>
        <v>18</v>
      </c>
      <c r="W4971">
        <f t="shared" si="2290"/>
        <v>7</v>
      </c>
      <c r="X4971">
        <f t="shared" si="2291"/>
        <v>2010</v>
      </c>
    </row>
    <row r="4972" spans="1:24" ht="12" customHeight="1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  <c r="V4972">
        <f t="shared" si="2292"/>
        <v>29</v>
      </c>
      <c r="W4972">
        <f t="shared" si="2290"/>
        <v>9</v>
      </c>
      <c r="X4972">
        <f t="shared" si="2291"/>
        <v>2011</v>
      </c>
    </row>
    <row r="4973" spans="1:24" ht="12" customHeight="1">
      <c r="A4973" s="4">
        <v>2107</v>
      </c>
      <c r="B4973" s="4">
        <v>15075</v>
      </c>
      <c r="C4973" s="5">
        <f t="shared" ref="C4973:C4974" si="2311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  <c r="V4973">
        <f t="shared" si="2292"/>
        <v>4</v>
      </c>
      <c r="W4973">
        <f t="shared" si="2290"/>
        <v>10</v>
      </c>
      <c r="X4973">
        <f t="shared" si="2291"/>
        <v>2009</v>
      </c>
    </row>
    <row r="4974" spans="1:24" ht="12" customHeight="1">
      <c r="A4974" s="4">
        <v>2108</v>
      </c>
      <c r="B4974" s="4">
        <v>15075</v>
      </c>
      <c r="C4974" s="5">
        <f t="shared" si="2311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  <c r="V4974">
        <f t="shared" si="2292"/>
        <v>6</v>
      </c>
      <c r="W4974">
        <f t="shared" si="2290"/>
        <v>10</v>
      </c>
      <c r="X4974">
        <f t="shared" si="2291"/>
        <v>2009</v>
      </c>
    </row>
    <row r="4975" spans="1:24" ht="12" customHeight="1">
      <c r="A4975" s="4">
        <v>2132</v>
      </c>
      <c r="B4975" s="4">
        <v>15234</v>
      </c>
      <c r="C4975" s="5">
        <f t="shared" ref="C4975:C4976" si="2312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313">C4975+1</f>
        <v>40250</v>
      </c>
      <c r="V4975">
        <f t="shared" si="2292"/>
        <v>13</v>
      </c>
      <c r="W4975">
        <f t="shared" si="2290"/>
        <v>3</v>
      </c>
      <c r="X4975">
        <f t="shared" si="2291"/>
        <v>2010</v>
      </c>
    </row>
    <row r="4976" spans="1:24" ht="12" customHeight="1">
      <c r="A4976" s="4">
        <v>2133</v>
      </c>
      <c r="B4976" s="4">
        <v>15234</v>
      </c>
      <c r="C4976" s="5">
        <f t="shared" si="2312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313"/>
        <v>40250</v>
      </c>
      <c r="V4976">
        <f t="shared" si="2292"/>
        <v>13</v>
      </c>
      <c r="W4976">
        <f t="shared" si="2290"/>
        <v>3</v>
      </c>
      <c r="X4976">
        <f t="shared" si="2291"/>
        <v>2010</v>
      </c>
    </row>
    <row r="4977" spans="1:24" ht="12" customHeight="1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314">C4977+2</f>
        <v>39846</v>
      </c>
      <c r="V4977">
        <f t="shared" si="2292"/>
        <v>2</v>
      </c>
      <c r="W4977">
        <f t="shared" si="2290"/>
        <v>2</v>
      </c>
      <c r="X4977">
        <f t="shared" si="2291"/>
        <v>2009</v>
      </c>
    </row>
    <row r="4978" spans="1:24" ht="12" customHeight="1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314"/>
        <v>41130</v>
      </c>
      <c r="V4978">
        <f t="shared" si="2292"/>
        <v>9</v>
      </c>
      <c r="W4978">
        <f t="shared" si="2290"/>
        <v>8</v>
      </c>
      <c r="X4978">
        <f t="shared" si="2291"/>
        <v>2012</v>
      </c>
    </row>
    <row r="4979" spans="1:24" ht="12" customHeight="1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314"/>
        <v>40440</v>
      </c>
      <c r="V4979">
        <f t="shared" si="2292"/>
        <v>19</v>
      </c>
      <c r="W4979">
        <f t="shared" si="2290"/>
        <v>9</v>
      </c>
      <c r="X4979">
        <f t="shared" si="2291"/>
        <v>2010</v>
      </c>
    </row>
    <row r="4980" spans="1:24" ht="12" customHeight="1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314"/>
        <v>41249</v>
      </c>
      <c r="V4980">
        <f t="shared" si="2292"/>
        <v>6</v>
      </c>
      <c r="W4980">
        <f t="shared" si="2290"/>
        <v>12</v>
      </c>
      <c r="X4980">
        <f t="shared" si="2291"/>
        <v>2012</v>
      </c>
    </row>
    <row r="4981" spans="1:24" ht="12" customHeight="1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314"/>
        <v>40450</v>
      </c>
      <c r="V4981">
        <f t="shared" si="2292"/>
        <v>29</v>
      </c>
      <c r="W4981">
        <f t="shared" si="2290"/>
        <v>9</v>
      </c>
      <c r="X4981">
        <f t="shared" si="2291"/>
        <v>2010</v>
      </c>
    </row>
    <row r="4982" spans="1:24" ht="12" customHeight="1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314"/>
        <v>41269</v>
      </c>
      <c r="V4982">
        <f t="shared" si="2292"/>
        <v>26</v>
      </c>
      <c r="W4982">
        <f t="shared" si="2290"/>
        <v>12</v>
      </c>
      <c r="X4982">
        <f t="shared" si="2291"/>
        <v>2012</v>
      </c>
    </row>
    <row r="4983" spans="1:24" ht="12" customHeight="1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314"/>
        <v>41107</v>
      </c>
      <c r="V4983">
        <f t="shared" si="2292"/>
        <v>17</v>
      </c>
      <c r="W4983">
        <f t="shared" si="2290"/>
        <v>7</v>
      </c>
      <c r="X4983">
        <f t="shared" si="2291"/>
        <v>2012</v>
      </c>
    </row>
    <row r="4984" spans="1:24" ht="12" customHeight="1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314"/>
        <v>39963</v>
      </c>
      <c r="V4984">
        <f t="shared" si="2292"/>
        <v>30</v>
      </c>
      <c r="W4984">
        <f t="shared" si="2290"/>
        <v>5</v>
      </c>
      <c r="X4984">
        <f t="shared" si="2291"/>
        <v>2009</v>
      </c>
    </row>
    <row r="4985" spans="1:24" ht="12" customHeight="1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  <c r="V4985">
        <f t="shared" si="2292"/>
        <v>8</v>
      </c>
      <c r="W4985">
        <f t="shared" si="2290"/>
        <v>1</v>
      </c>
      <c r="X4985">
        <f t="shared" si="2291"/>
        <v>2011</v>
      </c>
    </row>
    <row r="4986" spans="1:24" ht="12" customHeight="1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  <c r="V4986">
        <f t="shared" si="2292"/>
        <v>3</v>
      </c>
      <c r="W4986">
        <f t="shared" si="2290"/>
        <v>10</v>
      </c>
      <c r="X4986">
        <f t="shared" si="2291"/>
        <v>2009</v>
      </c>
    </row>
    <row r="4987" spans="1:24" ht="12" customHeight="1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  <c r="V4987">
        <f t="shared" si="2292"/>
        <v>13</v>
      </c>
      <c r="W4987">
        <f t="shared" si="2290"/>
        <v>11</v>
      </c>
      <c r="X4987">
        <f t="shared" si="2291"/>
        <v>2009</v>
      </c>
    </row>
    <row r="4988" spans="1:24" ht="12" customHeight="1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  <c r="V4988">
        <f t="shared" si="2292"/>
        <v>26</v>
      </c>
      <c r="W4988">
        <f t="shared" si="2290"/>
        <v>11</v>
      </c>
      <c r="X4988">
        <f t="shared" si="2291"/>
        <v>2012</v>
      </c>
    </row>
    <row r="4989" spans="1:24" ht="12" customHeight="1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  <c r="V4989">
        <f t="shared" si="2292"/>
        <v>25</v>
      </c>
      <c r="W4989">
        <f t="shared" si="2290"/>
        <v>10</v>
      </c>
      <c r="X4989">
        <f t="shared" si="2291"/>
        <v>2010</v>
      </c>
    </row>
    <row r="4990" spans="1:24" ht="12" customHeight="1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315">C4990+1</f>
        <v>40565</v>
      </c>
      <c r="V4990">
        <f t="shared" si="2292"/>
        <v>22</v>
      </c>
      <c r="W4990">
        <f t="shared" si="2290"/>
        <v>1</v>
      </c>
      <c r="X4990">
        <f t="shared" si="2291"/>
        <v>2011</v>
      </c>
    </row>
    <row r="4991" spans="1:24" ht="12" customHeight="1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315"/>
        <v>40946</v>
      </c>
      <c r="V4991">
        <f t="shared" si="2292"/>
        <v>7</v>
      </c>
      <c r="W4991">
        <f t="shared" si="2290"/>
        <v>2</v>
      </c>
      <c r="X4991">
        <f t="shared" si="2291"/>
        <v>2012</v>
      </c>
    </row>
    <row r="4992" spans="1:24" ht="12" customHeight="1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315"/>
        <v>40545</v>
      </c>
      <c r="V4992">
        <f t="shared" si="2292"/>
        <v>2</v>
      </c>
      <c r="W4992">
        <f t="shared" si="2290"/>
        <v>1</v>
      </c>
      <c r="X4992">
        <f t="shared" si="2291"/>
        <v>2011</v>
      </c>
    </row>
    <row r="4993" spans="1:24" ht="12" customHeight="1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  <c r="V4993">
        <f t="shared" si="2292"/>
        <v>29</v>
      </c>
      <c r="W4993">
        <f t="shared" si="2290"/>
        <v>6</v>
      </c>
      <c r="X4993">
        <f t="shared" si="2291"/>
        <v>2012</v>
      </c>
    </row>
    <row r="4994" spans="1:24" ht="12" customHeight="1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  <c r="V4994">
        <f t="shared" si="2292"/>
        <v>1</v>
      </c>
      <c r="W4994">
        <f t="shared" si="2290"/>
        <v>10</v>
      </c>
      <c r="X4994">
        <f t="shared" si="2291"/>
        <v>2012</v>
      </c>
    </row>
    <row r="4995" spans="1:24" ht="12" customHeight="1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  <c r="V4995">
        <f t="shared" si="2292"/>
        <v>29</v>
      </c>
      <c r="W4995">
        <f t="shared" ref="W4995:W5058" si="2316">MONTH(U4995)</f>
        <v>5</v>
      </c>
      <c r="X4995">
        <f t="shared" ref="X4995:X5058" si="2317">YEAR(U4995)</f>
        <v>2012</v>
      </c>
    </row>
    <row r="4996" spans="1:24" ht="12" customHeight="1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  <c r="V4996">
        <f t="shared" ref="V4996:V5059" si="2318">DAY(U4996)</f>
        <v>17</v>
      </c>
      <c r="W4996">
        <f t="shared" si="2316"/>
        <v>12</v>
      </c>
      <c r="X4996">
        <f t="shared" si="2317"/>
        <v>2012</v>
      </c>
    </row>
    <row r="4997" spans="1:24" ht="12" customHeight="1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  <c r="V4997">
        <f t="shared" si="2318"/>
        <v>19</v>
      </c>
      <c r="W4997">
        <f t="shared" si="2316"/>
        <v>1</v>
      </c>
      <c r="X4997">
        <f t="shared" si="2317"/>
        <v>2010</v>
      </c>
    </row>
    <row r="4998" spans="1:24" ht="12" customHeight="1">
      <c r="A4998" s="4">
        <v>2613</v>
      </c>
      <c r="B4998" s="4">
        <v>18884</v>
      </c>
      <c r="C4998" s="5">
        <f t="shared" ref="C4998:C4999" si="2319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  <c r="V4998">
        <f t="shared" si="2318"/>
        <v>25</v>
      </c>
      <c r="W4998">
        <f t="shared" si="2316"/>
        <v>6</v>
      </c>
      <c r="X4998">
        <f t="shared" si="2317"/>
        <v>2011</v>
      </c>
    </row>
    <row r="4999" spans="1:24" ht="12" customHeight="1">
      <c r="A4999" s="4">
        <v>2614</v>
      </c>
      <c r="B4999" s="4">
        <v>18884</v>
      </c>
      <c r="C4999" s="5">
        <f t="shared" si="2319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  <c r="V4999">
        <f t="shared" si="2318"/>
        <v>26</v>
      </c>
      <c r="W4999">
        <f t="shared" si="2316"/>
        <v>6</v>
      </c>
      <c r="X4999">
        <f t="shared" si="2317"/>
        <v>2011</v>
      </c>
    </row>
    <row r="5000" spans="1:24" ht="12" customHeight="1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  <c r="V5000">
        <f t="shared" si="2318"/>
        <v>17</v>
      </c>
      <c r="W5000">
        <f t="shared" si="2316"/>
        <v>12</v>
      </c>
      <c r="X5000">
        <f t="shared" si="2317"/>
        <v>2009</v>
      </c>
    </row>
    <row r="5001" spans="1:24" ht="12" customHeight="1">
      <c r="A5001" s="4">
        <v>2673</v>
      </c>
      <c r="B5001" s="4">
        <v>19361</v>
      </c>
      <c r="C5001" s="5">
        <f t="shared" ref="C5001:C5002" si="2320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  <c r="V5001">
        <f t="shared" si="2318"/>
        <v>2</v>
      </c>
      <c r="W5001">
        <f t="shared" si="2316"/>
        <v>10</v>
      </c>
      <c r="X5001">
        <f t="shared" si="2317"/>
        <v>2012</v>
      </c>
    </row>
    <row r="5002" spans="1:24" ht="12" customHeight="1">
      <c r="A5002" s="4">
        <v>2674</v>
      </c>
      <c r="B5002" s="4">
        <v>19361</v>
      </c>
      <c r="C5002" s="5">
        <f t="shared" si="2320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  <c r="V5002">
        <f t="shared" si="2318"/>
        <v>30</v>
      </c>
      <c r="W5002">
        <f t="shared" si="2316"/>
        <v>9</v>
      </c>
      <c r="X5002">
        <f t="shared" si="2317"/>
        <v>2012</v>
      </c>
    </row>
    <row r="5003" spans="1:24" ht="12" customHeight="1">
      <c r="A5003" s="4">
        <v>2706</v>
      </c>
      <c r="B5003" s="4">
        <v>19557</v>
      </c>
      <c r="C5003" s="5">
        <f t="shared" ref="C5003:C5004" si="2321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  <c r="V5003">
        <f t="shared" si="2318"/>
        <v>3</v>
      </c>
      <c r="W5003">
        <f t="shared" si="2316"/>
        <v>11</v>
      </c>
      <c r="X5003">
        <f t="shared" si="2317"/>
        <v>2011</v>
      </c>
    </row>
    <row r="5004" spans="1:24" ht="12" customHeight="1">
      <c r="A5004" s="4">
        <v>2707</v>
      </c>
      <c r="B5004" s="4">
        <v>19557</v>
      </c>
      <c r="C5004" s="5">
        <f t="shared" si="2321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  <c r="V5004">
        <f t="shared" si="2318"/>
        <v>30</v>
      </c>
      <c r="W5004">
        <f t="shared" si="2316"/>
        <v>10</v>
      </c>
      <c r="X5004">
        <f t="shared" si="2317"/>
        <v>2011</v>
      </c>
    </row>
    <row r="5005" spans="1:24" ht="12" customHeight="1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  <c r="V5005">
        <f t="shared" si="2318"/>
        <v>3</v>
      </c>
      <c r="W5005">
        <f t="shared" si="2316"/>
        <v>11</v>
      </c>
      <c r="X5005">
        <f t="shared" si="2317"/>
        <v>2012</v>
      </c>
    </row>
    <row r="5006" spans="1:24" ht="12" customHeight="1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  <c r="V5006">
        <f t="shared" si="2318"/>
        <v>29</v>
      </c>
      <c r="W5006">
        <f t="shared" si="2316"/>
        <v>6</v>
      </c>
      <c r="X5006">
        <f t="shared" si="2317"/>
        <v>2012</v>
      </c>
    </row>
    <row r="5007" spans="1:24" ht="12" customHeight="1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322">C5007+2</f>
        <v>40253</v>
      </c>
      <c r="V5007">
        <f t="shared" si="2318"/>
        <v>16</v>
      </c>
      <c r="W5007">
        <f t="shared" si="2316"/>
        <v>3</v>
      </c>
      <c r="X5007">
        <f t="shared" si="2317"/>
        <v>2010</v>
      </c>
    </row>
    <row r="5008" spans="1:24" ht="12" customHeight="1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322"/>
        <v>40084</v>
      </c>
      <c r="V5008">
        <f t="shared" si="2318"/>
        <v>28</v>
      </c>
      <c r="W5008">
        <f t="shared" si="2316"/>
        <v>9</v>
      </c>
      <c r="X5008">
        <f t="shared" si="2317"/>
        <v>2009</v>
      </c>
    </row>
    <row r="5009" spans="1:24" ht="12" customHeight="1">
      <c r="A5009" s="4">
        <v>2787</v>
      </c>
      <c r="B5009" s="4">
        <v>20103</v>
      </c>
      <c r="C5009" s="5">
        <f t="shared" ref="C5009:C5010" si="2323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  <c r="V5009">
        <f t="shared" si="2318"/>
        <v>12</v>
      </c>
      <c r="W5009">
        <f t="shared" si="2316"/>
        <v>2</v>
      </c>
      <c r="X5009">
        <f t="shared" si="2317"/>
        <v>2010</v>
      </c>
    </row>
    <row r="5010" spans="1:24" ht="12" customHeight="1">
      <c r="A5010" s="4">
        <v>2788</v>
      </c>
      <c r="B5010" s="4">
        <v>20103</v>
      </c>
      <c r="C5010" s="5">
        <f t="shared" si="2323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  <c r="V5010">
        <f t="shared" si="2318"/>
        <v>13</v>
      </c>
      <c r="W5010">
        <f t="shared" si="2316"/>
        <v>2</v>
      </c>
      <c r="X5010">
        <f t="shared" si="2317"/>
        <v>2010</v>
      </c>
    </row>
    <row r="5011" spans="1:24" ht="12" customHeight="1">
      <c r="A5011" s="4">
        <v>2794</v>
      </c>
      <c r="B5011" s="4">
        <v>20135</v>
      </c>
      <c r="C5011" s="5">
        <f t="shared" ref="C5011:C5012" si="2324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  <c r="V5011">
        <f t="shared" si="2318"/>
        <v>30</v>
      </c>
      <c r="W5011">
        <f t="shared" si="2316"/>
        <v>6</v>
      </c>
      <c r="X5011">
        <f t="shared" si="2317"/>
        <v>2009</v>
      </c>
    </row>
    <row r="5012" spans="1:24" ht="12" customHeight="1">
      <c r="A5012" s="4">
        <v>2795</v>
      </c>
      <c r="B5012" s="4">
        <v>20135</v>
      </c>
      <c r="C5012" s="5">
        <f t="shared" si="2324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  <c r="V5012">
        <f t="shared" si="2318"/>
        <v>2</v>
      </c>
      <c r="W5012">
        <f t="shared" si="2316"/>
        <v>7</v>
      </c>
      <c r="X5012">
        <f t="shared" si="2317"/>
        <v>2009</v>
      </c>
    </row>
    <row r="5013" spans="1:24" ht="12" customHeight="1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  <c r="V5013">
        <f t="shared" si="2318"/>
        <v>8</v>
      </c>
      <c r="W5013">
        <f t="shared" si="2316"/>
        <v>3</v>
      </c>
      <c r="X5013">
        <f t="shared" si="2317"/>
        <v>2009</v>
      </c>
    </row>
    <row r="5014" spans="1:24" ht="12" customHeight="1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325">C5014+7</f>
        <v>40464</v>
      </c>
      <c r="V5014">
        <f t="shared" si="2318"/>
        <v>13</v>
      </c>
      <c r="W5014">
        <f t="shared" si="2316"/>
        <v>10</v>
      </c>
      <c r="X5014">
        <f t="shared" si="2317"/>
        <v>2010</v>
      </c>
    </row>
    <row r="5015" spans="1:24" ht="12" customHeight="1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325"/>
        <v>40123</v>
      </c>
      <c r="V5015">
        <f t="shared" si="2318"/>
        <v>6</v>
      </c>
      <c r="W5015">
        <f t="shared" si="2316"/>
        <v>11</v>
      </c>
      <c r="X5015">
        <f t="shared" si="2317"/>
        <v>2009</v>
      </c>
    </row>
    <row r="5016" spans="1:24" ht="12" customHeight="1">
      <c r="A5016" s="4">
        <v>2906</v>
      </c>
      <c r="B5016" s="4">
        <v>20966</v>
      </c>
      <c r="C5016" s="5">
        <f t="shared" ref="C5016:C5018" si="2326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327">C5016+4</f>
        <v>40443</v>
      </c>
      <c r="V5016">
        <f t="shared" si="2318"/>
        <v>22</v>
      </c>
      <c r="W5016">
        <f t="shared" si="2316"/>
        <v>9</v>
      </c>
      <c r="X5016">
        <f t="shared" si="2317"/>
        <v>2010</v>
      </c>
    </row>
    <row r="5017" spans="1:24" ht="12" customHeight="1">
      <c r="A5017" s="4">
        <v>2907</v>
      </c>
      <c r="B5017" s="4">
        <v>20966</v>
      </c>
      <c r="C5017" s="5">
        <f t="shared" si="2326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327"/>
        <v>40443</v>
      </c>
      <c r="V5017">
        <f t="shared" si="2318"/>
        <v>22</v>
      </c>
      <c r="W5017">
        <f t="shared" si="2316"/>
        <v>9</v>
      </c>
      <c r="X5017">
        <f t="shared" si="2317"/>
        <v>2010</v>
      </c>
    </row>
    <row r="5018" spans="1:24" ht="12" customHeight="1">
      <c r="A5018" s="4">
        <v>2908</v>
      </c>
      <c r="B5018" s="4">
        <v>20966</v>
      </c>
      <c r="C5018" s="5">
        <f t="shared" si="2326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  <c r="V5018">
        <f t="shared" si="2318"/>
        <v>25</v>
      </c>
      <c r="W5018">
        <f t="shared" si="2316"/>
        <v>9</v>
      </c>
      <c r="X5018">
        <f t="shared" si="2317"/>
        <v>2010</v>
      </c>
    </row>
    <row r="5019" spans="1:24" ht="12" customHeight="1">
      <c r="A5019" s="4">
        <v>2916</v>
      </c>
      <c r="B5019" s="4">
        <v>21063</v>
      </c>
      <c r="C5019" s="5">
        <f t="shared" ref="C5019:C5020" si="2328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  <c r="V5019">
        <f t="shared" si="2318"/>
        <v>19</v>
      </c>
      <c r="W5019">
        <f t="shared" si="2316"/>
        <v>4</v>
      </c>
      <c r="X5019">
        <f t="shared" si="2317"/>
        <v>2011</v>
      </c>
    </row>
    <row r="5020" spans="1:24" ht="12" customHeight="1">
      <c r="A5020" s="4">
        <v>2917</v>
      </c>
      <c r="B5020" s="4">
        <v>21063</v>
      </c>
      <c r="C5020" s="5">
        <f t="shared" si="2328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  <c r="V5020">
        <f t="shared" si="2318"/>
        <v>15</v>
      </c>
      <c r="W5020">
        <f t="shared" si="2316"/>
        <v>4</v>
      </c>
      <c r="X5020">
        <f t="shared" si="2317"/>
        <v>2011</v>
      </c>
    </row>
    <row r="5021" spans="1:24" ht="12" customHeight="1">
      <c r="A5021" s="4">
        <v>2958</v>
      </c>
      <c r="B5021" s="4">
        <v>21412</v>
      </c>
      <c r="C5021" s="5">
        <f t="shared" ref="C5021:C5022" si="2329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  <c r="V5021">
        <f t="shared" si="2318"/>
        <v>15</v>
      </c>
      <c r="W5021">
        <f t="shared" si="2316"/>
        <v>7</v>
      </c>
      <c r="X5021">
        <f t="shared" si="2317"/>
        <v>2011</v>
      </c>
    </row>
    <row r="5022" spans="1:24" ht="12" customHeight="1">
      <c r="A5022" s="4">
        <v>2959</v>
      </c>
      <c r="B5022" s="4">
        <v>21412</v>
      </c>
      <c r="C5022" s="5">
        <f t="shared" si="2329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  <c r="V5022">
        <f t="shared" si="2318"/>
        <v>14</v>
      </c>
      <c r="W5022">
        <f t="shared" si="2316"/>
        <v>7</v>
      </c>
      <c r="X5022">
        <f t="shared" si="2317"/>
        <v>2011</v>
      </c>
    </row>
    <row r="5023" spans="1:24" ht="12" customHeight="1">
      <c r="A5023" s="4">
        <v>2964</v>
      </c>
      <c r="B5023" s="4">
        <v>21442</v>
      </c>
      <c r="C5023" s="5">
        <f t="shared" ref="C5023:C5024" si="2330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331">C5023+7</f>
        <v>40179</v>
      </c>
      <c r="V5023">
        <f t="shared" si="2318"/>
        <v>1</v>
      </c>
      <c r="W5023">
        <f t="shared" si="2316"/>
        <v>1</v>
      </c>
      <c r="X5023">
        <f t="shared" si="2317"/>
        <v>2010</v>
      </c>
    </row>
    <row r="5024" spans="1:24" ht="12" customHeight="1">
      <c r="A5024" s="4">
        <v>2965</v>
      </c>
      <c r="B5024" s="4">
        <v>21442</v>
      </c>
      <c r="C5024" s="5">
        <f t="shared" si="2330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331"/>
        <v>40179</v>
      </c>
      <c r="V5024">
        <f t="shared" si="2318"/>
        <v>1</v>
      </c>
      <c r="W5024">
        <f t="shared" si="2316"/>
        <v>1</v>
      </c>
      <c r="X5024">
        <f t="shared" si="2317"/>
        <v>2010</v>
      </c>
    </row>
    <row r="5025" spans="1:24" ht="12" customHeight="1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  <c r="V5025">
        <f t="shared" si="2318"/>
        <v>16</v>
      </c>
      <c r="W5025">
        <f t="shared" si="2316"/>
        <v>4</v>
      </c>
      <c r="X5025">
        <f t="shared" si="2317"/>
        <v>2011</v>
      </c>
    </row>
    <row r="5026" spans="1:24" ht="12" customHeight="1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332">C5026+2</f>
        <v>40045</v>
      </c>
      <c r="V5026">
        <f t="shared" si="2318"/>
        <v>20</v>
      </c>
      <c r="W5026">
        <f t="shared" si="2316"/>
        <v>8</v>
      </c>
      <c r="X5026">
        <f t="shared" si="2317"/>
        <v>2009</v>
      </c>
    </row>
    <row r="5027" spans="1:24" ht="12" customHeight="1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332"/>
        <v>40577</v>
      </c>
      <c r="V5027">
        <f t="shared" si="2318"/>
        <v>3</v>
      </c>
      <c r="W5027">
        <f t="shared" si="2316"/>
        <v>2</v>
      </c>
      <c r="X5027">
        <f t="shared" si="2317"/>
        <v>2011</v>
      </c>
    </row>
    <row r="5028" spans="1:24" ht="12" customHeight="1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332"/>
        <v>40909</v>
      </c>
      <c r="V5028">
        <f t="shared" si="2318"/>
        <v>1</v>
      </c>
      <c r="W5028">
        <f t="shared" si="2316"/>
        <v>1</v>
      </c>
      <c r="X5028">
        <f t="shared" si="2317"/>
        <v>2012</v>
      </c>
    </row>
    <row r="5029" spans="1:24" ht="12" customHeight="1">
      <c r="A5029" s="4">
        <v>3078</v>
      </c>
      <c r="B5029" s="4">
        <v>22085</v>
      </c>
      <c r="C5029" s="5">
        <f t="shared" ref="C5029:C5030" si="2333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332"/>
        <v>40979</v>
      </c>
      <c r="V5029">
        <f t="shared" si="2318"/>
        <v>11</v>
      </c>
      <c r="W5029">
        <f t="shared" si="2316"/>
        <v>3</v>
      </c>
      <c r="X5029">
        <f t="shared" si="2317"/>
        <v>2012</v>
      </c>
    </row>
    <row r="5030" spans="1:24" ht="12" customHeight="1">
      <c r="A5030" s="4">
        <v>3079</v>
      </c>
      <c r="B5030" s="4">
        <v>22085</v>
      </c>
      <c r="C5030" s="5">
        <f t="shared" si="2333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  <c r="V5030">
        <f t="shared" si="2318"/>
        <v>9</v>
      </c>
      <c r="W5030">
        <f t="shared" si="2316"/>
        <v>3</v>
      </c>
      <c r="X5030">
        <f t="shared" si="2317"/>
        <v>2012</v>
      </c>
    </row>
    <row r="5031" spans="1:24" ht="12" customHeight="1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  <c r="V5031">
        <f t="shared" si="2318"/>
        <v>16</v>
      </c>
      <c r="W5031">
        <f t="shared" si="2316"/>
        <v>12</v>
      </c>
      <c r="X5031">
        <f t="shared" si="2317"/>
        <v>2011</v>
      </c>
    </row>
    <row r="5032" spans="1:24" ht="12" customHeight="1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  <c r="V5032">
        <f t="shared" si="2318"/>
        <v>18</v>
      </c>
      <c r="W5032">
        <f t="shared" si="2316"/>
        <v>1</v>
      </c>
      <c r="X5032">
        <f t="shared" si="2317"/>
        <v>2009</v>
      </c>
    </row>
    <row r="5033" spans="1:24" ht="12" customHeight="1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  <c r="V5033">
        <f t="shared" si="2318"/>
        <v>29</v>
      </c>
      <c r="W5033">
        <f t="shared" si="2316"/>
        <v>11</v>
      </c>
      <c r="X5033">
        <f t="shared" si="2317"/>
        <v>2011</v>
      </c>
    </row>
    <row r="5034" spans="1:24" ht="12" customHeight="1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  <c r="V5034">
        <f t="shared" si="2318"/>
        <v>18</v>
      </c>
      <c r="W5034">
        <f t="shared" si="2316"/>
        <v>7</v>
      </c>
      <c r="X5034">
        <f t="shared" si="2317"/>
        <v>2009</v>
      </c>
    </row>
    <row r="5035" spans="1:24" ht="12" customHeight="1">
      <c r="A5035" s="4">
        <v>3209</v>
      </c>
      <c r="B5035" s="4">
        <v>23041</v>
      </c>
      <c r="C5035" s="5">
        <f t="shared" ref="C5035:C5037" si="2334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  <c r="V5035">
        <f t="shared" si="2318"/>
        <v>27</v>
      </c>
      <c r="W5035">
        <f t="shared" si="2316"/>
        <v>7</v>
      </c>
      <c r="X5035">
        <f t="shared" si="2317"/>
        <v>2010</v>
      </c>
    </row>
    <row r="5036" spans="1:24" ht="12" customHeight="1">
      <c r="A5036" s="4">
        <v>3210</v>
      </c>
      <c r="B5036" s="4">
        <v>23041</v>
      </c>
      <c r="C5036" s="5">
        <f t="shared" si="2334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  <c r="V5036">
        <f t="shared" si="2318"/>
        <v>22</v>
      </c>
      <c r="W5036">
        <f t="shared" si="2316"/>
        <v>7</v>
      </c>
      <c r="X5036">
        <f t="shared" si="2317"/>
        <v>2010</v>
      </c>
    </row>
    <row r="5037" spans="1:24" ht="12" customHeight="1">
      <c r="A5037" s="4">
        <v>3211</v>
      </c>
      <c r="B5037" s="4">
        <v>23041</v>
      </c>
      <c r="C5037" s="5">
        <f t="shared" si="2334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  <c r="V5037">
        <f t="shared" si="2318"/>
        <v>27</v>
      </c>
      <c r="W5037">
        <f t="shared" si="2316"/>
        <v>7</v>
      </c>
      <c r="X5037">
        <f t="shared" si="2317"/>
        <v>2010</v>
      </c>
    </row>
    <row r="5038" spans="1:24" ht="12" customHeight="1">
      <c r="A5038" s="4">
        <v>3239</v>
      </c>
      <c r="B5038" s="4">
        <v>23232</v>
      </c>
      <c r="C5038" s="5">
        <f t="shared" ref="C5038:C5040" si="2335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336">C5038+1</f>
        <v>40285</v>
      </c>
      <c r="V5038">
        <f t="shared" si="2318"/>
        <v>17</v>
      </c>
      <c r="W5038">
        <f t="shared" si="2316"/>
        <v>4</v>
      </c>
      <c r="X5038">
        <f t="shared" si="2317"/>
        <v>2010</v>
      </c>
    </row>
    <row r="5039" spans="1:24" ht="12" customHeight="1">
      <c r="A5039" s="4">
        <v>3240</v>
      </c>
      <c r="B5039" s="4">
        <v>23232</v>
      </c>
      <c r="C5039" s="5">
        <f t="shared" si="2335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336"/>
        <v>40285</v>
      </c>
      <c r="V5039">
        <f t="shared" si="2318"/>
        <v>17</v>
      </c>
      <c r="W5039">
        <f t="shared" si="2316"/>
        <v>4</v>
      </c>
      <c r="X5039">
        <f t="shared" si="2317"/>
        <v>2010</v>
      </c>
    </row>
    <row r="5040" spans="1:24" ht="12" customHeight="1">
      <c r="A5040" s="4">
        <v>3241</v>
      </c>
      <c r="B5040" s="4">
        <v>23232</v>
      </c>
      <c r="C5040" s="5">
        <f t="shared" si="2335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  <c r="V5040">
        <f t="shared" si="2318"/>
        <v>16</v>
      </c>
      <c r="W5040">
        <f t="shared" si="2316"/>
        <v>4</v>
      </c>
      <c r="X5040">
        <f t="shared" si="2317"/>
        <v>2010</v>
      </c>
    </row>
    <row r="5041" spans="1:24" ht="12" customHeight="1">
      <c r="A5041" s="4">
        <v>3248</v>
      </c>
      <c r="B5041" s="4">
        <v>23270</v>
      </c>
      <c r="C5041" s="5">
        <f t="shared" ref="C5041:C5042" si="2337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  <c r="V5041">
        <f t="shared" si="2318"/>
        <v>17</v>
      </c>
      <c r="W5041">
        <f t="shared" si="2316"/>
        <v>3</v>
      </c>
      <c r="X5041">
        <f t="shared" si="2317"/>
        <v>2011</v>
      </c>
    </row>
    <row r="5042" spans="1:24" ht="12" customHeight="1">
      <c r="A5042" s="4">
        <v>3249</v>
      </c>
      <c r="B5042" s="4">
        <v>23270</v>
      </c>
      <c r="C5042" s="5">
        <f t="shared" si="2337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  <c r="V5042">
        <f t="shared" si="2318"/>
        <v>18</v>
      </c>
      <c r="W5042">
        <f t="shared" si="2316"/>
        <v>3</v>
      </c>
      <c r="X5042">
        <f t="shared" si="2317"/>
        <v>2011</v>
      </c>
    </row>
    <row r="5043" spans="1:24" ht="12" customHeight="1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338">C5043+2</f>
        <v>41242</v>
      </c>
      <c r="V5043">
        <f t="shared" si="2318"/>
        <v>29</v>
      </c>
      <c r="W5043">
        <f t="shared" si="2316"/>
        <v>11</v>
      </c>
      <c r="X5043">
        <f t="shared" si="2317"/>
        <v>2012</v>
      </c>
    </row>
    <row r="5044" spans="1:24" ht="12" customHeight="1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338"/>
        <v>40547</v>
      </c>
      <c r="V5044">
        <f t="shared" si="2318"/>
        <v>4</v>
      </c>
      <c r="W5044">
        <f t="shared" si="2316"/>
        <v>1</v>
      </c>
      <c r="X5044">
        <f t="shared" si="2317"/>
        <v>2011</v>
      </c>
    </row>
    <row r="5045" spans="1:24" ht="12" customHeight="1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338"/>
        <v>41014</v>
      </c>
      <c r="V5045">
        <f t="shared" si="2318"/>
        <v>15</v>
      </c>
      <c r="W5045">
        <f t="shared" si="2316"/>
        <v>4</v>
      </c>
      <c r="X5045">
        <f t="shared" si="2317"/>
        <v>2012</v>
      </c>
    </row>
    <row r="5046" spans="1:24" ht="12" customHeight="1">
      <c r="A5046" s="4">
        <v>3390</v>
      </c>
      <c r="B5046" s="4">
        <v>24162</v>
      </c>
      <c r="C5046" s="5">
        <f t="shared" ref="C5046:C5047" si="2339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338"/>
        <v>40049</v>
      </c>
      <c r="V5046">
        <f t="shared" si="2318"/>
        <v>24</v>
      </c>
      <c r="W5046">
        <f t="shared" si="2316"/>
        <v>8</v>
      </c>
      <c r="X5046">
        <f t="shared" si="2317"/>
        <v>2009</v>
      </c>
    </row>
    <row r="5047" spans="1:24" ht="12" customHeight="1">
      <c r="A5047" s="4">
        <v>3391</v>
      </c>
      <c r="B5047" s="4">
        <v>24162</v>
      </c>
      <c r="C5047" s="5">
        <f t="shared" si="2339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  <c r="V5047">
        <f t="shared" si="2318"/>
        <v>23</v>
      </c>
      <c r="W5047">
        <f t="shared" si="2316"/>
        <v>8</v>
      </c>
      <c r="X5047">
        <f t="shared" si="2317"/>
        <v>2009</v>
      </c>
    </row>
    <row r="5048" spans="1:24" ht="12" customHeight="1">
      <c r="A5048" s="4">
        <v>3412</v>
      </c>
      <c r="B5048" s="4">
        <v>24384</v>
      </c>
      <c r="C5048" s="5">
        <f t="shared" ref="C5048:C5050" si="2340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341">C5048+2</f>
        <v>40630</v>
      </c>
      <c r="V5048">
        <f t="shared" si="2318"/>
        <v>28</v>
      </c>
      <c r="W5048">
        <f t="shared" si="2316"/>
        <v>3</v>
      </c>
      <c r="X5048">
        <f t="shared" si="2317"/>
        <v>2011</v>
      </c>
    </row>
    <row r="5049" spans="1:24" ht="12" customHeight="1">
      <c r="A5049" s="4">
        <v>3413</v>
      </c>
      <c r="B5049" s="4">
        <v>24384</v>
      </c>
      <c r="C5049" s="5">
        <f t="shared" si="2340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341"/>
        <v>40630</v>
      </c>
      <c r="V5049">
        <f t="shared" si="2318"/>
        <v>28</v>
      </c>
      <c r="W5049">
        <f t="shared" si="2316"/>
        <v>3</v>
      </c>
      <c r="X5049">
        <f t="shared" si="2317"/>
        <v>2011</v>
      </c>
    </row>
    <row r="5050" spans="1:24" ht="12" customHeight="1">
      <c r="A5050" s="4">
        <v>3414</v>
      </c>
      <c r="B5050" s="4">
        <v>24384</v>
      </c>
      <c r="C5050" s="5">
        <f t="shared" si="2340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341"/>
        <v>40630</v>
      </c>
      <c r="V5050">
        <f t="shared" si="2318"/>
        <v>28</v>
      </c>
      <c r="W5050">
        <f t="shared" si="2316"/>
        <v>3</v>
      </c>
      <c r="X5050">
        <f t="shared" si="2317"/>
        <v>2011</v>
      </c>
    </row>
    <row r="5051" spans="1:24" ht="12" customHeight="1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341"/>
        <v>40947</v>
      </c>
      <c r="V5051">
        <f t="shared" si="2318"/>
        <v>8</v>
      </c>
      <c r="W5051">
        <f t="shared" si="2316"/>
        <v>2</v>
      </c>
      <c r="X5051">
        <f t="shared" si="2317"/>
        <v>2012</v>
      </c>
    </row>
    <row r="5052" spans="1:24" ht="12" customHeight="1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  <c r="V5052">
        <f t="shared" si="2318"/>
        <v>7</v>
      </c>
      <c r="W5052">
        <f t="shared" si="2316"/>
        <v>5</v>
      </c>
      <c r="X5052">
        <f t="shared" si="2317"/>
        <v>2009</v>
      </c>
    </row>
    <row r="5053" spans="1:24" ht="12" customHeight="1">
      <c r="A5053" s="4">
        <v>3436</v>
      </c>
      <c r="B5053" s="4">
        <v>24544</v>
      </c>
      <c r="C5053" s="5">
        <f t="shared" ref="C5053:C5055" si="2342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343">C5053+1</f>
        <v>39840</v>
      </c>
      <c r="V5053">
        <f t="shared" si="2318"/>
        <v>27</v>
      </c>
      <c r="W5053">
        <f t="shared" si="2316"/>
        <v>1</v>
      </c>
      <c r="X5053">
        <f t="shared" si="2317"/>
        <v>2009</v>
      </c>
    </row>
    <row r="5054" spans="1:24" ht="12" customHeight="1">
      <c r="A5054" s="4">
        <v>3437</v>
      </c>
      <c r="B5054" s="4">
        <v>24544</v>
      </c>
      <c r="C5054" s="5">
        <f t="shared" si="2342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343"/>
        <v>39840</v>
      </c>
      <c r="V5054">
        <f t="shared" si="2318"/>
        <v>27</v>
      </c>
      <c r="W5054">
        <f t="shared" si="2316"/>
        <v>1</v>
      </c>
      <c r="X5054">
        <f t="shared" si="2317"/>
        <v>2009</v>
      </c>
    </row>
    <row r="5055" spans="1:24" ht="12" customHeight="1">
      <c r="A5055" s="4">
        <v>3438</v>
      </c>
      <c r="B5055" s="4">
        <v>24544</v>
      </c>
      <c r="C5055" s="5">
        <f t="shared" si="2342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343"/>
        <v>39840</v>
      </c>
      <c r="V5055">
        <f t="shared" si="2318"/>
        <v>27</v>
      </c>
      <c r="W5055">
        <f t="shared" si="2316"/>
        <v>1</v>
      </c>
      <c r="X5055">
        <f t="shared" si="2317"/>
        <v>2009</v>
      </c>
    </row>
    <row r="5056" spans="1:24" ht="12" customHeight="1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343"/>
        <v>40988</v>
      </c>
      <c r="V5056">
        <f t="shared" si="2318"/>
        <v>20</v>
      </c>
      <c r="W5056">
        <f t="shared" si="2316"/>
        <v>3</v>
      </c>
      <c r="X5056">
        <f t="shared" si="2317"/>
        <v>2012</v>
      </c>
    </row>
    <row r="5057" spans="1:24" ht="12" customHeight="1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344">C5057+2</f>
        <v>40326</v>
      </c>
      <c r="V5057">
        <f t="shared" si="2318"/>
        <v>28</v>
      </c>
      <c r="W5057">
        <f t="shared" si="2316"/>
        <v>5</v>
      </c>
      <c r="X5057">
        <f t="shared" si="2317"/>
        <v>2010</v>
      </c>
    </row>
    <row r="5058" spans="1:24" ht="12" customHeight="1">
      <c r="A5058" s="4">
        <v>3555</v>
      </c>
      <c r="B5058" s="4">
        <v>25348</v>
      </c>
      <c r="C5058" s="5">
        <f t="shared" ref="C5058:C5059" si="2345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344"/>
        <v>41040</v>
      </c>
      <c r="V5058">
        <f t="shared" si="2318"/>
        <v>11</v>
      </c>
      <c r="W5058">
        <f t="shared" si="2316"/>
        <v>5</v>
      </c>
      <c r="X5058">
        <f t="shared" si="2317"/>
        <v>2012</v>
      </c>
    </row>
    <row r="5059" spans="1:24" ht="12" customHeight="1">
      <c r="A5059" s="4">
        <v>3556</v>
      </c>
      <c r="B5059" s="4">
        <v>25348</v>
      </c>
      <c r="C5059" s="5">
        <f t="shared" si="2345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344"/>
        <v>41040</v>
      </c>
      <c r="V5059">
        <f t="shared" si="2318"/>
        <v>11</v>
      </c>
      <c r="W5059">
        <f t="shared" ref="W5059:W5122" si="2346">MONTH(U5059)</f>
        <v>5</v>
      </c>
      <c r="X5059">
        <f t="shared" ref="X5059:X5122" si="2347">YEAR(U5059)</f>
        <v>2012</v>
      </c>
    </row>
    <row r="5060" spans="1:24" ht="12" customHeight="1">
      <c r="A5060" s="4">
        <v>3557</v>
      </c>
      <c r="B5060" s="4">
        <v>25350</v>
      </c>
      <c r="C5060" s="5">
        <f t="shared" ref="C5060:C5061" si="2348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344"/>
        <v>40517</v>
      </c>
      <c r="V5060">
        <f t="shared" ref="V5060:V5123" si="2349">DAY(U5060)</f>
        <v>5</v>
      </c>
      <c r="W5060">
        <f t="shared" si="2346"/>
        <v>12</v>
      </c>
      <c r="X5060">
        <f t="shared" si="2347"/>
        <v>2010</v>
      </c>
    </row>
    <row r="5061" spans="1:24" ht="12" customHeight="1">
      <c r="A5061" s="4">
        <v>3558</v>
      </c>
      <c r="B5061" s="4">
        <v>25350</v>
      </c>
      <c r="C5061" s="5">
        <f t="shared" si="2348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344"/>
        <v>40517</v>
      </c>
      <c r="V5061">
        <f t="shared" si="2349"/>
        <v>5</v>
      </c>
      <c r="W5061">
        <f t="shared" si="2346"/>
        <v>12</v>
      </c>
      <c r="X5061">
        <f t="shared" si="2347"/>
        <v>2010</v>
      </c>
    </row>
    <row r="5062" spans="1:24" ht="12" customHeight="1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344"/>
        <v>39828</v>
      </c>
      <c r="V5062">
        <f t="shared" si="2349"/>
        <v>15</v>
      </c>
      <c r="W5062">
        <f t="shared" si="2346"/>
        <v>1</v>
      </c>
      <c r="X5062">
        <f t="shared" si="2347"/>
        <v>2009</v>
      </c>
    </row>
    <row r="5063" spans="1:24" ht="12" customHeight="1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  <c r="V5063">
        <f t="shared" si="2349"/>
        <v>6</v>
      </c>
      <c r="W5063">
        <f t="shared" si="2346"/>
        <v>1</v>
      </c>
      <c r="X5063">
        <f t="shared" si="2347"/>
        <v>2009</v>
      </c>
    </row>
    <row r="5064" spans="1:24" ht="12" customHeight="1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350">C5064+2</f>
        <v>40507</v>
      </c>
      <c r="V5064">
        <f t="shared" si="2349"/>
        <v>25</v>
      </c>
      <c r="W5064">
        <f t="shared" si="2346"/>
        <v>11</v>
      </c>
      <c r="X5064">
        <f t="shared" si="2347"/>
        <v>2010</v>
      </c>
    </row>
    <row r="5065" spans="1:24" ht="12" customHeight="1">
      <c r="A5065" s="4">
        <v>3656</v>
      </c>
      <c r="B5065" s="4">
        <v>26176</v>
      </c>
      <c r="C5065" s="5">
        <f t="shared" ref="C5065:C5066" si="235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350"/>
        <v>40868</v>
      </c>
      <c r="V5065">
        <f t="shared" si="2349"/>
        <v>21</v>
      </c>
      <c r="W5065">
        <f t="shared" si="2346"/>
        <v>11</v>
      </c>
      <c r="X5065">
        <f t="shared" si="2347"/>
        <v>2011</v>
      </c>
    </row>
    <row r="5066" spans="1:24" ht="12" customHeight="1">
      <c r="A5066" s="4">
        <v>3657</v>
      </c>
      <c r="B5066" s="4">
        <v>26176</v>
      </c>
      <c r="C5066" s="5">
        <f t="shared" si="235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  <c r="V5066">
        <f t="shared" si="2349"/>
        <v>20</v>
      </c>
      <c r="W5066">
        <f t="shared" si="2346"/>
        <v>11</v>
      </c>
      <c r="X5066">
        <f t="shared" si="2347"/>
        <v>2011</v>
      </c>
    </row>
    <row r="5067" spans="1:24" ht="12" customHeight="1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  <c r="V5067">
        <f t="shared" si="2349"/>
        <v>10</v>
      </c>
      <c r="W5067">
        <f t="shared" si="2346"/>
        <v>11</v>
      </c>
      <c r="X5067">
        <f t="shared" si="2347"/>
        <v>2009</v>
      </c>
    </row>
    <row r="5068" spans="1:24" ht="12" customHeight="1">
      <c r="A5068" s="4">
        <v>3712</v>
      </c>
      <c r="B5068" s="4">
        <v>26503</v>
      </c>
      <c r="C5068" s="5">
        <f t="shared" ref="C5068:C5069" si="235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  <c r="V5068">
        <f t="shared" si="2349"/>
        <v>23</v>
      </c>
      <c r="W5068">
        <f t="shared" si="2346"/>
        <v>4</v>
      </c>
      <c r="X5068">
        <f t="shared" si="2347"/>
        <v>2011</v>
      </c>
    </row>
    <row r="5069" spans="1:24" ht="12" customHeight="1">
      <c r="A5069" s="4">
        <v>3713</v>
      </c>
      <c r="B5069" s="4">
        <v>26503</v>
      </c>
      <c r="C5069" s="5">
        <f t="shared" si="235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  <c r="V5069">
        <f t="shared" si="2349"/>
        <v>22</v>
      </c>
      <c r="W5069">
        <f t="shared" si="2346"/>
        <v>4</v>
      </c>
      <c r="X5069">
        <f t="shared" si="2347"/>
        <v>2011</v>
      </c>
    </row>
    <row r="5070" spans="1:24" ht="12" customHeight="1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353">C5070+2</f>
        <v>41183</v>
      </c>
      <c r="V5070">
        <f t="shared" si="2349"/>
        <v>1</v>
      </c>
      <c r="W5070">
        <f t="shared" si="2346"/>
        <v>10</v>
      </c>
      <c r="X5070">
        <f t="shared" si="2347"/>
        <v>2012</v>
      </c>
    </row>
    <row r="5071" spans="1:24" ht="12" customHeight="1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353"/>
        <v>40807</v>
      </c>
      <c r="V5071">
        <f t="shared" si="2349"/>
        <v>21</v>
      </c>
      <c r="W5071">
        <f t="shared" si="2346"/>
        <v>9</v>
      </c>
      <c r="X5071">
        <f t="shared" si="2347"/>
        <v>2011</v>
      </c>
    </row>
    <row r="5072" spans="1:24" ht="12" customHeight="1">
      <c r="A5072" s="4">
        <v>3769</v>
      </c>
      <c r="B5072" s="4">
        <v>26919</v>
      </c>
      <c r="C5072" s="5">
        <f t="shared" ref="C5072:C5073" si="235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353"/>
        <v>41255</v>
      </c>
      <c r="V5072">
        <f t="shared" si="2349"/>
        <v>12</v>
      </c>
      <c r="W5072">
        <f t="shared" si="2346"/>
        <v>12</v>
      </c>
      <c r="X5072">
        <f t="shared" si="2347"/>
        <v>2012</v>
      </c>
    </row>
    <row r="5073" spans="1:24" ht="12" customHeight="1">
      <c r="A5073" s="4">
        <v>3770</v>
      </c>
      <c r="B5073" s="4">
        <v>26919</v>
      </c>
      <c r="C5073" s="5">
        <f t="shared" si="235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353"/>
        <v>41255</v>
      </c>
      <c r="V5073">
        <f t="shared" si="2349"/>
        <v>12</v>
      </c>
      <c r="W5073">
        <f t="shared" si="2346"/>
        <v>12</v>
      </c>
      <c r="X5073">
        <f t="shared" si="2347"/>
        <v>2012</v>
      </c>
    </row>
    <row r="5074" spans="1:24" ht="12" customHeight="1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  <c r="V5074">
        <f t="shared" si="2349"/>
        <v>5</v>
      </c>
      <c r="W5074">
        <f t="shared" si="2346"/>
        <v>2</v>
      </c>
      <c r="X5074">
        <f t="shared" si="2347"/>
        <v>2009</v>
      </c>
    </row>
    <row r="5075" spans="1:24" ht="12" customHeight="1">
      <c r="A5075" s="4">
        <v>3839</v>
      </c>
      <c r="B5075" s="4">
        <v>27364</v>
      </c>
      <c r="C5075" s="5">
        <f t="shared" ref="C5075:C5076" si="235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356">C5075+2</f>
        <v>40685</v>
      </c>
      <c r="V5075">
        <f t="shared" si="2349"/>
        <v>22</v>
      </c>
      <c r="W5075">
        <f t="shared" si="2346"/>
        <v>5</v>
      </c>
      <c r="X5075">
        <f t="shared" si="2347"/>
        <v>2011</v>
      </c>
    </row>
    <row r="5076" spans="1:24" ht="12" customHeight="1">
      <c r="A5076" s="4">
        <v>3840</v>
      </c>
      <c r="B5076" s="4">
        <v>27364</v>
      </c>
      <c r="C5076" s="5">
        <f t="shared" si="235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356"/>
        <v>40685</v>
      </c>
      <c r="V5076">
        <f t="shared" si="2349"/>
        <v>22</v>
      </c>
      <c r="W5076">
        <f t="shared" si="2346"/>
        <v>5</v>
      </c>
      <c r="X5076">
        <f t="shared" si="2347"/>
        <v>2011</v>
      </c>
    </row>
    <row r="5077" spans="1:24" ht="12" customHeight="1">
      <c r="A5077" s="4">
        <v>3848</v>
      </c>
      <c r="B5077" s="4">
        <v>27460</v>
      </c>
      <c r="C5077" s="5">
        <f t="shared" ref="C5077:C5078" si="235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  <c r="V5077">
        <f t="shared" si="2349"/>
        <v>13</v>
      </c>
      <c r="W5077">
        <f t="shared" si="2346"/>
        <v>5</v>
      </c>
      <c r="X5077">
        <f t="shared" si="2347"/>
        <v>2009</v>
      </c>
    </row>
    <row r="5078" spans="1:24" ht="12" customHeight="1">
      <c r="A5078" s="4">
        <v>3849</v>
      </c>
      <c r="B5078" s="4">
        <v>27460</v>
      </c>
      <c r="C5078" s="5">
        <f t="shared" si="235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  <c r="V5078">
        <f t="shared" si="2349"/>
        <v>14</v>
      </c>
      <c r="W5078">
        <f t="shared" si="2346"/>
        <v>5</v>
      </c>
      <c r="X5078">
        <f t="shared" si="2347"/>
        <v>2009</v>
      </c>
    </row>
    <row r="5079" spans="1:24" ht="12" customHeight="1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  <c r="V5079">
        <f t="shared" si="2349"/>
        <v>29</v>
      </c>
      <c r="W5079">
        <f t="shared" si="2346"/>
        <v>10</v>
      </c>
      <c r="X5079">
        <f t="shared" si="2347"/>
        <v>2011</v>
      </c>
    </row>
    <row r="5080" spans="1:24" ht="12" customHeight="1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358">C5080+2</f>
        <v>40790</v>
      </c>
      <c r="V5080">
        <f t="shared" si="2349"/>
        <v>4</v>
      </c>
      <c r="W5080">
        <f t="shared" si="2346"/>
        <v>9</v>
      </c>
      <c r="X5080">
        <f t="shared" si="2347"/>
        <v>2011</v>
      </c>
    </row>
    <row r="5081" spans="1:24" ht="12" customHeight="1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358"/>
        <v>40733</v>
      </c>
      <c r="V5081">
        <f t="shared" si="2349"/>
        <v>9</v>
      </c>
      <c r="W5081">
        <f t="shared" si="2346"/>
        <v>7</v>
      </c>
      <c r="X5081">
        <f t="shared" si="2347"/>
        <v>2011</v>
      </c>
    </row>
    <row r="5082" spans="1:24" ht="12" customHeight="1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  <c r="V5082">
        <f t="shared" si="2349"/>
        <v>12</v>
      </c>
      <c r="W5082">
        <f t="shared" si="2346"/>
        <v>7</v>
      </c>
      <c r="X5082">
        <f t="shared" si="2347"/>
        <v>2012</v>
      </c>
    </row>
    <row r="5083" spans="1:24" ht="12" customHeight="1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  <c r="V5083">
        <f t="shared" si="2349"/>
        <v>6</v>
      </c>
      <c r="W5083">
        <f t="shared" si="2346"/>
        <v>11</v>
      </c>
      <c r="X5083">
        <f t="shared" si="2347"/>
        <v>2009</v>
      </c>
    </row>
    <row r="5084" spans="1:24" ht="12" customHeight="1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  <c r="V5084">
        <f t="shared" si="2349"/>
        <v>4</v>
      </c>
      <c r="W5084">
        <f t="shared" si="2346"/>
        <v>11</v>
      </c>
      <c r="X5084">
        <f t="shared" si="2347"/>
        <v>2009</v>
      </c>
    </row>
    <row r="5085" spans="1:24" ht="12" customHeight="1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  <c r="V5085">
        <f t="shared" si="2349"/>
        <v>21</v>
      </c>
      <c r="W5085">
        <f t="shared" si="2346"/>
        <v>10</v>
      </c>
      <c r="X5085">
        <f t="shared" si="2347"/>
        <v>2009</v>
      </c>
    </row>
    <row r="5086" spans="1:24" ht="12" customHeight="1">
      <c r="A5086" s="4">
        <v>4023</v>
      </c>
      <c r="B5086" s="4">
        <v>28741</v>
      </c>
      <c r="C5086" s="5">
        <f t="shared" ref="C5086:C5087" si="235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360">C5086+1</f>
        <v>40603</v>
      </c>
      <c r="V5086">
        <f t="shared" si="2349"/>
        <v>1</v>
      </c>
      <c r="W5086">
        <f t="shared" si="2346"/>
        <v>3</v>
      </c>
      <c r="X5086">
        <f t="shared" si="2347"/>
        <v>2011</v>
      </c>
    </row>
    <row r="5087" spans="1:24" ht="12" customHeight="1">
      <c r="A5087" s="4">
        <v>4024</v>
      </c>
      <c r="B5087" s="4">
        <v>28741</v>
      </c>
      <c r="C5087" s="5">
        <f t="shared" si="235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360"/>
        <v>40603</v>
      </c>
      <c r="V5087">
        <f t="shared" si="2349"/>
        <v>1</v>
      </c>
      <c r="W5087">
        <f t="shared" si="2346"/>
        <v>3</v>
      </c>
      <c r="X5087">
        <f t="shared" si="2347"/>
        <v>2011</v>
      </c>
    </row>
    <row r="5088" spans="1:24" ht="12" customHeight="1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  <c r="V5088">
        <f t="shared" si="2349"/>
        <v>28</v>
      </c>
      <c r="W5088">
        <f t="shared" si="2346"/>
        <v>8</v>
      </c>
      <c r="X5088">
        <f t="shared" si="2347"/>
        <v>2010</v>
      </c>
    </row>
    <row r="5089" spans="1:24" ht="12" customHeight="1">
      <c r="A5089" s="4">
        <v>4057</v>
      </c>
      <c r="B5089" s="4">
        <v>28928</v>
      </c>
      <c r="C5089" s="5">
        <f t="shared" ref="C5089:C5091" si="236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  <c r="V5089">
        <f t="shared" si="2349"/>
        <v>2</v>
      </c>
      <c r="W5089">
        <f t="shared" si="2346"/>
        <v>5</v>
      </c>
      <c r="X5089">
        <f t="shared" si="2347"/>
        <v>2010</v>
      </c>
    </row>
    <row r="5090" spans="1:24" ht="12" customHeight="1">
      <c r="A5090" s="4">
        <v>4058</v>
      </c>
      <c r="B5090" s="4">
        <v>28928</v>
      </c>
      <c r="C5090" s="5">
        <f t="shared" si="236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  <c r="V5090">
        <f t="shared" si="2349"/>
        <v>30</v>
      </c>
      <c r="W5090">
        <f t="shared" si="2346"/>
        <v>4</v>
      </c>
      <c r="X5090">
        <f t="shared" si="2347"/>
        <v>2010</v>
      </c>
    </row>
    <row r="5091" spans="1:24" ht="12" customHeight="1">
      <c r="A5091" s="4">
        <v>4059</v>
      </c>
      <c r="B5091" s="4">
        <v>28928</v>
      </c>
      <c r="C5091" s="5">
        <f t="shared" si="236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362">C5091+2</f>
        <v>40300</v>
      </c>
      <c r="V5091">
        <f t="shared" si="2349"/>
        <v>2</v>
      </c>
      <c r="W5091">
        <f t="shared" si="2346"/>
        <v>5</v>
      </c>
      <c r="X5091">
        <f t="shared" si="2347"/>
        <v>2010</v>
      </c>
    </row>
    <row r="5092" spans="1:24" ht="12" customHeight="1">
      <c r="A5092" s="4">
        <v>4076</v>
      </c>
      <c r="B5092" s="4">
        <v>29058</v>
      </c>
      <c r="C5092" s="5">
        <f t="shared" ref="C5092:C5094" si="236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362"/>
        <v>40183</v>
      </c>
      <c r="V5092">
        <f t="shared" si="2349"/>
        <v>5</v>
      </c>
      <c r="W5092">
        <f t="shared" si="2346"/>
        <v>1</v>
      </c>
      <c r="X5092">
        <f t="shared" si="2347"/>
        <v>2010</v>
      </c>
    </row>
    <row r="5093" spans="1:24" ht="12" customHeight="1">
      <c r="A5093" s="4">
        <v>4077</v>
      </c>
      <c r="B5093" s="4">
        <v>29058</v>
      </c>
      <c r="C5093" s="5">
        <f t="shared" si="236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  <c r="V5093">
        <f t="shared" si="2349"/>
        <v>4</v>
      </c>
      <c r="W5093">
        <f t="shared" si="2346"/>
        <v>1</v>
      </c>
      <c r="X5093">
        <f t="shared" si="2347"/>
        <v>2010</v>
      </c>
    </row>
    <row r="5094" spans="1:24" ht="12" customHeight="1">
      <c r="A5094" s="4">
        <v>4078</v>
      </c>
      <c r="B5094" s="4">
        <v>29058</v>
      </c>
      <c r="C5094" s="5">
        <f t="shared" si="236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  <c r="V5094">
        <f t="shared" si="2349"/>
        <v>3</v>
      </c>
      <c r="W5094">
        <f t="shared" si="2346"/>
        <v>1</v>
      </c>
      <c r="X5094">
        <f t="shared" si="2347"/>
        <v>2010</v>
      </c>
    </row>
    <row r="5095" spans="1:24" ht="12" customHeight="1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  <c r="V5095">
        <f t="shared" si="2349"/>
        <v>2</v>
      </c>
      <c r="W5095">
        <f t="shared" si="2346"/>
        <v>4</v>
      </c>
      <c r="X5095">
        <f t="shared" si="2347"/>
        <v>2009</v>
      </c>
    </row>
    <row r="5096" spans="1:24" ht="12" customHeight="1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  <c r="V5096">
        <f t="shared" si="2349"/>
        <v>29</v>
      </c>
      <c r="W5096">
        <f t="shared" si="2346"/>
        <v>6</v>
      </c>
      <c r="X5096">
        <f t="shared" si="2347"/>
        <v>2012</v>
      </c>
    </row>
    <row r="5097" spans="1:24" ht="12" customHeight="1">
      <c r="A5097" s="4">
        <v>4109</v>
      </c>
      <c r="B5097" s="4">
        <v>29249</v>
      </c>
      <c r="C5097" s="5">
        <f t="shared" ref="C5097:C5098" si="236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  <c r="V5097">
        <f t="shared" si="2349"/>
        <v>17</v>
      </c>
      <c r="W5097">
        <f t="shared" si="2346"/>
        <v>6</v>
      </c>
      <c r="X5097">
        <f t="shared" si="2347"/>
        <v>2011</v>
      </c>
    </row>
    <row r="5098" spans="1:24" ht="12" customHeight="1">
      <c r="A5098" s="4">
        <v>4110</v>
      </c>
      <c r="B5098" s="4">
        <v>29249</v>
      </c>
      <c r="C5098" s="5">
        <f t="shared" si="236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  <c r="V5098">
        <f t="shared" si="2349"/>
        <v>18</v>
      </c>
      <c r="W5098">
        <f t="shared" si="2346"/>
        <v>6</v>
      </c>
      <c r="X5098">
        <f t="shared" si="2347"/>
        <v>2011</v>
      </c>
    </row>
    <row r="5099" spans="1:24" ht="12" customHeight="1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  <c r="V5099">
        <f t="shared" si="2349"/>
        <v>14</v>
      </c>
      <c r="W5099">
        <f t="shared" si="2346"/>
        <v>8</v>
      </c>
      <c r="X5099">
        <f t="shared" si="2347"/>
        <v>2012</v>
      </c>
    </row>
    <row r="5100" spans="1:24" ht="12" customHeight="1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  <c r="V5100">
        <f t="shared" si="2349"/>
        <v>12</v>
      </c>
      <c r="W5100">
        <f t="shared" si="2346"/>
        <v>4</v>
      </c>
      <c r="X5100">
        <f t="shared" si="2347"/>
        <v>2010</v>
      </c>
    </row>
    <row r="5101" spans="1:24" ht="12" customHeight="1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  <c r="V5101">
        <f t="shared" si="2349"/>
        <v>7</v>
      </c>
      <c r="W5101">
        <f t="shared" si="2346"/>
        <v>10</v>
      </c>
      <c r="X5101">
        <f t="shared" si="2347"/>
        <v>2012</v>
      </c>
    </row>
    <row r="5102" spans="1:24" ht="12" customHeight="1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  <c r="V5102">
        <f t="shared" si="2349"/>
        <v>30</v>
      </c>
      <c r="W5102">
        <f t="shared" si="2346"/>
        <v>7</v>
      </c>
      <c r="X5102">
        <f t="shared" si="2347"/>
        <v>2011</v>
      </c>
    </row>
    <row r="5103" spans="1:24" ht="12" customHeight="1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  <c r="V5103">
        <f t="shared" si="2349"/>
        <v>17</v>
      </c>
      <c r="W5103">
        <f t="shared" si="2346"/>
        <v>5</v>
      </c>
      <c r="X5103">
        <f t="shared" si="2347"/>
        <v>2012</v>
      </c>
    </row>
    <row r="5104" spans="1:24" ht="12" customHeight="1">
      <c r="A5104" s="4">
        <v>4353</v>
      </c>
      <c r="B5104" s="4">
        <v>31042</v>
      </c>
      <c r="C5104" s="5">
        <f t="shared" ref="C5104:C5105" si="236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366">C5104+1</f>
        <v>41233</v>
      </c>
      <c r="V5104">
        <f t="shared" si="2349"/>
        <v>20</v>
      </c>
      <c r="W5104">
        <f t="shared" si="2346"/>
        <v>11</v>
      </c>
      <c r="X5104">
        <f t="shared" si="2347"/>
        <v>2012</v>
      </c>
    </row>
    <row r="5105" spans="1:24" ht="12" customHeight="1">
      <c r="A5105" s="4">
        <v>4354</v>
      </c>
      <c r="B5105" s="4">
        <v>31042</v>
      </c>
      <c r="C5105" s="5">
        <f t="shared" si="236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366"/>
        <v>41233</v>
      </c>
      <c r="V5105">
        <f t="shared" si="2349"/>
        <v>20</v>
      </c>
      <c r="W5105">
        <f t="shared" si="2346"/>
        <v>11</v>
      </c>
      <c r="X5105">
        <f t="shared" si="2347"/>
        <v>2012</v>
      </c>
    </row>
    <row r="5106" spans="1:24" ht="12" customHeight="1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366"/>
        <v>39855</v>
      </c>
      <c r="V5106">
        <f t="shared" si="2349"/>
        <v>11</v>
      </c>
      <c r="W5106">
        <f t="shared" si="2346"/>
        <v>2</v>
      </c>
      <c r="X5106">
        <f t="shared" si="2347"/>
        <v>2009</v>
      </c>
    </row>
    <row r="5107" spans="1:24" ht="12" customHeight="1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366"/>
        <v>40104</v>
      </c>
      <c r="V5107">
        <f t="shared" si="2349"/>
        <v>18</v>
      </c>
      <c r="W5107">
        <f t="shared" si="2346"/>
        <v>10</v>
      </c>
      <c r="X5107">
        <f t="shared" si="2347"/>
        <v>2009</v>
      </c>
    </row>
    <row r="5108" spans="1:24" ht="12" customHeight="1">
      <c r="A5108" s="4">
        <v>4426</v>
      </c>
      <c r="B5108" s="4">
        <v>31555</v>
      </c>
      <c r="C5108" s="5">
        <f t="shared" ref="C5108:C5109" si="236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  <c r="V5108">
        <f t="shared" si="2349"/>
        <v>4</v>
      </c>
      <c r="W5108">
        <f t="shared" si="2346"/>
        <v>1</v>
      </c>
      <c r="X5108">
        <f t="shared" si="2347"/>
        <v>2012</v>
      </c>
    </row>
    <row r="5109" spans="1:24" ht="12" customHeight="1">
      <c r="A5109" s="4">
        <v>4427</v>
      </c>
      <c r="B5109" s="4">
        <v>31555</v>
      </c>
      <c r="C5109" s="5">
        <f t="shared" si="236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  <c r="V5109">
        <f t="shared" si="2349"/>
        <v>7</v>
      </c>
      <c r="W5109">
        <f t="shared" si="2346"/>
        <v>1</v>
      </c>
      <c r="X5109">
        <f t="shared" si="2347"/>
        <v>2012</v>
      </c>
    </row>
    <row r="5110" spans="1:24" ht="12" customHeight="1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368">C5110+1</f>
        <v>41162</v>
      </c>
      <c r="V5110">
        <f t="shared" si="2349"/>
        <v>10</v>
      </c>
      <c r="W5110">
        <f t="shared" si="2346"/>
        <v>9</v>
      </c>
      <c r="X5110">
        <f t="shared" si="2347"/>
        <v>2012</v>
      </c>
    </row>
    <row r="5111" spans="1:24" ht="12" customHeight="1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368"/>
        <v>40376</v>
      </c>
      <c r="V5111">
        <f t="shared" si="2349"/>
        <v>17</v>
      </c>
      <c r="W5111">
        <f t="shared" si="2346"/>
        <v>7</v>
      </c>
      <c r="X5111">
        <f t="shared" si="2347"/>
        <v>2010</v>
      </c>
    </row>
    <row r="5112" spans="1:24" ht="12" customHeight="1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368"/>
        <v>40116</v>
      </c>
      <c r="V5112">
        <f t="shared" si="2349"/>
        <v>30</v>
      </c>
      <c r="W5112">
        <f t="shared" si="2346"/>
        <v>10</v>
      </c>
      <c r="X5112">
        <f t="shared" si="2347"/>
        <v>2009</v>
      </c>
    </row>
    <row r="5113" spans="1:24" ht="12" customHeight="1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  <c r="V5113">
        <f t="shared" si="2349"/>
        <v>21</v>
      </c>
      <c r="W5113">
        <f t="shared" si="2346"/>
        <v>11</v>
      </c>
      <c r="X5113">
        <f t="shared" si="2347"/>
        <v>2011</v>
      </c>
    </row>
    <row r="5114" spans="1:24" ht="12" customHeight="1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  <c r="V5114">
        <f t="shared" si="2349"/>
        <v>13</v>
      </c>
      <c r="W5114">
        <f t="shared" si="2346"/>
        <v>10</v>
      </c>
      <c r="X5114">
        <f t="shared" si="2347"/>
        <v>2010</v>
      </c>
    </row>
    <row r="5115" spans="1:24" ht="12" customHeight="1">
      <c r="A5115" s="4">
        <v>4591</v>
      </c>
      <c r="B5115" s="4">
        <v>32647</v>
      </c>
      <c r="C5115" s="5">
        <f t="shared" ref="C5115:C5116" si="236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370">C5115+2</f>
        <v>40867</v>
      </c>
      <c r="V5115">
        <f t="shared" si="2349"/>
        <v>20</v>
      </c>
      <c r="W5115">
        <f t="shared" si="2346"/>
        <v>11</v>
      </c>
      <c r="X5115">
        <f t="shared" si="2347"/>
        <v>2011</v>
      </c>
    </row>
    <row r="5116" spans="1:24" ht="12" customHeight="1">
      <c r="A5116" s="4">
        <v>4592</v>
      </c>
      <c r="B5116" s="4">
        <v>32647</v>
      </c>
      <c r="C5116" s="5">
        <f t="shared" si="236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370"/>
        <v>40867</v>
      </c>
      <c r="V5116">
        <f t="shared" si="2349"/>
        <v>20</v>
      </c>
      <c r="W5116">
        <f t="shared" si="2346"/>
        <v>11</v>
      </c>
      <c r="X5116">
        <f t="shared" si="2347"/>
        <v>2011</v>
      </c>
    </row>
    <row r="5117" spans="1:24" ht="12" customHeight="1">
      <c r="A5117" s="4">
        <v>4632</v>
      </c>
      <c r="B5117" s="4">
        <v>32966</v>
      </c>
      <c r="C5117" s="5">
        <f t="shared" ref="C5117:C5118" si="237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  <c r="V5117">
        <f t="shared" si="2349"/>
        <v>2</v>
      </c>
      <c r="W5117">
        <f t="shared" si="2346"/>
        <v>2</v>
      </c>
      <c r="X5117">
        <f t="shared" si="2347"/>
        <v>2012</v>
      </c>
    </row>
    <row r="5118" spans="1:24" ht="12" customHeight="1">
      <c r="A5118" s="4">
        <v>4633</v>
      </c>
      <c r="B5118" s="4">
        <v>32966</v>
      </c>
      <c r="C5118" s="5">
        <f t="shared" si="237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  <c r="V5118">
        <f t="shared" si="2349"/>
        <v>30</v>
      </c>
      <c r="W5118">
        <f t="shared" si="2346"/>
        <v>1</v>
      </c>
      <c r="X5118">
        <f t="shared" si="2347"/>
        <v>2012</v>
      </c>
    </row>
    <row r="5119" spans="1:24" ht="12" customHeight="1">
      <c r="A5119" s="4">
        <v>4664</v>
      </c>
      <c r="B5119" s="4">
        <v>33218</v>
      </c>
      <c r="C5119" s="5">
        <f t="shared" ref="C5119:C5120" si="237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  <c r="V5119">
        <f t="shared" si="2349"/>
        <v>8</v>
      </c>
      <c r="W5119">
        <f t="shared" si="2346"/>
        <v>1</v>
      </c>
      <c r="X5119">
        <f t="shared" si="2347"/>
        <v>2010</v>
      </c>
    </row>
    <row r="5120" spans="1:24" ht="12" customHeight="1">
      <c r="A5120" s="4">
        <v>4665</v>
      </c>
      <c r="B5120" s="4">
        <v>33218</v>
      </c>
      <c r="C5120" s="5">
        <f t="shared" si="237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373">C5120+1</f>
        <v>40185</v>
      </c>
      <c r="V5120">
        <f t="shared" si="2349"/>
        <v>7</v>
      </c>
      <c r="W5120">
        <f t="shared" si="2346"/>
        <v>1</v>
      </c>
      <c r="X5120">
        <f t="shared" si="2347"/>
        <v>2010</v>
      </c>
    </row>
    <row r="5121" spans="1:24" ht="12" customHeight="1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373"/>
        <v>40928</v>
      </c>
      <c r="V5121">
        <f t="shared" si="2349"/>
        <v>20</v>
      </c>
      <c r="W5121">
        <f t="shared" si="2346"/>
        <v>1</v>
      </c>
      <c r="X5121">
        <f t="shared" si="2347"/>
        <v>2012</v>
      </c>
    </row>
    <row r="5122" spans="1:24" ht="12" customHeight="1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374">C5122+2</f>
        <v>41172</v>
      </c>
      <c r="V5122">
        <f t="shared" si="2349"/>
        <v>20</v>
      </c>
      <c r="W5122">
        <f t="shared" si="2346"/>
        <v>9</v>
      </c>
      <c r="X5122">
        <f t="shared" si="2347"/>
        <v>2012</v>
      </c>
    </row>
    <row r="5123" spans="1:24" ht="12" customHeight="1">
      <c r="A5123" s="4">
        <v>4706</v>
      </c>
      <c r="B5123" s="4">
        <v>33537</v>
      </c>
      <c r="C5123" s="5">
        <f t="shared" ref="C5123:C5124" si="237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374"/>
        <v>40405</v>
      </c>
      <c r="V5123">
        <f t="shared" si="2349"/>
        <v>15</v>
      </c>
      <c r="W5123">
        <f t="shared" ref="W5123:W5186" si="2376">MONTH(U5123)</f>
        <v>8</v>
      </c>
      <c r="X5123">
        <f t="shared" ref="X5123:X5186" si="2377">YEAR(U5123)</f>
        <v>2010</v>
      </c>
    </row>
    <row r="5124" spans="1:24" ht="12" customHeight="1">
      <c r="A5124" s="4">
        <v>4707</v>
      </c>
      <c r="B5124" s="4">
        <v>33537</v>
      </c>
      <c r="C5124" s="5">
        <f t="shared" si="237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  <c r="V5124">
        <f t="shared" ref="V5124:V5187" si="2378">DAY(U5124)</f>
        <v>14</v>
      </c>
      <c r="W5124">
        <f t="shared" si="2376"/>
        <v>8</v>
      </c>
      <c r="X5124">
        <f t="shared" si="2377"/>
        <v>2010</v>
      </c>
    </row>
    <row r="5125" spans="1:24" ht="12" customHeight="1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  <c r="V5125">
        <f t="shared" si="2378"/>
        <v>1</v>
      </c>
      <c r="W5125">
        <f t="shared" si="2376"/>
        <v>9</v>
      </c>
      <c r="X5125">
        <f t="shared" si="2377"/>
        <v>2009</v>
      </c>
    </row>
    <row r="5126" spans="1:24" ht="12" customHeight="1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  <c r="V5126">
        <f t="shared" si="2378"/>
        <v>14</v>
      </c>
      <c r="W5126">
        <f t="shared" si="2376"/>
        <v>10</v>
      </c>
      <c r="X5126">
        <f t="shared" si="2377"/>
        <v>2011</v>
      </c>
    </row>
    <row r="5127" spans="1:24" ht="12" customHeight="1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379">C5127+2</f>
        <v>41239</v>
      </c>
      <c r="V5127">
        <f t="shared" si="2378"/>
        <v>26</v>
      </c>
      <c r="W5127">
        <f t="shared" si="2376"/>
        <v>11</v>
      </c>
      <c r="X5127">
        <f t="shared" si="2377"/>
        <v>2012</v>
      </c>
    </row>
    <row r="5128" spans="1:24" ht="12" customHeight="1">
      <c r="A5128" s="4">
        <v>4729</v>
      </c>
      <c r="B5128" s="4">
        <v>33670</v>
      </c>
      <c r="C5128" s="5">
        <f t="shared" ref="C5128:C5129" si="2380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379"/>
        <v>41028</v>
      </c>
      <c r="V5128">
        <f t="shared" si="2378"/>
        <v>29</v>
      </c>
      <c r="W5128">
        <f t="shared" si="2376"/>
        <v>4</v>
      </c>
      <c r="X5128">
        <f t="shared" si="2377"/>
        <v>2012</v>
      </c>
    </row>
    <row r="5129" spans="1:24" ht="12" customHeight="1">
      <c r="A5129" s="4">
        <v>4730</v>
      </c>
      <c r="B5129" s="4">
        <v>33670</v>
      </c>
      <c r="C5129" s="5">
        <f t="shared" si="2380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  <c r="V5129">
        <f t="shared" si="2378"/>
        <v>28</v>
      </c>
      <c r="W5129">
        <f t="shared" si="2376"/>
        <v>4</v>
      </c>
      <c r="X5129">
        <f t="shared" si="2377"/>
        <v>2012</v>
      </c>
    </row>
    <row r="5130" spans="1:24" ht="12" customHeight="1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  <c r="V5130">
        <f t="shared" si="2378"/>
        <v>24</v>
      </c>
      <c r="W5130">
        <f t="shared" si="2376"/>
        <v>2</v>
      </c>
      <c r="X5130">
        <f t="shared" si="2377"/>
        <v>2011</v>
      </c>
    </row>
    <row r="5131" spans="1:24" ht="12" customHeight="1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  <c r="V5131">
        <f t="shared" si="2378"/>
        <v>30</v>
      </c>
      <c r="W5131">
        <f t="shared" si="2376"/>
        <v>4</v>
      </c>
      <c r="X5131">
        <f t="shared" si="2377"/>
        <v>2010</v>
      </c>
    </row>
    <row r="5132" spans="1:24" ht="12" customHeight="1">
      <c r="A5132" s="4">
        <v>4833</v>
      </c>
      <c r="B5132" s="4">
        <v>34400</v>
      </c>
      <c r="C5132" s="5">
        <f t="shared" ref="C5132:C5133" si="2381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  <c r="V5132">
        <f t="shared" si="2378"/>
        <v>28</v>
      </c>
      <c r="W5132">
        <f t="shared" si="2376"/>
        <v>12</v>
      </c>
      <c r="X5132">
        <f t="shared" si="2377"/>
        <v>2012</v>
      </c>
    </row>
    <row r="5133" spans="1:24" ht="12" customHeight="1">
      <c r="A5133" s="4">
        <v>4834</v>
      </c>
      <c r="B5133" s="4">
        <v>34400</v>
      </c>
      <c r="C5133" s="5">
        <f t="shared" si="2381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  <c r="V5133">
        <f t="shared" si="2378"/>
        <v>29</v>
      </c>
      <c r="W5133">
        <f t="shared" si="2376"/>
        <v>12</v>
      </c>
      <c r="X5133">
        <f t="shared" si="2377"/>
        <v>2012</v>
      </c>
    </row>
    <row r="5134" spans="1:24" ht="12" customHeight="1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  <c r="V5134">
        <f t="shared" si="2378"/>
        <v>31</v>
      </c>
      <c r="W5134">
        <f t="shared" si="2376"/>
        <v>7</v>
      </c>
      <c r="X5134">
        <f t="shared" si="2377"/>
        <v>2010</v>
      </c>
    </row>
    <row r="5135" spans="1:24" ht="12" customHeight="1">
      <c r="A5135" s="4">
        <v>4839</v>
      </c>
      <c r="B5135" s="4">
        <v>34432</v>
      </c>
      <c r="C5135" s="5">
        <f t="shared" ref="C5135:C5136" si="2382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383">C5135+1</f>
        <v>39911</v>
      </c>
      <c r="V5135">
        <f t="shared" si="2378"/>
        <v>8</v>
      </c>
      <c r="W5135">
        <f t="shared" si="2376"/>
        <v>4</v>
      </c>
      <c r="X5135">
        <f t="shared" si="2377"/>
        <v>2009</v>
      </c>
    </row>
    <row r="5136" spans="1:24" ht="12" customHeight="1">
      <c r="A5136" s="4">
        <v>4840</v>
      </c>
      <c r="B5136" s="4">
        <v>34432</v>
      </c>
      <c r="C5136" s="5">
        <f t="shared" si="2382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383"/>
        <v>39911</v>
      </c>
      <c r="V5136">
        <f t="shared" si="2378"/>
        <v>8</v>
      </c>
      <c r="W5136">
        <f t="shared" si="2376"/>
        <v>4</v>
      </c>
      <c r="X5136">
        <f t="shared" si="2377"/>
        <v>2009</v>
      </c>
    </row>
    <row r="5137" spans="1:24" ht="12" customHeight="1">
      <c r="A5137" s="4">
        <v>4846</v>
      </c>
      <c r="B5137" s="4">
        <v>34497</v>
      </c>
      <c r="C5137" s="5">
        <f t="shared" ref="C5137:C5138" si="2384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383"/>
        <v>39883</v>
      </c>
      <c r="V5137">
        <f t="shared" si="2378"/>
        <v>11</v>
      </c>
      <c r="W5137">
        <f t="shared" si="2376"/>
        <v>3</v>
      </c>
      <c r="X5137">
        <f t="shared" si="2377"/>
        <v>2009</v>
      </c>
    </row>
    <row r="5138" spans="1:24" ht="12" customHeight="1">
      <c r="A5138" s="4">
        <v>4847</v>
      </c>
      <c r="B5138" s="4">
        <v>34497</v>
      </c>
      <c r="C5138" s="5">
        <f t="shared" si="2384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  <c r="V5138">
        <f t="shared" si="2378"/>
        <v>12</v>
      </c>
      <c r="W5138">
        <f t="shared" si="2376"/>
        <v>3</v>
      </c>
      <c r="X5138">
        <f t="shared" si="2377"/>
        <v>2009</v>
      </c>
    </row>
    <row r="5139" spans="1:24" ht="12" customHeight="1">
      <c r="A5139" s="4">
        <v>4848</v>
      </c>
      <c r="B5139" s="4">
        <v>34498</v>
      </c>
      <c r="C5139" s="5">
        <f t="shared" ref="C5139:C5140" si="2385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386">C5139+5</f>
        <v>39864</v>
      </c>
      <c r="V5139">
        <f t="shared" si="2378"/>
        <v>20</v>
      </c>
      <c r="W5139">
        <f t="shared" si="2376"/>
        <v>2</v>
      </c>
      <c r="X5139">
        <f t="shared" si="2377"/>
        <v>2009</v>
      </c>
    </row>
    <row r="5140" spans="1:24" ht="12" customHeight="1">
      <c r="A5140" s="4">
        <v>4849</v>
      </c>
      <c r="B5140" s="4">
        <v>34498</v>
      </c>
      <c r="C5140" s="5">
        <f t="shared" si="2385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386"/>
        <v>39864</v>
      </c>
      <c r="V5140">
        <f t="shared" si="2378"/>
        <v>20</v>
      </c>
      <c r="W5140">
        <f t="shared" si="2376"/>
        <v>2</v>
      </c>
      <c r="X5140">
        <f t="shared" si="2377"/>
        <v>2009</v>
      </c>
    </row>
    <row r="5141" spans="1:24" ht="12" customHeight="1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  <c r="V5141">
        <f t="shared" si="2378"/>
        <v>4</v>
      </c>
      <c r="W5141">
        <f t="shared" si="2376"/>
        <v>4</v>
      </c>
      <c r="X5141">
        <f t="shared" si="2377"/>
        <v>2012</v>
      </c>
    </row>
    <row r="5142" spans="1:24" ht="12" customHeight="1">
      <c r="A5142" s="4">
        <v>4954</v>
      </c>
      <c r="B5142" s="4">
        <v>35265</v>
      </c>
      <c r="C5142" s="5">
        <f t="shared" ref="C5142:C5144" si="2387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388">C5142+1</f>
        <v>40512</v>
      </c>
      <c r="V5142">
        <f t="shared" si="2378"/>
        <v>30</v>
      </c>
      <c r="W5142">
        <f t="shared" si="2376"/>
        <v>11</v>
      </c>
      <c r="X5142">
        <f t="shared" si="2377"/>
        <v>2010</v>
      </c>
    </row>
    <row r="5143" spans="1:24" ht="12" customHeight="1">
      <c r="A5143" s="4">
        <v>4955</v>
      </c>
      <c r="B5143" s="4">
        <v>35265</v>
      </c>
      <c r="C5143" s="5">
        <f t="shared" si="2387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388"/>
        <v>40512</v>
      </c>
      <c r="V5143">
        <f t="shared" si="2378"/>
        <v>30</v>
      </c>
      <c r="W5143">
        <f t="shared" si="2376"/>
        <v>11</v>
      </c>
      <c r="X5143">
        <f t="shared" si="2377"/>
        <v>2010</v>
      </c>
    </row>
    <row r="5144" spans="1:24" ht="12" customHeight="1">
      <c r="A5144" s="4">
        <v>4956</v>
      </c>
      <c r="B5144" s="4">
        <v>35265</v>
      </c>
      <c r="C5144" s="5">
        <f t="shared" si="2387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  <c r="V5144">
        <f t="shared" si="2378"/>
        <v>1</v>
      </c>
      <c r="W5144">
        <f t="shared" si="2376"/>
        <v>12</v>
      </c>
      <c r="X5144">
        <f t="shared" si="2377"/>
        <v>2010</v>
      </c>
    </row>
    <row r="5145" spans="1:24" ht="12" customHeight="1">
      <c r="A5145" s="4">
        <v>4985</v>
      </c>
      <c r="B5145" s="4">
        <v>35461</v>
      </c>
      <c r="C5145" s="5">
        <f t="shared" ref="C5145:C5146" si="2389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  <c r="V5145">
        <f t="shared" si="2378"/>
        <v>1</v>
      </c>
      <c r="W5145">
        <f t="shared" si="2376"/>
        <v>6</v>
      </c>
      <c r="X5145">
        <f t="shared" si="2377"/>
        <v>2009</v>
      </c>
    </row>
    <row r="5146" spans="1:24" ht="12" customHeight="1">
      <c r="A5146" s="4">
        <v>4986</v>
      </c>
      <c r="B5146" s="4">
        <v>35461</v>
      </c>
      <c r="C5146" s="5">
        <f t="shared" si="2389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390">C5146+1</f>
        <v>39966</v>
      </c>
      <c r="V5146">
        <f t="shared" si="2378"/>
        <v>2</v>
      </c>
      <c r="W5146">
        <f t="shared" si="2376"/>
        <v>6</v>
      </c>
      <c r="X5146">
        <f t="shared" si="2377"/>
        <v>2009</v>
      </c>
    </row>
    <row r="5147" spans="1:24" ht="12" customHeight="1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390"/>
        <v>41246</v>
      </c>
      <c r="V5147">
        <f t="shared" si="2378"/>
        <v>3</v>
      </c>
      <c r="W5147">
        <f t="shared" si="2376"/>
        <v>12</v>
      </c>
      <c r="X5147">
        <f t="shared" si="2377"/>
        <v>2012</v>
      </c>
    </row>
    <row r="5148" spans="1:24" ht="12" customHeight="1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390"/>
        <v>40866</v>
      </c>
      <c r="V5148">
        <f t="shared" si="2378"/>
        <v>19</v>
      </c>
      <c r="W5148">
        <f t="shared" si="2376"/>
        <v>11</v>
      </c>
      <c r="X5148">
        <f t="shared" si="2377"/>
        <v>2011</v>
      </c>
    </row>
    <row r="5149" spans="1:24" ht="12" customHeight="1">
      <c r="A5149" s="4">
        <v>5011</v>
      </c>
      <c r="B5149" s="4">
        <v>35776</v>
      </c>
      <c r="C5149" s="5">
        <f t="shared" ref="C5149:C5150" si="2391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392">C5149+2</f>
        <v>39850</v>
      </c>
      <c r="V5149">
        <f t="shared" si="2378"/>
        <v>6</v>
      </c>
      <c r="W5149">
        <f t="shared" si="2376"/>
        <v>2</v>
      </c>
      <c r="X5149">
        <f t="shared" si="2377"/>
        <v>2009</v>
      </c>
    </row>
    <row r="5150" spans="1:24" ht="12" customHeight="1">
      <c r="A5150" s="4">
        <v>5012</v>
      </c>
      <c r="B5150" s="4">
        <v>35776</v>
      </c>
      <c r="C5150" s="5">
        <f t="shared" si="2391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392"/>
        <v>39850</v>
      </c>
      <c r="V5150">
        <f t="shared" si="2378"/>
        <v>6</v>
      </c>
      <c r="W5150">
        <f t="shared" si="2376"/>
        <v>2</v>
      </c>
      <c r="X5150">
        <f t="shared" si="2377"/>
        <v>2009</v>
      </c>
    </row>
    <row r="5151" spans="1:24" ht="12" customHeight="1">
      <c r="A5151" s="4">
        <v>5015</v>
      </c>
      <c r="B5151" s="4">
        <v>35782</v>
      </c>
      <c r="C5151" s="5">
        <f t="shared" ref="C5151:C5152" si="2393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  <c r="V5151">
        <f t="shared" si="2378"/>
        <v>12</v>
      </c>
      <c r="W5151">
        <f t="shared" si="2376"/>
        <v>8</v>
      </c>
      <c r="X5151">
        <f t="shared" si="2377"/>
        <v>2011</v>
      </c>
    </row>
    <row r="5152" spans="1:24" ht="12" customHeight="1">
      <c r="A5152" s="4">
        <v>5016</v>
      </c>
      <c r="B5152" s="4">
        <v>35782</v>
      </c>
      <c r="C5152" s="5">
        <f t="shared" si="2393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  <c r="V5152">
        <f t="shared" si="2378"/>
        <v>10</v>
      </c>
      <c r="W5152">
        <f t="shared" si="2376"/>
        <v>8</v>
      </c>
      <c r="X5152">
        <f t="shared" si="2377"/>
        <v>2011</v>
      </c>
    </row>
    <row r="5153" spans="1:24" ht="12" customHeight="1">
      <c r="A5153" s="4">
        <v>5022</v>
      </c>
      <c r="B5153" s="4">
        <v>35813</v>
      </c>
      <c r="C5153" s="5">
        <f t="shared" ref="C5153:C5154" si="2394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395">C5153+0</f>
        <v>39924</v>
      </c>
      <c r="V5153">
        <f t="shared" si="2378"/>
        <v>21</v>
      </c>
      <c r="W5153">
        <f t="shared" si="2376"/>
        <v>4</v>
      </c>
      <c r="X5153">
        <f t="shared" si="2377"/>
        <v>2009</v>
      </c>
    </row>
    <row r="5154" spans="1:24" ht="12" customHeight="1">
      <c r="A5154" s="4">
        <v>5023</v>
      </c>
      <c r="B5154" s="4">
        <v>35813</v>
      </c>
      <c r="C5154" s="5">
        <f t="shared" si="2394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395"/>
        <v>39924</v>
      </c>
      <c r="V5154">
        <f t="shared" si="2378"/>
        <v>21</v>
      </c>
      <c r="W5154">
        <f t="shared" si="2376"/>
        <v>4</v>
      </c>
      <c r="X5154">
        <f t="shared" si="2377"/>
        <v>2009</v>
      </c>
    </row>
    <row r="5155" spans="1:24" ht="12" customHeight="1">
      <c r="A5155" s="4">
        <v>5050</v>
      </c>
      <c r="B5155" s="4">
        <v>36003</v>
      </c>
      <c r="C5155" s="5">
        <f t="shared" ref="C5155:C5156" si="2396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397">C5155+2</f>
        <v>40484</v>
      </c>
      <c r="V5155">
        <f t="shared" si="2378"/>
        <v>2</v>
      </c>
      <c r="W5155">
        <f t="shared" si="2376"/>
        <v>11</v>
      </c>
      <c r="X5155">
        <f t="shared" si="2377"/>
        <v>2010</v>
      </c>
    </row>
    <row r="5156" spans="1:24" ht="12" customHeight="1">
      <c r="A5156" s="4">
        <v>5051</v>
      </c>
      <c r="B5156" s="4">
        <v>36003</v>
      </c>
      <c r="C5156" s="5">
        <f t="shared" si="2396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397"/>
        <v>40484</v>
      </c>
      <c r="V5156">
        <f t="shared" si="2378"/>
        <v>2</v>
      </c>
      <c r="W5156">
        <f t="shared" si="2376"/>
        <v>11</v>
      </c>
      <c r="X5156">
        <f t="shared" si="2377"/>
        <v>2010</v>
      </c>
    </row>
    <row r="5157" spans="1:24" ht="12" customHeight="1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  <c r="V5157">
        <f t="shared" si="2378"/>
        <v>21</v>
      </c>
      <c r="W5157">
        <f t="shared" si="2376"/>
        <v>5</v>
      </c>
      <c r="X5157">
        <f t="shared" si="2377"/>
        <v>2010</v>
      </c>
    </row>
    <row r="5158" spans="1:24" ht="12" customHeight="1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398">C5158+2</f>
        <v>40427</v>
      </c>
      <c r="V5158">
        <f t="shared" si="2378"/>
        <v>6</v>
      </c>
      <c r="W5158">
        <f t="shared" si="2376"/>
        <v>9</v>
      </c>
      <c r="X5158">
        <f t="shared" si="2377"/>
        <v>2010</v>
      </c>
    </row>
    <row r="5159" spans="1:24" ht="12" customHeight="1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398"/>
        <v>40471</v>
      </c>
      <c r="V5159">
        <f t="shared" si="2378"/>
        <v>20</v>
      </c>
      <c r="W5159">
        <f t="shared" si="2376"/>
        <v>10</v>
      </c>
      <c r="X5159">
        <f t="shared" si="2377"/>
        <v>2010</v>
      </c>
    </row>
    <row r="5160" spans="1:24" ht="12" customHeight="1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398"/>
        <v>41067</v>
      </c>
      <c r="V5160">
        <f t="shared" si="2378"/>
        <v>7</v>
      </c>
      <c r="W5160">
        <f t="shared" si="2376"/>
        <v>6</v>
      </c>
      <c r="X5160">
        <f t="shared" si="2377"/>
        <v>2012</v>
      </c>
    </row>
    <row r="5161" spans="1:24" ht="12" customHeight="1">
      <c r="A5161" s="4">
        <v>5126</v>
      </c>
      <c r="B5161" s="4">
        <v>36512</v>
      </c>
      <c r="C5161" s="5">
        <f t="shared" ref="C5161:C5162" si="2399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  <c r="V5161">
        <f t="shared" si="2378"/>
        <v>29</v>
      </c>
      <c r="W5161">
        <f t="shared" si="2376"/>
        <v>3</v>
      </c>
      <c r="X5161">
        <f t="shared" si="2377"/>
        <v>2012</v>
      </c>
    </row>
    <row r="5162" spans="1:24" ht="12" customHeight="1">
      <c r="A5162" s="4">
        <v>5127</v>
      </c>
      <c r="B5162" s="4">
        <v>36512</v>
      </c>
      <c r="C5162" s="5">
        <f t="shared" si="2399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  <c r="V5162">
        <f t="shared" si="2378"/>
        <v>31</v>
      </c>
      <c r="W5162">
        <f t="shared" si="2376"/>
        <v>3</v>
      </c>
      <c r="X5162">
        <f t="shared" si="2377"/>
        <v>2012</v>
      </c>
    </row>
    <row r="5163" spans="1:24" ht="12" customHeight="1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  <c r="V5163">
        <f t="shared" si="2378"/>
        <v>12</v>
      </c>
      <c r="W5163">
        <f t="shared" si="2376"/>
        <v>7</v>
      </c>
      <c r="X5163">
        <f t="shared" si="2377"/>
        <v>2009</v>
      </c>
    </row>
    <row r="5164" spans="1:24" ht="12" customHeight="1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  <c r="V5164">
        <f t="shared" si="2378"/>
        <v>11</v>
      </c>
      <c r="W5164">
        <f t="shared" si="2376"/>
        <v>11</v>
      </c>
      <c r="X5164">
        <f t="shared" si="2377"/>
        <v>2009</v>
      </c>
    </row>
    <row r="5165" spans="1:24" ht="12" customHeight="1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400">C5165+2</f>
        <v>41000</v>
      </c>
      <c r="V5165">
        <f t="shared" si="2378"/>
        <v>1</v>
      </c>
      <c r="W5165">
        <f t="shared" si="2376"/>
        <v>4</v>
      </c>
      <c r="X5165">
        <f t="shared" si="2377"/>
        <v>2012</v>
      </c>
    </row>
    <row r="5166" spans="1:24" ht="12" customHeight="1">
      <c r="A5166" s="4">
        <v>5293</v>
      </c>
      <c r="B5166" s="4">
        <v>37696</v>
      </c>
      <c r="C5166" s="5">
        <f t="shared" ref="C5166:C5167" si="2401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400"/>
        <v>40005</v>
      </c>
      <c r="V5166">
        <f t="shared" si="2378"/>
        <v>11</v>
      </c>
      <c r="W5166">
        <f t="shared" si="2376"/>
        <v>7</v>
      </c>
      <c r="X5166">
        <f t="shared" si="2377"/>
        <v>2009</v>
      </c>
    </row>
    <row r="5167" spans="1:24" ht="12" customHeight="1">
      <c r="A5167" s="4">
        <v>5294</v>
      </c>
      <c r="B5167" s="4">
        <v>37696</v>
      </c>
      <c r="C5167" s="5">
        <f t="shared" si="2401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  <c r="V5167">
        <f t="shared" si="2378"/>
        <v>9</v>
      </c>
      <c r="W5167">
        <f t="shared" si="2376"/>
        <v>7</v>
      </c>
      <c r="X5167">
        <f t="shared" si="2377"/>
        <v>2009</v>
      </c>
    </row>
    <row r="5168" spans="1:24" ht="12" customHeight="1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402">C5168+2</f>
        <v>40706</v>
      </c>
      <c r="V5168">
        <f t="shared" si="2378"/>
        <v>12</v>
      </c>
      <c r="W5168">
        <f t="shared" si="2376"/>
        <v>6</v>
      </c>
      <c r="X5168">
        <f t="shared" si="2377"/>
        <v>2011</v>
      </c>
    </row>
    <row r="5169" spans="1:24" ht="12" customHeight="1">
      <c r="A5169" s="4">
        <v>5313</v>
      </c>
      <c r="B5169" s="4">
        <v>37794</v>
      </c>
      <c r="C5169" s="5">
        <f t="shared" ref="C5169:C5170" si="2403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402"/>
        <v>39898</v>
      </c>
      <c r="V5169">
        <f t="shared" si="2378"/>
        <v>26</v>
      </c>
      <c r="W5169">
        <f t="shared" si="2376"/>
        <v>3</v>
      </c>
      <c r="X5169">
        <f t="shared" si="2377"/>
        <v>2009</v>
      </c>
    </row>
    <row r="5170" spans="1:24" ht="12" customHeight="1">
      <c r="A5170" s="4">
        <v>5314</v>
      </c>
      <c r="B5170" s="4">
        <v>37794</v>
      </c>
      <c r="C5170" s="5">
        <f t="shared" si="2403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  <c r="V5170">
        <f t="shared" si="2378"/>
        <v>28</v>
      </c>
      <c r="W5170">
        <f t="shared" si="2376"/>
        <v>3</v>
      </c>
      <c r="X5170">
        <f t="shared" si="2377"/>
        <v>2009</v>
      </c>
    </row>
    <row r="5171" spans="1:24" ht="12" customHeight="1">
      <c r="A5171" s="4">
        <v>5344</v>
      </c>
      <c r="B5171" s="4">
        <v>37987</v>
      </c>
      <c r="C5171" s="5">
        <f t="shared" ref="C5171:C5172" si="2404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405">C5171+1</f>
        <v>39998</v>
      </c>
      <c r="V5171">
        <f t="shared" si="2378"/>
        <v>4</v>
      </c>
      <c r="W5171">
        <f t="shared" si="2376"/>
        <v>7</v>
      </c>
      <c r="X5171">
        <f t="shared" si="2377"/>
        <v>2009</v>
      </c>
    </row>
    <row r="5172" spans="1:24" ht="12" customHeight="1">
      <c r="A5172" s="4">
        <v>5345</v>
      </c>
      <c r="B5172" s="4">
        <v>37987</v>
      </c>
      <c r="C5172" s="5">
        <f t="shared" si="2404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405"/>
        <v>39998</v>
      </c>
      <c r="V5172">
        <f t="shared" si="2378"/>
        <v>4</v>
      </c>
      <c r="W5172">
        <f t="shared" si="2376"/>
        <v>7</v>
      </c>
      <c r="X5172">
        <f t="shared" si="2377"/>
        <v>2009</v>
      </c>
    </row>
    <row r="5173" spans="1:24" ht="12" customHeight="1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405"/>
        <v>39834</v>
      </c>
      <c r="V5173">
        <f t="shared" si="2378"/>
        <v>21</v>
      </c>
      <c r="W5173">
        <f t="shared" si="2376"/>
        <v>1</v>
      </c>
      <c r="X5173">
        <f t="shared" si="2377"/>
        <v>2009</v>
      </c>
    </row>
    <row r="5174" spans="1:24" ht="12" customHeight="1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406">C5174+2</f>
        <v>40899</v>
      </c>
      <c r="V5174">
        <f t="shared" si="2378"/>
        <v>22</v>
      </c>
      <c r="W5174">
        <f t="shared" si="2376"/>
        <v>12</v>
      </c>
      <c r="X5174">
        <f t="shared" si="2377"/>
        <v>2011</v>
      </c>
    </row>
    <row r="5175" spans="1:24" ht="12" customHeight="1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406"/>
        <v>40714</v>
      </c>
      <c r="V5175">
        <f t="shared" si="2378"/>
        <v>20</v>
      </c>
      <c r="W5175">
        <f t="shared" si="2376"/>
        <v>6</v>
      </c>
      <c r="X5175">
        <f t="shared" si="2377"/>
        <v>2011</v>
      </c>
    </row>
    <row r="5176" spans="1:24" ht="12" customHeight="1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406"/>
        <v>40120</v>
      </c>
      <c r="V5176">
        <f t="shared" si="2378"/>
        <v>3</v>
      </c>
      <c r="W5176">
        <f t="shared" si="2376"/>
        <v>11</v>
      </c>
      <c r="X5176">
        <f t="shared" si="2377"/>
        <v>2009</v>
      </c>
    </row>
    <row r="5177" spans="1:24" ht="12" customHeight="1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406"/>
        <v>40663</v>
      </c>
      <c r="V5177">
        <f t="shared" si="2378"/>
        <v>30</v>
      </c>
      <c r="W5177">
        <f t="shared" si="2376"/>
        <v>4</v>
      </c>
      <c r="X5177">
        <f t="shared" si="2377"/>
        <v>2011</v>
      </c>
    </row>
    <row r="5178" spans="1:24" ht="12" customHeight="1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  <c r="V5178">
        <f t="shared" si="2378"/>
        <v>14</v>
      </c>
      <c r="W5178">
        <f t="shared" si="2376"/>
        <v>9</v>
      </c>
      <c r="X5178">
        <f t="shared" si="2377"/>
        <v>2011</v>
      </c>
    </row>
    <row r="5179" spans="1:24" ht="12" customHeight="1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407">C5179+2</f>
        <v>41262</v>
      </c>
      <c r="V5179">
        <f t="shared" si="2378"/>
        <v>19</v>
      </c>
      <c r="W5179">
        <f t="shared" si="2376"/>
        <v>12</v>
      </c>
      <c r="X5179">
        <f t="shared" si="2377"/>
        <v>2012</v>
      </c>
    </row>
    <row r="5180" spans="1:24" ht="12" customHeight="1">
      <c r="A5180" s="4">
        <v>5634</v>
      </c>
      <c r="B5180" s="4">
        <v>39876</v>
      </c>
      <c r="C5180" s="5">
        <f t="shared" ref="C5180:C5182" si="2408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407"/>
        <v>41014</v>
      </c>
      <c r="V5180">
        <f t="shared" si="2378"/>
        <v>15</v>
      </c>
      <c r="W5180">
        <f t="shared" si="2376"/>
        <v>4</v>
      </c>
      <c r="X5180">
        <f t="shared" si="2377"/>
        <v>2012</v>
      </c>
    </row>
    <row r="5181" spans="1:24" ht="12" customHeight="1">
      <c r="A5181" s="4">
        <v>5635</v>
      </c>
      <c r="B5181" s="4">
        <v>39876</v>
      </c>
      <c r="C5181" s="5">
        <f t="shared" si="2408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407"/>
        <v>41014</v>
      </c>
      <c r="V5181">
        <f t="shared" si="2378"/>
        <v>15</v>
      </c>
      <c r="W5181">
        <f t="shared" si="2376"/>
        <v>4</v>
      </c>
      <c r="X5181">
        <f t="shared" si="2377"/>
        <v>2012</v>
      </c>
    </row>
    <row r="5182" spans="1:24" ht="12" customHeight="1">
      <c r="A5182" s="4">
        <v>5636</v>
      </c>
      <c r="B5182" s="4">
        <v>39876</v>
      </c>
      <c r="C5182" s="5">
        <f t="shared" si="2408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407"/>
        <v>41014</v>
      </c>
      <c r="V5182">
        <f t="shared" si="2378"/>
        <v>15</v>
      </c>
      <c r="W5182">
        <f t="shared" si="2376"/>
        <v>4</v>
      </c>
      <c r="X5182">
        <f t="shared" si="2377"/>
        <v>2012</v>
      </c>
    </row>
    <row r="5183" spans="1:24" ht="12" customHeight="1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  <c r="V5183">
        <f t="shared" si="2378"/>
        <v>7</v>
      </c>
      <c r="W5183">
        <f t="shared" si="2376"/>
        <v>12</v>
      </c>
      <c r="X5183">
        <f t="shared" si="2377"/>
        <v>2012</v>
      </c>
    </row>
    <row r="5184" spans="1:24" ht="12" customHeight="1">
      <c r="A5184" s="4">
        <v>5696</v>
      </c>
      <c r="B5184" s="4">
        <v>40261</v>
      </c>
      <c r="C5184" s="5">
        <f t="shared" ref="C5184:C5185" si="2409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410">C5184+2</f>
        <v>40123</v>
      </c>
      <c r="V5184">
        <f t="shared" si="2378"/>
        <v>6</v>
      </c>
      <c r="W5184">
        <f t="shared" si="2376"/>
        <v>11</v>
      </c>
      <c r="X5184">
        <f t="shared" si="2377"/>
        <v>2009</v>
      </c>
    </row>
    <row r="5185" spans="1:24" ht="12" customHeight="1">
      <c r="A5185" s="4">
        <v>5697</v>
      </c>
      <c r="B5185" s="4">
        <v>40261</v>
      </c>
      <c r="C5185" s="5">
        <f t="shared" si="2409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410"/>
        <v>40123</v>
      </c>
      <c r="V5185">
        <f t="shared" si="2378"/>
        <v>6</v>
      </c>
      <c r="W5185">
        <f t="shared" si="2376"/>
        <v>11</v>
      </c>
      <c r="X5185">
        <f t="shared" si="2377"/>
        <v>2009</v>
      </c>
    </row>
    <row r="5186" spans="1:24" ht="12" customHeight="1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411">C5186+1</f>
        <v>40930</v>
      </c>
      <c r="V5186">
        <f t="shared" si="2378"/>
        <v>22</v>
      </c>
      <c r="W5186">
        <f t="shared" si="2376"/>
        <v>1</v>
      </c>
      <c r="X5186">
        <f t="shared" si="2377"/>
        <v>2012</v>
      </c>
    </row>
    <row r="5187" spans="1:24" ht="12" customHeight="1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411"/>
        <v>40099</v>
      </c>
      <c r="V5187">
        <f t="shared" si="2378"/>
        <v>13</v>
      </c>
      <c r="W5187">
        <f t="shared" ref="W5187:W5250" si="2412">MONTH(U5187)</f>
        <v>10</v>
      </c>
      <c r="X5187">
        <f t="shared" ref="X5187:X5250" si="2413">YEAR(U5187)</f>
        <v>2009</v>
      </c>
    </row>
    <row r="5188" spans="1:24" ht="12" customHeight="1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  <c r="V5188">
        <f t="shared" ref="V5188:V5251" si="2414">DAY(U5188)</f>
        <v>26</v>
      </c>
      <c r="W5188">
        <f t="shared" si="2412"/>
        <v>5</v>
      </c>
      <c r="X5188">
        <f t="shared" si="2413"/>
        <v>2011</v>
      </c>
    </row>
    <row r="5189" spans="1:24" ht="12" customHeight="1">
      <c r="A5189" s="4">
        <v>5952</v>
      </c>
      <c r="B5189" s="4">
        <v>42243</v>
      </c>
      <c r="C5189" s="5">
        <f t="shared" ref="C5189:C5190" si="2415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416">C5189+2</f>
        <v>40981</v>
      </c>
      <c r="V5189">
        <f t="shared" si="2414"/>
        <v>13</v>
      </c>
      <c r="W5189">
        <f t="shared" si="2412"/>
        <v>3</v>
      </c>
      <c r="X5189">
        <f t="shared" si="2413"/>
        <v>2012</v>
      </c>
    </row>
    <row r="5190" spans="1:24" ht="12" customHeight="1">
      <c r="A5190" s="4">
        <v>5953</v>
      </c>
      <c r="B5190" s="4">
        <v>42243</v>
      </c>
      <c r="C5190" s="5">
        <f t="shared" si="2415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416"/>
        <v>40981</v>
      </c>
      <c r="V5190">
        <f t="shared" si="2414"/>
        <v>13</v>
      </c>
      <c r="W5190">
        <f t="shared" si="2412"/>
        <v>3</v>
      </c>
      <c r="X5190">
        <f t="shared" si="2413"/>
        <v>2012</v>
      </c>
    </row>
    <row r="5191" spans="1:24" ht="12" customHeight="1">
      <c r="A5191" s="4">
        <v>5987</v>
      </c>
      <c r="B5191" s="4">
        <v>42437</v>
      </c>
      <c r="C5191" s="5">
        <f t="shared" ref="C5191:C5192" si="2417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416"/>
        <v>40975</v>
      </c>
      <c r="V5191">
        <f t="shared" si="2414"/>
        <v>7</v>
      </c>
      <c r="W5191">
        <f t="shared" si="2412"/>
        <v>3</v>
      </c>
      <c r="X5191">
        <f t="shared" si="2413"/>
        <v>2012</v>
      </c>
    </row>
    <row r="5192" spans="1:24" ht="12" customHeight="1">
      <c r="A5192" s="4">
        <v>5988</v>
      </c>
      <c r="B5192" s="4">
        <v>42437</v>
      </c>
      <c r="C5192" s="5">
        <f t="shared" si="2417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418">C5192+1</f>
        <v>40974</v>
      </c>
      <c r="V5192">
        <f t="shared" si="2414"/>
        <v>6</v>
      </c>
      <c r="W5192">
        <f t="shared" si="2412"/>
        <v>3</v>
      </c>
      <c r="X5192">
        <f t="shared" si="2413"/>
        <v>2012</v>
      </c>
    </row>
    <row r="5193" spans="1:24" ht="12" customHeight="1">
      <c r="A5193" s="4">
        <v>6051</v>
      </c>
      <c r="B5193" s="4">
        <v>42887</v>
      </c>
      <c r="C5193" s="5">
        <f t="shared" ref="C5193:C5195" si="2419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418"/>
        <v>41071</v>
      </c>
      <c r="V5193">
        <f t="shared" si="2414"/>
        <v>11</v>
      </c>
      <c r="W5193">
        <f t="shared" si="2412"/>
        <v>6</v>
      </c>
      <c r="X5193">
        <f t="shared" si="2413"/>
        <v>2012</v>
      </c>
    </row>
    <row r="5194" spans="1:24" ht="12" customHeight="1">
      <c r="A5194" s="4">
        <v>6052</v>
      </c>
      <c r="B5194" s="4">
        <v>42887</v>
      </c>
      <c r="C5194" s="5">
        <f t="shared" si="2419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420">C5194+2</f>
        <v>41072</v>
      </c>
      <c r="V5194">
        <f t="shared" si="2414"/>
        <v>12</v>
      </c>
      <c r="W5194">
        <f t="shared" si="2412"/>
        <v>6</v>
      </c>
      <c r="X5194">
        <f t="shared" si="2413"/>
        <v>2012</v>
      </c>
    </row>
    <row r="5195" spans="1:24" ht="12" customHeight="1">
      <c r="A5195" s="4">
        <v>6053</v>
      </c>
      <c r="B5195" s="4">
        <v>42887</v>
      </c>
      <c r="C5195" s="5">
        <f t="shared" si="2419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420"/>
        <v>41072</v>
      </c>
      <c r="V5195">
        <f t="shared" si="2414"/>
        <v>12</v>
      </c>
      <c r="W5195">
        <f t="shared" si="2412"/>
        <v>6</v>
      </c>
      <c r="X5195">
        <f t="shared" si="2413"/>
        <v>2012</v>
      </c>
    </row>
    <row r="5196" spans="1:24" ht="12" customHeight="1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  <c r="V5196">
        <f t="shared" si="2414"/>
        <v>27</v>
      </c>
      <c r="W5196">
        <f t="shared" si="2412"/>
        <v>2</v>
      </c>
      <c r="X5196">
        <f t="shared" si="2413"/>
        <v>2011</v>
      </c>
    </row>
    <row r="5197" spans="1:24" ht="12" customHeight="1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  <c r="V5197">
        <f t="shared" si="2414"/>
        <v>2</v>
      </c>
      <c r="W5197">
        <f t="shared" si="2412"/>
        <v>11</v>
      </c>
      <c r="X5197">
        <f t="shared" si="2413"/>
        <v>2009</v>
      </c>
    </row>
    <row r="5198" spans="1:24" ht="12" customHeight="1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421">C5198+2</f>
        <v>40497</v>
      </c>
      <c r="V5198">
        <f t="shared" si="2414"/>
        <v>15</v>
      </c>
      <c r="W5198">
        <f t="shared" si="2412"/>
        <v>11</v>
      </c>
      <c r="X5198">
        <f t="shared" si="2413"/>
        <v>2010</v>
      </c>
    </row>
    <row r="5199" spans="1:24" ht="12" customHeight="1">
      <c r="A5199" s="4">
        <v>6195</v>
      </c>
      <c r="B5199" s="4">
        <v>43904</v>
      </c>
      <c r="C5199" s="5">
        <f t="shared" ref="C5199:C5200" si="2422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421"/>
        <v>40301</v>
      </c>
      <c r="V5199">
        <f t="shared" si="2414"/>
        <v>3</v>
      </c>
      <c r="W5199">
        <f t="shared" si="2412"/>
        <v>5</v>
      </c>
      <c r="X5199">
        <f t="shared" si="2413"/>
        <v>2010</v>
      </c>
    </row>
    <row r="5200" spans="1:24" ht="12" customHeight="1">
      <c r="A5200" s="4">
        <v>6196</v>
      </c>
      <c r="B5200" s="4">
        <v>43904</v>
      </c>
      <c r="C5200" s="5">
        <f t="shared" si="2422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423">C5200+1</f>
        <v>40300</v>
      </c>
      <c r="V5200">
        <f t="shared" si="2414"/>
        <v>2</v>
      </c>
      <c r="W5200">
        <f t="shared" si="2412"/>
        <v>5</v>
      </c>
      <c r="X5200">
        <f t="shared" si="2413"/>
        <v>2010</v>
      </c>
    </row>
    <row r="5201" spans="1:24" ht="12" customHeight="1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423"/>
        <v>40948</v>
      </c>
      <c r="V5201">
        <f t="shared" si="2414"/>
        <v>9</v>
      </c>
      <c r="W5201">
        <f t="shared" si="2412"/>
        <v>2</v>
      </c>
      <c r="X5201">
        <f t="shared" si="2413"/>
        <v>2012</v>
      </c>
    </row>
    <row r="5202" spans="1:24" ht="12" customHeight="1">
      <c r="A5202" s="4">
        <v>6221</v>
      </c>
      <c r="B5202" s="4">
        <v>44064</v>
      </c>
      <c r="C5202" s="5">
        <f t="shared" ref="C5202:C5203" si="2424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  <c r="V5202">
        <f t="shared" si="2414"/>
        <v>5</v>
      </c>
      <c r="W5202">
        <f t="shared" si="2412"/>
        <v>3</v>
      </c>
      <c r="X5202">
        <f t="shared" si="2413"/>
        <v>2010</v>
      </c>
    </row>
    <row r="5203" spans="1:24" ht="12" customHeight="1">
      <c r="A5203" s="4">
        <v>6222</v>
      </c>
      <c r="B5203" s="4">
        <v>44064</v>
      </c>
      <c r="C5203" s="5">
        <f t="shared" si="2424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  <c r="V5203">
        <f t="shared" si="2414"/>
        <v>6</v>
      </c>
      <c r="W5203">
        <f t="shared" si="2412"/>
        <v>3</v>
      </c>
      <c r="X5203">
        <f t="shared" si="2413"/>
        <v>2010</v>
      </c>
    </row>
    <row r="5204" spans="1:24" ht="12" customHeight="1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  <c r="V5204">
        <f t="shared" si="2414"/>
        <v>10</v>
      </c>
      <c r="W5204">
        <f t="shared" si="2412"/>
        <v>8</v>
      </c>
      <c r="X5204">
        <f t="shared" si="2413"/>
        <v>2010</v>
      </c>
    </row>
    <row r="5205" spans="1:24" ht="12" customHeight="1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425">C5205+2</f>
        <v>39856</v>
      </c>
      <c r="V5205">
        <f t="shared" si="2414"/>
        <v>12</v>
      </c>
      <c r="W5205">
        <f t="shared" si="2412"/>
        <v>2</v>
      </c>
      <c r="X5205">
        <f t="shared" si="2413"/>
        <v>2009</v>
      </c>
    </row>
    <row r="5206" spans="1:24" ht="12" customHeight="1">
      <c r="A5206" s="4">
        <v>6274</v>
      </c>
      <c r="B5206" s="4">
        <v>44422</v>
      </c>
      <c r="C5206" s="5">
        <f t="shared" ref="C5206:C5208" si="2426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425"/>
        <v>41014</v>
      </c>
      <c r="V5206">
        <f t="shared" si="2414"/>
        <v>15</v>
      </c>
      <c r="W5206">
        <f t="shared" si="2412"/>
        <v>4</v>
      </c>
      <c r="X5206">
        <f t="shared" si="2413"/>
        <v>2012</v>
      </c>
    </row>
    <row r="5207" spans="1:24" ht="12" customHeight="1">
      <c r="A5207" s="4">
        <v>6275</v>
      </c>
      <c r="B5207" s="4">
        <v>44422</v>
      </c>
      <c r="C5207" s="5">
        <f t="shared" si="2426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425"/>
        <v>41014</v>
      </c>
      <c r="V5207">
        <f t="shared" si="2414"/>
        <v>15</v>
      </c>
      <c r="W5207">
        <f t="shared" si="2412"/>
        <v>4</v>
      </c>
      <c r="X5207">
        <f t="shared" si="2413"/>
        <v>2012</v>
      </c>
    </row>
    <row r="5208" spans="1:24" ht="12" customHeight="1">
      <c r="A5208" s="4">
        <v>6276</v>
      </c>
      <c r="B5208" s="4">
        <v>44422</v>
      </c>
      <c r="C5208" s="5">
        <f t="shared" si="2426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425"/>
        <v>41014</v>
      </c>
      <c r="V5208">
        <f t="shared" si="2414"/>
        <v>15</v>
      </c>
      <c r="W5208">
        <f t="shared" si="2412"/>
        <v>4</v>
      </c>
      <c r="X5208">
        <f t="shared" si="2413"/>
        <v>2012</v>
      </c>
    </row>
    <row r="5209" spans="1:24" ht="12" customHeight="1">
      <c r="A5209" s="4">
        <v>6300</v>
      </c>
      <c r="B5209" s="4">
        <v>44609</v>
      </c>
      <c r="C5209" s="5">
        <f t="shared" ref="C5209:C5210" si="2427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  <c r="V5209">
        <f t="shared" si="2414"/>
        <v>23</v>
      </c>
      <c r="W5209">
        <f t="shared" si="2412"/>
        <v>6</v>
      </c>
      <c r="X5209">
        <f t="shared" si="2413"/>
        <v>2011</v>
      </c>
    </row>
    <row r="5210" spans="1:24" ht="12" customHeight="1">
      <c r="A5210" s="4">
        <v>6301</v>
      </c>
      <c r="B5210" s="4">
        <v>44609</v>
      </c>
      <c r="C5210" s="5">
        <f t="shared" si="2427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  <c r="V5210">
        <f t="shared" si="2414"/>
        <v>22</v>
      </c>
      <c r="W5210">
        <f t="shared" si="2412"/>
        <v>6</v>
      </c>
      <c r="X5210">
        <f t="shared" si="2413"/>
        <v>2011</v>
      </c>
    </row>
    <row r="5211" spans="1:24" ht="12" customHeight="1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  <c r="V5211">
        <f t="shared" si="2414"/>
        <v>20</v>
      </c>
      <c r="W5211">
        <f t="shared" si="2412"/>
        <v>11</v>
      </c>
      <c r="X5211">
        <f t="shared" si="2413"/>
        <v>2010</v>
      </c>
    </row>
    <row r="5212" spans="1:24" ht="12" customHeight="1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  <c r="V5212">
        <f t="shared" si="2414"/>
        <v>30</v>
      </c>
      <c r="W5212">
        <f t="shared" si="2412"/>
        <v>12</v>
      </c>
      <c r="X5212">
        <f t="shared" si="2413"/>
        <v>2012</v>
      </c>
    </row>
    <row r="5213" spans="1:24" ht="12" customHeight="1">
      <c r="A5213" s="4">
        <v>6398</v>
      </c>
      <c r="B5213" s="4">
        <v>45413</v>
      </c>
      <c r="C5213" s="5">
        <f t="shared" ref="C5213:C5215" si="2428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429">C5213+1</f>
        <v>40338</v>
      </c>
      <c r="V5213">
        <f t="shared" si="2414"/>
        <v>9</v>
      </c>
      <c r="W5213">
        <f t="shared" si="2412"/>
        <v>6</v>
      </c>
      <c r="X5213">
        <f t="shared" si="2413"/>
        <v>2010</v>
      </c>
    </row>
    <row r="5214" spans="1:24" ht="12" customHeight="1">
      <c r="A5214" s="4">
        <v>6399</v>
      </c>
      <c r="B5214" s="4">
        <v>45413</v>
      </c>
      <c r="C5214" s="5">
        <f t="shared" si="2428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429"/>
        <v>40338</v>
      </c>
      <c r="V5214">
        <f t="shared" si="2414"/>
        <v>9</v>
      </c>
      <c r="W5214">
        <f t="shared" si="2412"/>
        <v>6</v>
      </c>
      <c r="X5214">
        <f t="shared" si="2413"/>
        <v>2010</v>
      </c>
    </row>
    <row r="5215" spans="1:24" ht="12" customHeight="1">
      <c r="A5215" s="4">
        <v>6400</v>
      </c>
      <c r="B5215" s="4">
        <v>45413</v>
      </c>
      <c r="C5215" s="5">
        <f t="shared" si="2428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  <c r="V5215">
        <f t="shared" si="2414"/>
        <v>8</v>
      </c>
      <c r="W5215">
        <f t="shared" si="2412"/>
        <v>6</v>
      </c>
      <c r="X5215">
        <f t="shared" si="2413"/>
        <v>2010</v>
      </c>
    </row>
    <row r="5216" spans="1:24" ht="12" customHeight="1">
      <c r="A5216" s="4">
        <v>6412</v>
      </c>
      <c r="B5216" s="4">
        <v>45571</v>
      </c>
      <c r="C5216" s="5">
        <f t="shared" ref="C5216:C5218" si="2430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  <c r="V5216">
        <f t="shared" si="2414"/>
        <v>24</v>
      </c>
      <c r="W5216">
        <f t="shared" si="2412"/>
        <v>9</v>
      </c>
      <c r="X5216">
        <f t="shared" si="2413"/>
        <v>2012</v>
      </c>
    </row>
    <row r="5217" spans="1:24" ht="12" customHeight="1">
      <c r="A5217" s="4">
        <v>6413</v>
      </c>
      <c r="B5217" s="4">
        <v>45571</v>
      </c>
      <c r="C5217" s="5">
        <f t="shared" si="2430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431">C5217+2</f>
        <v>41177</v>
      </c>
      <c r="V5217">
        <f t="shared" si="2414"/>
        <v>25</v>
      </c>
      <c r="W5217">
        <f t="shared" si="2412"/>
        <v>9</v>
      </c>
      <c r="X5217">
        <f t="shared" si="2413"/>
        <v>2012</v>
      </c>
    </row>
    <row r="5218" spans="1:24" ht="12" customHeight="1">
      <c r="A5218" s="4">
        <v>6414</v>
      </c>
      <c r="B5218" s="4">
        <v>45571</v>
      </c>
      <c r="C5218" s="5">
        <f t="shared" si="2430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431"/>
        <v>41177</v>
      </c>
      <c r="V5218">
        <f t="shared" si="2414"/>
        <v>25</v>
      </c>
      <c r="W5218">
        <f t="shared" si="2412"/>
        <v>9</v>
      </c>
      <c r="X5218">
        <f t="shared" si="2413"/>
        <v>2012</v>
      </c>
    </row>
    <row r="5219" spans="1:24" ht="12" customHeight="1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  <c r="V5219">
        <f t="shared" si="2414"/>
        <v>12</v>
      </c>
      <c r="W5219">
        <f t="shared" si="2412"/>
        <v>4</v>
      </c>
      <c r="X5219">
        <f t="shared" si="2413"/>
        <v>2012</v>
      </c>
    </row>
    <row r="5220" spans="1:24" ht="12" customHeight="1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  <c r="V5220">
        <f t="shared" si="2414"/>
        <v>26</v>
      </c>
      <c r="W5220">
        <f t="shared" si="2412"/>
        <v>9</v>
      </c>
      <c r="X5220">
        <f t="shared" si="2413"/>
        <v>2011</v>
      </c>
    </row>
    <row r="5221" spans="1:24" ht="12" customHeight="1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  <c r="V5221">
        <f t="shared" si="2414"/>
        <v>12</v>
      </c>
      <c r="W5221">
        <f t="shared" si="2412"/>
        <v>8</v>
      </c>
      <c r="X5221">
        <f t="shared" si="2413"/>
        <v>2012</v>
      </c>
    </row>
    <row r="5222" spans="1:24" ht="12" customHeight="1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432">C5222+2</f>
        <v>39876</v>
      </c>
      <c r="V5222">
        <f t="shared" si="2414"/>
        <v>4</v>
      </c>
      <c r="W5222">
        <f t="shared" si="2412"/>
        <v>3</v>
      </c>
      <c r="X5222">
        <f t="shared" si="2413"/>
        <v>2009</v>
      </c>
    </row>
    <row r="5223" spans="1:24" ht="12" customHeight="1">
      <c r="A5223" s="4">
        <v>6483</v>
      </c>
      <c r="B5223" s="4">
        <v>46147</v>
      </c>
      <c r="C5223" s="5">
        <f t="shared" ref="C5223:C5225" si="2433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432"/>
        <v>40560</v>
      </c>
      <c r="V5223">
        <f t="shared" si="2414"/>
        <v>17</v>
      </c>
      <c r="W5223">
        <f t="shared" si="2412"/>
        <v>1</v>
      </c>
      <c r="X5223">
        <f t="shared" si="2413"/>
        <v>2011</v>
      </c>
    </row>
    <row r="5224" spans="1:24" ht="12" customHeight="1">
      <c r="A5224" s="4">
        <v>6484</v>
      </c>
      <c r="B5224" s="4">
        <v>46147</v>
      </c>
      <c r="C5224" s="5">
        <f t="shared" si="2433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432"/>
        <v>40560</v>
      </c>
      <c r="V5224">
        <f t="shared" si="2414"/>
        <v>17</v>
      </c>
      <c r="W5224">
        <f t="shared" si="2412"/>
        <v>1</v>
      </c>
      <c r="X5224">
        <f t="shared" si="2413"/>
        <v>2011</v>
      </c>
    </row>
    <row r="5225" spans="1:24" ht="12" customHeight="1">
      <c r="A5225" s="4">
        <v>6485</v>
      </c>
      <c r="B5225" s="4">
        <v>46147</v>
      </c>
      <c r="C5225" s="5">
        <f t="shared" si="2433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432"/>
        <v>40560</v>
      </c>
      <c r="V5225">
        <f t="shared" si="2414"/>
        <v>17</v>
      </c>
      <c r="W5225">
        <f t="shared" si="2412"/>
        <v>1</v>
      </c>
      <c r="X5225">
        <f t="shared" si="2413"/>
        <v>2011</v>
      </c>
    </row>
    <row r="5226" spans="1:24" ht="12" customHeight="1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  <c r="V5226">
        <f t="shared" si="2414"/>
        <v>18</v>
      </c>
      <c r="W5226">
        <f t="shared" si="2412"/>
        <v>6</v>
      </c>
      <c r="X5226">
        <f t="shared" si="2413"/>
        <v>2010</v>
      </c>
    </row>
    <row r="5227" spans="1:24" ht="12" customHeight="1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  <c r="V5227">
        <f t="shared" si="2414"/>
        <v>16</v>
      </c>
      <c r="W5227">
        <f t="shared" si="2412"/>
        <v>3</v>
      </c>
      <c r="X5227">
        <f t="shared" si="2413"/>
        <v>2009</v>
      </c>
    </row>
    <row r="5228" spans="1:24" ht="12" customHeight="1">
      <c r="A5228" s="4">
        <v>6497</v>
      </c>
      <c r="B5228" s="4">
        <v>46244</v>
      </c>
      <c r="C5228" s="5">
        <f t="shared" ref="C5228:C5229" si="2434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  <c r="V5228">
        <f t="shared" si="2414"/>
        <v>3</v>
      </c>
      <c r="W5228">
        <f t="shared" si="2412"/>
        <v>7</v>
      </c>
      <c r="X5228">
        <f t="shared" si="2413"/>
        <v>2009</v>
      </c>
    </row>
    <row r="5229" spans="1:24" ht="12" customHeight="1">
      <c r="A5229" s="4">
        <v>6498</v>
      </c>
      <c r="B5229" s="4">
        <v>46244</v>
      </c>
      <c r="C5229" s="5">
        <f t="shared" si="2434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  <c r="V5229">
        <f t="shared" si="2414"/>
        <v>4</v>
      </c>
      <c r="W5229">
        <f t="shared" si="2412"/>
        <v>7</v>
      </c>
      <c r="X5229">
        <f t="shared" si="2413"/>
        <v>2009</v>
      </c>
    </row>
    <row r="5230" spans="1:24" ht="12" customHeight="1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  <c r="V5230">
        <f t="shared" si="2414"/>
        <v>3</v>
      </c>
      <c r="W5230">
        <f t="shared" si="2412"/>
        <v>8</v>
      </c>
      <c r="X5230">
        <f t="shared" si="2413"/>
        <v>2011</v>
      </c>
    </row>
    <row r="5231" spans="1:24" ht="12" customHeight="1">
      <c r="A5231" s="4">
        <v>6514</v>
      </c>
      <c r="B5231" s="4">
        <v>46372</v>
      </c>
      <c r="C5231" s="5">
        <f t="shared" ref="C5231:C5232" si="2435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  <c r="V5231">
        <f t="shared" si="2414"/>
        <v>26</v>
      </c>
      <c r="W5231">
        <f t="shared" si="2412"/>
        <v>2</v>
      </c>
      <c r="X5231">
        <f t="shared" si="2413"/>
        <v>2011</v>
      </c>
    </row>
    <row r="5232" spans="1:24" ht="12" customHeight="1">
      <c r="A5232" s="4">
        <v>6515</v>
      </c>
      <c r="B5232" s="4">
        <v>46372</v>
      </c>
      <c r="C5232" s="5">
        <f t="shared" si="2435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436">C5232+1</f>
        <v>40601</v>
      </c>
      <c r="V5232">
        <f t="shared" si="2414"/>
        <v>27</v>
      </c>
      <c r="W5232">
        <f t="shared" si="2412"/>
        <v>2</v>
      </c>
      <c r="X5232">
        <f t="shared" si="2413"/>
        <v>2011</v>
      </c>
    </row>
    <row r="5233" spans="1:24" ht="12" customHeight="1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436"/>
        <v>40011</v>
      </c>
      <c r="V5233">
        <f t="shared" si="2414"/>
        <v>17</v>
      </c>
      <c r="W5233">
        <f t="shared" si="2412"/>
        <v>7</v>
      </c>
      <c r="X5233">
        <f t="shared" si="2413"/>
        <v>2009</v>
      </c>
    </row>
    <row r="5234" spans="1:24" ht="12" customHeight="1">
      <c r="A5234" s="4">
        <v>6567</v>
      </c>
      <c r="B5234" s="4">
        <v>46721</v>
      </c>
      <c r="C5234" s="5">
        <f t="shared" ref="C5234:C5236" si="2437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436"/>
        <v>40070</v>
      </c>
      <c r="V5234">
        <f t="shared" si="2414"/>
        <v>14</v>
      </c>
      <c r="W5234">
        <f t="shared" si="2412"/>
        <v>9</v>
      </c>
      <c r="X5234">
        <f t="shared" si="2413"/>
        <v>2009</v>
      </c>
    </row>
    <row r="5235" spans="1:24" ht="12" customHeight="1">
      <c r="A5235" s="4">
        <v>6568</v>
      </c>
      <c r="B5235" s="4">
        <v>46721</v>
      </c>
      <c r="C5235" s="5">
        <f t="shared" si="2437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436"/>
        <v>40070</v>
      </c>
      <c r="V5235">
        <f t="shared" si="2414"/>
        <v>14</v>
      </c>
      <c r="W5235">
        <f t="shared" si="2412"/>
        <v>9</v>
      </c>
      <c r="X5235">
        <f t="shared" si="2413"/>
        <v>2009</v>
      </c>
    </row>
    <row r="5236" spans="1:24" ht="12" customHeight="1">
      <c r="A5236" s="4">
        <v>6569</v>
      </c>
      <c r="B5236" s="4">
        <v>46721</v>
      </c>
      <c r="C5236" s="5">
        <f t="shared" si="2437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436"/>
        <v>40070</v>
      </c>
      <c r="V5236">
        <f t="shared" si="2414"/>
        <v>14</v>
      </c>
      <c r="W5236">
        <f t="shared" si="2412"/>
        <v>9</v>
      </c>
      <c r="X5236">
        <f t="shared" si="2413"/>
        <v>2009</v>
      </c>
    </row>
    <row r="5237" spans="1:24" ht="12" customHeight="1">
      <c r="A5237" s="4">
        <v>6579</v>
      </c>
      <c r="B5237" s="4">
        <v>46852</v>
      </c>
      <c r="C5237" s="5">
        <f t="shared" ref="C5237:C5238" si="2438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  <c r="V5237">
        <f t="shared" si="2414"/>
        <v>30</v>
      </c>
      <c r="W5237">
        <f t="shared" si="2412"/>
        <v>1</v>
      </c>
      <c r="X5237">
        <f t="shared" si="2413"/>
        <v>2012</v>
      </c>
    </row>
    <row r="5238" spans="1:24" ht="12" customHeight="1">
      <c r="A5238" s="4">
        <v>6580</v>
      </c>
      <c r="B5238" s="4">
        <v>46852</v>
      </c>
      <c r="C5238" s="5">
        <f t="shared" si="2438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439">C5238+1</f>
        <v>40937</v>
      </c>
      <c r="V5238">
        <f t="shared" si="2414"/>
        <v>29</v>
      </c>
      <c r="W5238">
        <f t="shared" si="2412"/>
        <v>1</v>
      </c>
      <c r="X5238">
        <f t="shared" si="2413"/>
        <v>2012</v>
      </c>
    </row>
    <row r="5239" spans="1:24" ht="12" customHeight="1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439"/>
        <v>40245</v>
      </c>
      <c r="V5239">
        <f t="shared" si="2414"/>
        <v>8</v>
      </c>
      <c r="W5239">
        <f t="shared" si="2412"/>
        <v>3</v>
      </c>
      <c r="X5239">
        <f t="shared" si="2413"/>
        <v>2010</v>
      </c>
    </row>
    <row r="5240" spans="1:24" ht="12" customHeight="1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439"/>
        <v>40865</v>
      </c>
      <c r="V5240">
        <f t="shared" si="2414"/>
        <v>18</v>
      </c>
      <c r="W5240">
        <f t="shared" si="2412"/>
        <v>11</v>
      </c>
      <c r="X5240">
        <f t="shared" si="2413"/>
        <v>2011</v>
      </c>
    </row>
    <row r="5241" spans="1:24" ht="12" customHeight="1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  <c r="V5241">
        <f t="shared" si="2414"/>
        <v>19</v>
      </c>
      <c r="W5241">
        <f t="shared" si="2412"/>
        <v>10</v>
      </c>
      <c r="X5241">
        <f t="shared" si="2413"/>
        <v>2011</v>
      </c>
    </row>
    <row r="5242" spans="1:24" ht="12" customHeight="1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  <c r="V5242">
        <f t="shared" si="2414"/>
        <v>1</v>
      </c>
      <c r="W5242">
        <f t="shared" si="2412"/>
        <v>8</v>
      </c>
      <c r="X5242">
        <f t="shared" si="2413"/>
        <v>2012</v>
      </c>
    </row>
    <row r="5243" spans="1:24" ht="12" customHeight="1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440">C5243+2</f>
        <v>39857</v>
      </c>
      <c r="V5243">
        <f t="shared" si="2414"/>
        <v>13</v>
      </c>
      <c r="W5243">
        <f t="shared" si="2412"/>
        <v>2</v>
      </c>
      <c r="X5243">
        <f t="shared" si="2413"/>
        <v>2009</v>
      </c>
    </row>
    <row r="5244" spans="1:24" ht="12" customHeight="1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440"/>
        <v>41240</v>
      </c>
      <c r="V5244">
        <f t="shared" si="2414"/>
        <v>27</v>
      </c>
      <c r="W5244">
        <f t="shared" si="2412"/>
        <v>11</v>
      </c>
      <c r="X5244">
        <f t="shared" si="2413"/>
        <v>2012</v>
      </c>
    </row>
    <row r="5245" spans="1:24" ht="12" customHeight="1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440"/>
        <v>40526</v>
      </c>
      <c r="V5245">
        <f t="shared" si="2414"/>
        <v>14</v>
      </c>
      <c r="W5245">
        <f t="shared" si="2412"/>
        <v>12</v>
      </c>
      <c r="X5245">
        <f t="shared" si="2413"/>
        <v>2010</v>
      </c>
    </row>
    <row r="5246" spans="1:24" ht="12" customHeight="1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441">C5246+0</f>
        <v>40033</v>
      </c>
      <c r="V5246">
        <f t="shared" si="2414"/>
        <v>8</v>
      </c>
      <c r="W5246">
        <f t="shared" si="2412"/>
        <v>8</v>
      </c>
      <c r="X5246">
        <f t="shared" si="2413"/>
        <v>2009</v>
      </c>
    </row>
    <row r="5247" spans="1:24" ht="12" customHeight="1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441"/>
        <v>41213</v>
      </c>
      <c r="V5247">
        <f t="shared" si="2414"/>
        <v>31</v>
      </c>
      <c r="W5247">
        <f t="shared" si="2412"/>
        <v>10</v>
      </c>
      <c r="X5247">
        <f t="shared" si="2413"/>
        <v>2012</v>
      </c>
    </row>
    <row r="5248" spans="1:24" ht="12" customHeight="1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  <c r="V5248">
        <f t="shared" si="2414"/>
        <v>20</v>
      </c>
      <c r="W5248">
        <f t="shared" si="2412"/>
        <v>7</v>
      </c>
      <c r="X5248">
        <f t="shared" si="2413"/>
        <v>2011</v>
      </c>
    </row>
    <row r="5249" spans="1:24" ht="12" customHeight="1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  <c r="V5249">
        <f t="shared" si="2414"/>
        <v>31</v>
      </c>
      <c r="W5249">
        <f t="shared" si="2412"/>
        <v>5</v>
      </c>
      <c r="X5249">
        <f t="shared" si="2413"/>
        <v>2012</v>
      </c>
    </row>
    <row r="5250" spans="1:24" ht="12" customHeight="1">
      <c r="A5250" s="4">
        <v>6889</v>
      </c>
      <c r="B5250" s="4">
        <v>49123</v>
      </c>
      <c r="C5250" s="5">
        <f t="shared" ref="C5250:C5251" si="2442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443">C5250+1</f>
        <v>39870</v>
      </c>
      <c r="V5250">
        <f t="shared" si="2414"/>
        <v>26</v>
      </c>
      <c r="W5250">
        <f t="shared" si="2412"/>
        <v>2</v>
      </c>
      <c r="X5250">
        <f t="shared" si="2413"/>
        <v>2009</v>
      </c>
    </row>
    <row r="5251" spans="1:24" ht="12" customHeight="1">
      <c r="A5251" s="4">
        <v>6890</v>
      </c>
      <c r="B5251" s="4">
        <v>49123</v>
      </c>
      <c r="C5251" s="5">
        <f t="shared" si="2442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443"/>
        <v>39870</v>
      </c>
      <c r="V5251">
        <f t="shared" si="2414"/>
        <v>26</v>
      </c>
      <c r="W5251">
        <f t="shared" ref="W5251:W5314" si="2444">MONTH(U5251)</f>
        <v>2</v>
      </c>
      <c r="X5251">
        <f t="shared" ref="X5251:X5314" si="2445">YEAR(U5251)</f>
        <v>2009</v>
      </c>
    </row>
    <row r="5252" spans="1:24" ht="12" customHeight="1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443"/>
        <v>40769</v>
      </c>
      <c r="V5252">
        <f t="shared" ref="V5252:V5315" si="2446">DAY(U5252)</f>
        <v>14</v>
      </c>
      <c r="W5252">
        <f t="shared" si="2444"/>
        <v>8</v>
      </c>
      <c r="X5252">
        <f t="shared" si="2445"/>
        <v>2011</v>
      </c>
    </row>
    <row r="5253" spans="1:24" ht="12" customHeight="1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443"/>
        <v>40772</v>
      </c>
      <c r="V5253">
        <f t="shared" si="2446"/>
        <v>17</v>
      </c>
      <c r="W5253">
        <f t="shared" si="2444"/>
        <v>8</v>
      </c>
      <c r="X5253">
        <f t="shared" si="2445"/>
        <v>2011</v>
      </c>
    </row>
    <row r="5254" spans="1:24" ht="12" customHeight="1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  <c r="V5254">
        <f t="shared" si="2446"/>
        <v>29</v>
      </c>
      <c r="W5254">
        <f t="shared" si="2444"/>
        <v>7</v>
      </c>
      <c r="X5254">
        <f t="shared" si="2445"/>
        <v>2011</v>
      </c>
    </row>
    <row r="5255" spans="1:24" ht="12" customHeight="1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  <c r="V5255">
        <f t="shared" si="2446"/>
        <v>12</v>
      </c>
      <c r="W5255">
        <f t="shared" si="2444"/>
        <v>3</v>
      </c>
      <c r="X5255">
        <f t="shared" si="2445"/>
        <v>2011</v>
      </c>
    </row>
    <row r="5256" spans="1:24" ht="12" customHeight="1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447">C5256+2</f>
        <v>40564</v>
      </c>
      <c r="V5256">
        <f t="shared" si="2446"/>
        <v>21</v>
      </c>
      <c r="W5256">
        <f t="shared" si="2444"/>
        <v>1</v>
      </c>
      <c r="X5256">
        <f t="shared" si="2445"/>
        <v>2011</v>
      </c>
    </row>
    <row r="5257" spans="1:24" ht="12" customHeight="1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447"/>
        <v>40380</v>
      </c>
      <c r="V5257">
        <f t="shared" si="2446"/>
        <v>21</v>
      </c>
      <c r="W5257">
        <f t="shared" si="2444"/>
        <v>7</v>
      </c>
      <c r="X5257">
        <f t="shared" si="2445"/>
        <v>2010</v>
      </c>
    </row>
    <row r="5258" spans="1:24" ht="12" customHeight="1">
      <c r="A5258" s="4">
        <v>7039</v>
      </c>
      <c r="B5258" s="4">
        <v>50275</v>
      </c>
      <c r="C5258" s="5">
        <f t="shared" ref="C5258:C5259" si="2448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449">C5258+1</f>
        <v>40153</v>
      </c>
      <c r="V5258">
        <f t="shared" si="2446"/>
        <v>6</v>
      </c>
      <c r="W5258">
        <f t="shared" si="2444"/>
        <v>12</v>
      </c>
      <c r="X5258">
        <f t="shared" si="2445"/>
        <v>2009</v>
      </c>
    </row>
    <row r="5259" spans="1:24" ht="12" customHeight="1">
      <c r="A5259" s="4">
        <v>7040</v>
      </c>
      <c r="B5259" s="4">
        <v>50275</v>
      </c>
      <c r="C5259" s="5">
        <f t="shared" si="2448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449"/>
        <v>40153</v>
      </c>
      <c r="V5259">
        <f t="shared" si="2446"/>
        <v>6</v>
      </c>
      <c r="W5259">
        <f t="shared" si="2444"/>
        <v>12</v>
      </c>
      <c r="X5259">
        <f t="shared" si="2445"/>
        <v>2009</v>
      </c>
    </row>
    <row r="5260" spans="1:24" ht="12" customHeight="1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449"/>
        <v>41042</v>
      </c>
      <c r="V5260">
        <f t="shared" si="2446"/>
        <v>13</v>
      </c>
      <c r="W5260">
        <f t="shared" si="2444"/>
        <v>5</v>
      </c>
      <c r="X5260">
        <f t="shared" si="2445"/>
        <v>2012</v>
      </c>
    </row>
    <row r="5261" spans="1:24" ht="12" customHeight="1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  <c r="V5261">
        <f t="shared" si="2446"/>
        <v>2</v>
      </c>
      <c r="W5261">
        <f t="shared" si="2444"/>
        <v>7</v>
      </c>
      <c r="X5261">
        <f t="shared" si="2445"/>
        <v>2011</v>
      </c>
    </row>
    <row r="5262" spans="1:24" ht="12" customHeight="1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  <c r="V5262">
        <f t="shared" si="2446"/>
        <v>30</v>
      </c>
      <c r="W5262">
        <f t="shared" si="2444"/>
        <v>9</v>
      </c>
      <c r="X5262">
        <f t="shared" si="2445"/>
        <v>2011</v>
      </c>
    </row>
    <row r="5263" spans="1:24" ht="12" customHeight="1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  <c r="V5263">
        <f t="shared" si="2446"/>
        <v>13</v>
      </c>
      <c r="W5263">
        <f t="shared" si="2444"/>
        <v>3</v>
      </c>
      <c r="X5263">
        <f t="shared" si="2445"/>
        <v>2011</v>
      </c>
    </row>
    <row r="5264" spans="1:24" ht="12" customHeight="1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  <c r="V5264">
        <f t="shared" si="2446"/>
        <v>20</v>
      </c>
      <c r="W5264">
        <f t="shared" si="2444"/>
        <v>6</v>
      </c>
      <c r="X5264">
        <f t="shared" si="2445"/>
        <v>2010</v>
      </c>
    </row>
    <row r="5265" spans="1:24" ht="12" customHeight="1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  <c r="V5265">
        <f t="shared" si="2446"/>
        <v>14</v>
      </c>
      <c r="W5265">
        <f t="shared" si="2444"/>
        <v>3</v>
      </c>
      <c r="X5265">
        <f t="shared" si="2445"/>
        <v>2011</v>
      </c>
    </row>
    <row r="5266" spans="1:24" ht="12" customHeight="1">
      <c r="A5266" s="4">
        <v>7153</v>
      </c>
      <c r="B5266" s="4">
        <v>51044</v>
      </c>
      <c r="C5266" s="5">
        <f t="shared" ref="C5266:C5268" si="2450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  <c r="V5266">
        <f t="shared" si="2446"/>
        <v>18</v>
      </c>
      <c r="W5266">
        <f t="shared" si="2444"/>
        <v>1</v>
      </c>
      <c r="X5266">
        <f t="shared" si="2445"/>
        <v>2012</v>
      </c>
    </row>
    <row r="5267" spans="1:24" ht="12" customHeight="1">
      <c r="A5267" s="4">
        <v>7154</v>
      </c>
      <c r="B5267" s="4">
        <v>51044</v>
      </c>
      <c r="C5267" s="5">
        <f t="shared" si="2450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  <c r="V5267">
        <f t="shared" si="2446"/>
        <v>22</v>
      </c>
      <c r="W5267">
        <f t="shared" si="2444"/>
        <v>1</v>
      </c>
      <c r="X5267">
        <f t="shared" si="2445"/>
        <v>2012</v>
      </c>
    </row>
    <row r="5268" spans="1:24" ht="12" customHeight="1">
      <c r="A5268" s="4">
        <v>7155</v>
      </c>
      <c r="B5268" s="4">
        <v>51044</v>
      </c>
      <c r="C5268" s="5">
        <f t="shared" si="2450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  <c r="V5268">
        <f t="shared" si="2446"/>
        <v>25</v>
      </c>
      <c r="W5268">
        <f t="shared" si="2444"/>
        <v>1</v>
      </c>
      <c r="X5268">
        <f t="shared" si="2445"/>
        <v>2012</v>
      </c>
    </row>
    <row r="5269" spans="1:24" ht="12" customHeight="1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  <c r="V5269">
        <f t="shared" si="2446"/>
        <v>26</v>
      </c>
      <c r="W5269">
        <f t="shared" si="2444"/>
        <v>8</v>
      </c>
      <c r="X5269">
        <f t="shared" si="2445"/>
        <v>2011</v>
      </c>
    </row>
    <row r="5270" spans="1:24" ht="12" customHeight="1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  <c r="V5270">
        <f t="shared" si="2446"/>
        <v>13</v>
      </c>
      <c r="W5270">
        <f t="shared" si="2444"/>
        <v>11</v>
      </c>
      <c r="X5270">
        <f t="shared" si="2445"/>
        <v>2009</v>
      </c>
    </row>
    <row r="5271" spans="1:24" ht="12" customHeight="1">
      <c r="A5271" s="4">
        <v>7244</v>
      </c>
      <c r="B5271" s="4">
        <v>51650</v>
      </c>
      <c r="C5271" s="5">
        <f t="shared" ref="C5271:C5273" si="2451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452">C5271+2</f>
        <v>40697</v>
      </c>
      <c r="V5271">
        <f t="shared" si="2446"/>
        <v>3</v>
      </c>
      <c r="W5271">
        <f t="shared" si="2444"/>
        <v>6</v>
      </c>
      <c r="X5271">
        <f t="shared" si="2445"/>
        <v>2011</v>
      </c>
    </row>
    <row r="5272" spans="1:24" ht="12" customHeight="1">
      <c r="A5272" s="4">
        <v>7245</v>
      </c>
      <c r="B5272" s="4">
        <v>51650</v>
      </c>
      <c r="C5272" s="5">
        <f t="shared" si="2451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452"/>
        <v>40697</v>
      </c>
      <c r="V5272">
        <f t="shared" si="2446"/>
        <v>3</v>
      </c>
      <c r="W5272">
        <f t="shared" si="2444"/>
        <v>6</v>
      </c>
      <c r="X5272">
        <f t="shared" si="2445"/>
        <v>2011</v>
      </c>
    </row>
    <row r="5273" spans="1:24" ht="12" customHeight="1">
      <c r="A5273" s="4">
        <v>7246</v>
      </c>
      <c r="B5273" s="4">
        <v>51650</v>
      </c>
      <c r="C5273" s="5">
        <f t="shared" si="2451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452"/>
        <v>40697</v>
      </c>
      <c r="V5273">
        <f t="shared" si="2446"/>
        <v>3</v>
      </c>
      <c r="W5273">
        <f t="shared" si="2444"/>
        <v>6</v>
      </c>
      <c r="X5273">
        <f t="shared" si="2445"/>
        <v>2011</v>
      </c>
    </row>
    <row r="5274" spans="1:24" ht="12" customHeight="1">
      <c r="A5274" s="4">
        <v>7247</v>
      </c>
      <c r="B5274" s="4">
        <v>51652</v>
      </c>
      <c r="C5274" s="5">
        <f t="shared" ref="C5274:C5275" si="2453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452"/>
        <v>40644</v>
      </c>
      <c r="V5274">
        <f t="shared" si="2446"/>
        <v>11</v>
      </c>
      <c r="W5274">
        <f t="shared" si="2444"/>
        <v>4</v>
      </c>
      <c r="X5274">
        <f t="shared" si="2445"/>
        <v>2011</v>
      </c>
    </row>
    <row r="5275" spans="1:24" ht="12" customHeight="1">
      <c r="A5275" s="4">
        <v>7248</v>
      </c>
      <c r="B5275" s="4">
        <v>51652</v>
      </c>
      <c r="C5275" s="5">
        <f t="shared" si="2453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454">C5275+1</f>
        <v>40643</v>
      </c>
      <c r="V5275">
        <f t="shared" si="2446"/>
        <v>10</v>
      </c>
      <c r="W5275">
        <f t="shared" si="2444"/>
        <v>4</v>
      </c>
      <c r="X5275">
        <f t="shared" si="2445"/>
        <v>2011</v>
      </c>
    </row>
    <row r="5276" spans="1:24" ht="12" customHeight="1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454"/>
        <v>40975</v>
      </c>
      <c r="V5276">
        <f t="shared" si="2446"/>
        <v>7</v>
      </c>
      <c r="W5276">
        <f t="shared" si="2444"/>
        <v>3</v>
      </c>
      <c r="X5276">
        <f t="shared" si="2445"/>
        <v>2012</v>
      </c>
    </row>
    <row r="5277" spans="1:24" ht="12" customHeight="1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  <c r="V5277">
        <f t="shared" si="2446"/>
        <v>3</v>
      </c>
      <c r="W5277">
        <f t="shared" si="2444"/>
        <v>12</v>
      </c>
      <c r="X5277">
        <f t="shared" si="2445"/>
        <v>2009</v>
      </c>
    </row>
    <row r="5278" spans="1:24" ht="12" customHeight="1">
      <c r="A5278" s="4">
        <v>7313</v>
      </c>
      <c r="B5278" s="4">
        <v>52160</v>
      </c>
      <c r="C5278" s="5">
        <f t="shared" ref="C5278:C5279" si="2455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  <c r="V5278">
        <f t="shared" si="2446"/>
        <v>6</v>
      </c>
      <c r="W5278">
        <f t="shared" si="2444"/>
        <v>7</v>
      </c>
      <c r="X5278">
        <f t="shared" si="2445"/>
        <v>2011</v>
      </c>
    </row>
    <row r="5279" spans="1:24" ht="12" customHeight="1">
      <c r="A5279" s="4">
        <v>7314</v>
      </c>
      <c r="B5279" s="4">
        <v>52160</v>
      </c>
      <c r="C5279" s="5">
        <f t="shared" si="2455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  <c r="V5279">
        <f t="shared" si="2446"/>
        <v>5</v>
      </c>
      <c r="W5279">
        <f t="shared" si="2444"/>
        <v>7</v>
      </c>
      <c r="X5279">
        <f t="shared" si="2445"/>
        <v>2011</v>
      </c>
    </row>
    <row r="5280" spans="1:24" ht="12" customHeight="1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  <c r="V5280">
        <f t="shared" si="2446"/>
        <v>17</v>
      </c>
      <c r="W5280">
        <f t="shared" si="2444"/>
        <v>2</v>
      </c>
      <c r="X5280">
        <f t="shared" si="2445"/>
        <v>2009</v>
      </c>
    </row>
    <row r="5281" spans="1:24" ht="12" customHeight="1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  <c r="V5281">
        <f t="shared" si="2446"/>
        <v>25</v>
      </c>
      <c r="W5281">
        <f t="shared" si="2444"/>
        <v>1</v>
      </c>
      <c r="X5281">
        <f t="shared" si="2445"/>
        <v>2009</v>
      </c>
    </row>
    <row r="5282" spans="1:24" ht="12" customHeight="1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  <c r="V5282">
        <f t="shared" si="2446"/>
        <v>4</v>
      </c>
      <c r="W5282">
        <f t="shared" si="2444"/>
        <v>1</v>
      </c>
      <c r="X5282">
        <f t="shared" si="2445"/>
        <v>2011</v>
      </c>
    </row>
    <row r="5283" spans="1:24" ht="12" customHeight="1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456">C5283+1</f>
        <v>40072</v>
      </c>
      <c r="V5283">
        <f t="shared" si="2446"/>
        <v>16</v>
      </c>
      <c r="W5283">
        <f t="shared" si="2444"/>
        <v>9</v>
      </c>
      <c r="X5283">
        <f t="shared" si="2445"/>
        <v>2009</v>
      </c>
    </row>
    <row r="5284" spans="1:24" ht="12" customHeight="1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456"/>
        <v>40358</v>
      </c>
      <c r="V5284">
        <f t="shared" si="2446"/>
        <v>29</v>
      </c>
      <c r="W5284">
        <f t="shared" si="2444"/>
        <v>6</v>
      </c>
      <c r="X5284">
        <f t="shared" si="2445"/>
        <v>2010</v>
      </c>
    </row>
    <row r="5285" spans="1:24" ht="12" customHeight="1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456"/>
        <v>40764</v>
      </c>
      <c r="V5285">
        <f t="shared" si="2446"/>
        <v>9</v>
      </c>
      <c r="W5285">
        <f t="shared" si="2444"/>
        <v>8</v>
      </c>
      <c r="X5285">
        <f t="shared" si="2445"/>
        <v>2011</v>
      </c>
    </row>
    <row r="5286" spans="1:24" ht="12" customHeight="1">
      <c r="A5286" s="4">
        <v>7601</v>
      </c>
      <c r="B5286" s="4">
        <v>54371</v>
      </c>
      <c r="C5286" s="5">
        <f t="shared" ref="C5286:C5287" si="2457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  <c r="V5286">
        <f t="shared" si="2446"/>
        <v>15</v>
      </c>
      <c r="W5286">
        <f t="shared" si="2444"/>
        <v>2</v>
      </c>
      <c r="X5286">
        <f t="shared" si="2445"/>
        <v>2012</v>
      </c>
    </row>
    <row r="5287" spans="1:24" ht="12" customHeight="1">
      <c r="A5287" s="4">
        <v>7602</v>
      </c>
      <c r="B5287" s="4">
        <v>54371</v>
      </c>
      <c r="C5287" s="5">
        <f t="shared" si="2457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  <c r="V5287">
        <f t="shared" si="2446"/>
        <v>17</v>
      </c>
      <c r="W5287">
        <f t="shared" si="2444"/>
        <v>2</v>
      </c>
      <c r="X5287">
        <f t="shared" si="2445"/>
        <v>2012</v>
      </c>
    </row>
    <row r="5288" spans="1:24" ht="12" customHeight="1">
      <c r="A5288" s="4">
        <v>7605</v>
      </c>
      <c r="B5288" s="4">
        <v>54436</v>
      </c>
      <c r="C5288" s="5">
        <f t="shared" ref="C5288:C5289" si="2458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  <c r="V5288">
        <f t="shared" si="2446"/>
        <v>19</v>
      </c>
      <c r="W5288">
        <f t="shared" si="2444"/>
        <v>9</v>
      </c>
      <c r="X5288">
        <f t="shared" si="2445"/>
        <v>2009</v>
      </c>
    </row>
    <row r="5289" spans="1:24" ht="12" customHeight="1">
      <c r="A5289" s="4">
        <v>7606</v>
      </c>
      <c r="B5289" s="4">
        <v>54436</v>
      </c>
      <c r="C5289" s="5">
        <f t="shared" si="2458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  <c r="V5289">
        <f t="shared" si="2446"/>
        <v>20</v>
      </c>
      <c r="W5289">
        <f t="shared" si="2444"/>
        <v>9</v>
      </c>
      <c r="X5289">
        <f t="shared" si="2445"/>
        <v>2009</v>
      </c>
    </row>
    <row r="5290" spans="1:24" ht="12" customHeight="1">
      <c r="A5290" s="4">
        <v>7608</v>
      </c>
      <c r="B5290" s="4">
        <v>54464</v>
      </c>
      <c r="C5290" s="5">
        <f t="shared" ref="C5290:C5291" si="2459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  <c r="V5290">
        <f t="shared" si="2446"/>
        <v>3</v>
      </c>
      <c r="W5290">
        <f t="shared" si="2444"/>
        <v>9</v>
      </c>
      <c r="X5290">
        <f t="shared" si="2445"/>
        <v>2009</v>
      </c>
    </row>
    <row r="5291" spans="1:24" ht="12" customHeight="1">
      <c r="A5291" s="4">
        <v>7609</v>
      </c>
      <c r="B5291" s="4">
        <v>54464</v>
      </c>
      <c r="C5291" s="5">
        <f t="shared" si="2459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460">C5291+1</f>
        <v>40058</v>
      </c>
      <c r="V5291">
        <f t="shared" si="2446"/>
        <v>2</v>
      </c>
      <c r="W5291">
        <f t="shared" si="2444"/>
        <v>9</v>
      </c>
      <c r="X5291">
        <f t="shared" si="2445"/>
        <v>2009</v>
      </c>
    </row>
    <row r="5292" spans="1:24" ht="12" customHeight="1">
      <c r="A5292" s="4">
        <v>7613</v>
      </c>
      <c r="B5292" s="4">
        <v>54468</v>
      </c>
      <c r="C5292" s="5">
        <f t="shared" ref="C5292:C5293" si="2461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460"/>
        <v>40162</v>
      </c>
      <c r="V5292">
        <f t="shared" si="2446"/>
        <v>15</v>
      </c>
      <c r="W5292">
        <f t="shared" si="2444"/>
        <v>12</v>
      </c>
      <c r="X5292">
        <f t="shared" si="2445"/>
        <v>2009</v>
      </c>
    </row>
    <row r="5293" spans="1:24" ht="12" customHeight="1">
      <c r="A5293" s="4">
        <v>7614</v>
      </c>
      <c r="B5293" s="4">
        <v>54468</v>
      </c>
      <c r="C5293" s="5">
        <f t="shared" si="2461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460"/>
        <v>40162</v>
      </c>
      <c r="V5293">
        <f t="shared" si="2446"/>
        <v>15</v>
      </c>
      <c r="W5293">
        <f t="shared" si="2444"/>
        <v>12</v>
      </c>
      <c r="X5293">
        <f t="shared" si="2445"/>
        <v>2009</v>
      </c>
    </row>
    <row r="5294" spans="1:24" ht="12" customHeight="1">
      <c r="A5294" s="4">
        <v>7649</v>
      </c>
      <c r="B5294" s="4">
        <v>54819</v>
      </c>
      <c r="C5294" s="5">
        <f t="shared" ref="C5294:C5296" si="2462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  <c r="V5294">
        <f t="shared" si="2446"/>
        <v>15</v>
      </c>
      <c r="W5294">
        <f t="shared" si="2444"/>
        <v>10</v>
      </c>
      <c r="X5294">
        <f t="shared" si="2445"/>
        <v>2009</v>
      </c>
    </row>
    <row r="5295" spans="1:24" ht="12" customHeight="1">
      <c r="A5295" s="4">
        <v>7650</v>
      </c>
      <c r="B5295" s="4">
        <v>54819</v>
      </c>
      <c r="C5295" s="5">
        <f t="shared" si="2462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  <c r="V5295">
        <f t="shared" si="2446"/>
        <v>12</v>
      </c>
      <c r="W5295">
        <f t="shared" si="2444"/>
        <v>10</v>
      </c>
      <c r="X5295">
        <f t="shared" si="2445"/>
        <v>2009</v>
      </c>
    </row>
    <row r="5296" spans="1:24" ht="12" customHeight="1">
      <c r="A5296" s="4">
        <v>7651</v>
      </c>
      <c r="B5296" s="4">
        <v>54819</v>
      </c>
      <c r="C5296" s="5">
        <f t="shared" si="2462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  <c r="V5296">
        <f t="shared" si="2446"/>
        <v>10</v>
      </c>
      <c r="W5296">
        <f t="shared" si="2444"/>
        <v>10</v>
      </c>
      <c r="X5296">
        <f t="shared" si="2445"/>
        <v>2009</v>
      </c>
    </row>
    <row r="5297" spans="1:24" ht="12" customHeight="1">
      <c r="A5297" s="4">
        <v>7654</v>
      </c>
      <c r="B5297" s="4">
        <v>54882</v>
      </c>
      <c r="C5297" s="5">
        <f t="shared" ref="C5297:C5298" si="2463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  <c r="V5297">
        <f t="shared" si="2446"/>
        <v>9</v>
      </c>
      <c r="W5297">
        <f t="shared" si="2444"/>
        <v>2</v>
      </c>
      <c r="X5297">
        <f t="shared" si="2445"/>
        <v>2011</v>
      </c>
    </row>
    <row r="5298" spans="1:24" ht="12" customHeight="1">
      <c r="A5298" s="4">
        <v>7655</v>
      </c>
      <c r="B5298" s="4">
        <v>54882</v>
      </c>
      <c r="C5298" s="5">
        <f t="shared" si="2463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464">C5298+2</f>
        <v>40582</v>
      </c>
      <c r="V5298">
        <f t="shared" si="2446"/>
        <v>8</v>
      </c>
      <c r="W5298">
        <f t="shared" si="2444"/>
        <v>2</v>
      </c>
      <c r="X5298">
        <f t="shared" si="2445"/>
        <v>2011</v>
      </c>
    </row>
    <row r="5299" spans="1:24" ht="12" customHeight="1">
      <c r="A5299" s="4">
        <v>7680</v>
      </c>
      <c r="B5299" s="4">
        <v>55042</v>
      </c>
      <c r="C5299" s="5">
        <f t="shared" ref="C5299:C5300" si="2465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464"/>
        <v>40887</v>
      </c>
      <c r="V5299">
        <f t="shared" si="2446"/>
        <v>10</v>
      </c>
      <c r="W5299">
        <f t="shared" si="2444"/>
        <v>12</v>
      </c>
      <c r="X5299">
        <f t="shared" si="2445"/>
        <v>2011</v>
      </c>
    </row>
    <row r="5300" spans="1:24" ht="12" customHeight="1">
      <c r="A5300" s="4">
        <v>7681</v>
      </c>
      <c r="B5300" s="4">
        <v>55042</v>
      </c>
      <c r="C5300" s="5">
        <f t="shared" si="2465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466">C5300+1</f>
        <v>40886</v>
      </c>
      <c r="V5300">
        <f t="shared" si="2446"/>
        <v>9</v>
      </c>
      <c r="W5300">
        <f t="shared" si="2444"/>
        <v>12</v>
      </c>
      <c r="X5300">
        <f t="shared" si="2445"/>
        <v>2011</v>
      </c>
    </row>
    <row r="5301" spans="1:24" ht="12" customHeight="1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466"/>
        <v>39917</v>
      </c>
      <c r="V5301">
        <f t="shared" si="2446"/>
        <v>14</v>
      </c>
      <c r="W5301">
        <f t="shared" si="2444"/>
        <v>4</v>
      </c>
      <c r="X5301">
        <f t="shared" si="2445"/>
        <v>2009</v>
      </c>
    </row>
    <row r="5302" spans="1:24" ht="12" customHeight="1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467">C5302+2</f>
        <v>40472</v>
      </c>
      <c r="V5302">
        <f t="shared" si="2446"/>
        <v>21</v>
      </c>
      <c r="W5302">
        <f t="shared" si="2444"/>
        <v>10</v>
      </c>
      <c r="X5302">
        <f t="shared" si="2445"/>
        <v>2010</v>
      </c>
    </row>
    <row r="5303" spans="1:24" ht="12" customHeight="1">
      <c r="A5303" s="4">
        <v>7724</v>
      </c>
      <c r="B5303" s="4">
        <v>55360</v>
      </c>
      <c r="C5303" s="5">
        <f t="shared" ref="C5303:C5304" si="2468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467"/>
        <v>39837</v>
      </c>
      <c r="V5303">
        <f t="shared" si="2446"/>
        <v>24</v>
      </c>
      <c r="W5303">
        <f t="shared" si="2444"/>
        <v>1</v>
      </c>
      <c r="X5303">
        <f t="shared" si="2445"/>
        <v>2009</v>
      </c>
    </row>
    <row r="5304" spans="1:24" ht="12" customHeight="1">
      <c r="A5304" s="4">
        <v>7725</v>
      </c>
      <c r="B5304" s="4">
        <v>55360</v>
      </c>
      <c r="C5304" s="5">
        <f t="shared" si="2468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469">C5304+1</f>
        <v>39836</v>
      </c>
      <c r="V5304">
        <f t="shared" si="2446"/>
        <v>23</v>
      </c>
      <c r="W5304">
        <f t="shared" si="2444"/>
        <v>1</v>
      </c>
      <c r="X5304">
        <f t="shared" si="2445"/>
        <v>2009</v>
      </c>
    </row>
    <row r="5305" spans="1:24" ht="12" customHeight="1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469"/>
        <v>41188</v>
      </c>
      <c r="V5305">
        <f t="shared" si="2446"/>
        <v>6</v>
      </c>
      <c r="W5305">
        <f t="shared" si="2444"/>
        <v>10</v>
      </c>
      <c r="X5305">
        <f t="shared" si="2445"/>
        <v>2012</v>
      </c>
    </row>
    <row r="5306" spans="1:24" ht="12" customHeight="1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  <c r="V5306">
        <f t="shared" si="2446"/>
        <v>23</v>
      </c>
      <c r="W5306">
        <f t="shared" si="2444"/>
        <v>10</v>
      </c>
      <c r="X5306">
        <f t="shared" si="2445"/>
        <v>2011</v>
      </c>
    </row>
    <row r="5307" spans="1:24" ht="12" customHeight="1">
      <c r="A5307" s="4">
        <v>7776</v>
      </c>
      <c r="B5307" s="4">
        <v>55651</v>
      </c>
      <c r="C5307" s="5">
        <f t="shared" ref="C5307:C5308" si="2470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  <c r="V5307">
        <f t="shared" si="2446"/>
        <v>10</v>
      </c>
      <c r="W5307">
        <f t="shared" si="2444"/>
        <v>3</v>
      </c>
      <c r="X5307">
        <f t="shared" si="2445"/>
        <v>2012</v>
      </c>
    </row>
    <row r="5308" spans="1:24" ht="12" customHeight="1">
      <c r="A5308" s="4">
        <v>7777</v>
      </c>
      <c r="B5308" s="4">
        <v>55651</v>
      </c>
      <c r="C5308" s="5">
        <f t="shared" si="2470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  <c r="V5308">
        <f t="shared" si="2446"/>
        <v>8</v>
      </c>
      <c r="W5308">
        <f t="shared" si="2444"/>
        <v>3</v>
      </c>
      <c r="X5308">
        <f t="shared" si="2445"/>
        <v>2012</v>
      </c>
    </row>
    <row r="5309" spans="1:24" ht="12" customHeight="1">
      <c r="A5309" s="4">
        <v>7876</v>
      </c>
      <c r="B5309" s="4">
        <v>56322</v>
      </c>
      <c r="C5309" s="5">
        <f t="shared" ref="C5309:C5310" si="2471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472">C5309+2</f>
        <v>40818</v>
      </c>
      <c r="V5309">
        <f t="shared" si="2446"/>
        <v>2</v>
      </c>
      <c r="W5309">
        <f t="shared" si="2444"/>
        <v>10</v>
      </c>
      <c r="X5309">
        <f t="shared" si="2445"/>
        <v>2011</v>
      </c>
    </row>
    <row r="5310" spans="1:24" ht="12" customHeight="1">
      <c r="A5310" s="4">
        <v>7877</v>
      </c>
      <c r="B5310" s="4">
        <v>56322</v>
      </c>
      <c r="C5310" s="5">
        <f t="shared" si="2471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472"/>
        <v>40818</v>
      </c>
      <c r="V5310">
        <f t="shared" si="2446"/>
        <v>2</v>
      </c>
      <c r="W5310">
        <f t="shared" si="2444"/>
        <v>10</v>
      </c>
      <c r="X5310">
        <f t="shared" si="2445"/>
        <v>2011</v>
      </c>
    </row>
    <row r="5311" spans="1:24" ht="12" customHeight="1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472"/>
        <v>40137</v>
      </c>
      <c r="V5311">
        <f t="shared" si="2446"/>
        <v>20</v>
      </c>
      <c r="W5311">
        <f t="shared" si="2444"/>
        <v>11</v>
      </c>
      <c r="X5311">
        <f t="shared" si="2445"/>
        <v>2009</v>
      </c>
    </row>
    <row r="5312" spans="1:24" ht="12" customHeight="1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473">C5312+0</f>
        <v>40016</v>
      </c>
      <c r="V5312">
        <f t="shared" si="2446"/>
        <v>22</v>
      </c>
      <c r="W5312">
        <f t="shared" si="2444"/>
        <v>7</v>
      </c>
      <c r="X5312">
        <f t="shared" si="2445"/>
        <v>2009</v>
      </c>
    </row>
    <row r="5313" spans="1:24" ht="12" customHeight="1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473"/>
        <v>40229</v>
      </c>
      <c r="V5313">
        <f t="shared" si="2446"/>
        <v>20</v>
      </c>
      <c r="W5313">
        <f t="shared" si="2444"/>
        <v>2</v>
      </c>
      <c r="X5313">
        <f t="shared" si="2445"/>
        <v>2010</v>
      </c>
    </row>
    <row r="5314" spans="1:24" ht="12" customHeight="1">
      <c r="A5314" s="4">
        <v>7975</v>
      </c>
      <c r="B5314" s="4">
        <v>57058</v>
      </c>
      <c r="C5314" s="5">
        <f t="shared" ref="C5314:C5315" si="2474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473"/>
        <v>41038</v>
      </c>
      <c r="V5314">
        <f t="shared" si="2446"/>
        <v>9</v>
      </c>
      <c r="W5314">
        <f t="shared" si="2444"/>
        <v>5</v>
      </c>
      <c r="X5314">
        <f t="shared" si="2445"/>
        <v>2012</v>
      </c>
    </row>
    <row r="5315" spans="1:24" ht="12" customHeight="1">
      <c r="A5315" s="4">
        <v>7976</v>
      </c>
      <c r="B5315" s="4">
        <v>57058</v>
      </c>
      <c r="C5315" s="5">
        <f t="shared" si="2474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  <c r="V5315">
        <f t="shared" si="2446"/>
        <v>10</v>
      </c>
      <c r="W5315">
        <f t="shared" ref="W5315:W5378" si="2475">MONTH(U5315)</f>
        <v>5</v>
      </c>
      <c r="X5315">
        <f t="shared" ref="X5315:X5378" si="2476">YEAR(U5315)</f>
        <v>2012</v>
      </c>
    </row>
    <row r="5316" spans="1:24" ht="12" customHeight="1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  <c r="V5316">
        <f t="shared" ref="V5316:V5379" si="2477">DAY(U5316)</f>
        <v>13</v>
      </c>
      <c r="W5316">
        <f t="shared" si="2475"/>
        <v>2</v>
      </c>
      <c r="X5316">
        <f t="shared" si="2476"/>
        <v>2009</v>
      </c>
    </row>
    <row r="5317" spans="1:24" ht="12" customHeight="1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  <c r="V5317">
        <f t="shared" si="2477"/>
        <v>24</v>
      </c>
      <c r="W5317">
        <f t="shared" si="2475"/>
        <v>7</v>
      </c>
      <c r="X5317">
        <f t="shared" si="2476"/>
        <v>2012</v>
      </c>
    </row>
    <row r="5318" spans="1:24" ht="12" customHeight="1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  <c r="V5318">
        <f t="shared" si="2477"/>
        <v>26</v>
      </c>
      <c r="W5318">
        <f t="shared" si="2475"/>
        <v>5</v>
      </c>
      <c r="X5318">
        <f t="shared" si="2476"/>
        <v>2012</v>
      </c>
    </row>
    <row r="5319" spans="1:24" ht="12" customHeight="1">
      <c r="A5319" s="4">
        <v>8112</v>
      </c>
      <c r="B5319" s="4">
        <v>57921</v>
      </c>
      <c r="C5319" s="5">
        <f t="shared" ref="C5319:C5320" si="2478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  <c r="V5319">
        <f t="shared" si="2477"/>
        <v>18</v>
      </c>
      <c r="W5319">
        <f t="shared" si="2475"/>
        <v>8</v>
      </c>
      <c r="X5319">
        <f t="shared" si="2476"/>
        <v>2010</v>
      </c>
    </row>
    <row r="5320" spans="1:24" ht="12" customHeight="1">
      <c r="A5320" s="4">
        <v>8113</v>
      </c>
      <c r="B5320" s="4">
        <v>57921</v>
      </c>
      <c r="C5320" s="5">
        <f t="shared" si="2478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  <c r="V5320">
        <f t="shared" si="2477"/>
        <v>20</v>
      </c>
      <c r="W5320">
        <f t="shared" si="2475"/>
        <v>8</v>
      </c>
      <c r="X5320">
        <f t="shared" si="2476"/>
        <v>2010</v>
      </c>
    </row>
    <row r="5321" spans="1:24" ht="12" customHeight="1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479">C5321+1</f>
        <v>39873</v>
      </c>
      <c r="V5321">
        <f t="shared" si="2477"/>
        <v>1</v>
      </c>
      <c r="W5321">
        <f t="shared" si="2475"/>
        <v>3</v>
      </c>
      <c r="X5321">
        <f t="shared" si="2476"/>
        <v>2009</v>
      </c>
    </row>
    <row r="5322" spans="1:24" ht="12" customHeight="1">
      <c r="A5322" s="4">
        <v>8127</v>
      </c>
      <c r="B5322" s="4">
        <v>58086</v>
      </c>
      <c r="C5322" s="5">
        <f t="shared" ref="C5322:C5323" si="2480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479"/>
        <v>40613</v>
      </c>
      <c r="V5322">
        <f t="shared" si="2477"/>
        <v>11</v>
      </c>
      <c r="W5322">
        <f t="shared" si="2475"/>
        <v>3</v>
      </c>
      <c r="X5322">
        <f t="shared" si="2476"/>
        <v>2011</v>
      </c>
    </row>
    <row r="5323" spans="1:24" ht="12" customHeight="1">
      <c r="A5323" s="4">
        <v>8128</v>
      </c>
      <c r="B5323" s="4">
        <v>58086</v>
      </c>
      <c r="C5323" s="5">
        <f t="shared" si="2480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479"/>
        <v>40613</v>
      </c>
      <c r="V5323">
        <f t="shared" si="2477"/>
        <v>11</v>
      </c>
      <c r="W5323">
        <f t="shared" si="2475"/>
        <v>3</v>
      </c>
      <c r="X5323">
        <f t="shared" si="2476"/>
        <v>2011</v>
      </c>
    </row>
    <row r="5324" spans="1:24" ht="12" customHeight="1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  <c r="V5324">
        <f t="shared" si="2477"/>
        <v>22</v>
      </c>
      <c r="W5324">
        <f t="shared" si="2475"/>
        <v>2</v>
      </c>
      <c r="X5324">
        <f t="shared" si="2476"/>
        <v>2009</v>
      </c>
    </row>
    <row r="5325" spans="1:24" ht="12" customHeight="1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  <c r="V5325">
        <f t="shared" si="2477"/>
        <v>1</v>
      </c>
      <c r="W5325">
        <f t="shared" si="2475"/>
        <v>4</v>
      </c>
      <c r="X5325">
        <f t="shared" si="2476"/>
        <v>2011</v>
      </c>
    </row>
    <row r="5326" spans="1:24" ht="12" customHeight="1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481">C5326+2</f>
        <v>40181</v>
      </c>
      <c r="V5326">
        <f t="shared" si="2477"/>
        <v>3</v>
      </c>
      <c r="W5326">
        <f t="shared" si="2475"/>
        <v>1</v>
      </c>
      <c r="X5326">
        <f t="shared" si="2476"/>
        <v>2010</v>
      </c>
    </row>
    <row r="5327" spans="1:24" ht="12" customHeight="1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481"/>
        <v>41152</v>
      </c>
      <c r="V5327">
        <f t="shared" si="2477"/>
        <v>31</v>
      </c>
      <c r="W5327">
        <f t="shared" si="2475"/>
        <v>8</v>
      </c>
      <c r="X5327">
        <f t="shared" si="2476"/>
        <v>2012</v>
      </c>
    </row>
    <row r="5328" spans="1:24" ht="12" customHeight="1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481"/>
        <v>40156</v>
      </c>
      <c r="V5328">
        <f t="shared" si="2477"/>
        <v>9</v>
      </c>
      <c r="W5328">
        <f t="shared" si="2475"/>
        <v>12</v>
      </c>
      <c r="X5328">
        <f t="shared" si="2476"/>
        <v>2009</v>
      </c>
    </row>
    <row r="5329" spans="1:24" ht="12" customHeight="1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  <c r="V5329">
        <f t="shared" si="2477"/>
        <v>1</v>
      </c>
      <c r="W5329">
        <f t="shared" si="2475"/>
        <v>11</v>
      </c>
      <c r="X5329">
        <f t="shared" si="2476"/>
        <v>2012</v>
      </c>
    </row>
    <row r="5330" spans="1:24" ht="12" customHeight="1">
      <c r="A5330" s="4">
        <v>8350</v>
      </c>
      <c r="B5330" s="4">
        <v>59684</v>
      </c>
      <c r="C5330" s="5">
        <f t="shared" ref="C5330:C5333" si="2482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  <c r="V5330">
        <f t="shared" si="2477"/>
        <v>15</v>
      </c>
      <c r="W5330">
        <f t="shared" si="2475"/>
        <v>1</v>
      </c>
      <c r="X5330">
        <f t="shared" si="2476"/>
        <v>2011</v>
      </c>
    </row>
    <row r="5331" spans="1:24" ht="12" customHeight="1">
      <c r="A5331" s="4">
        <v>8351</v>
      </c>
      <c r="B5331" s="4">
        <v>59684</v>
      </c>
      <c r="C5331" s="5">
        <f t="shared" si="2482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  <c r="V5331">
        <f t="shared" si="2477"/>
        <v>16</v>
      </c>
      <c r="W5331">
        <f t="shared" si="2475"/>
        <v>1</v>
      </c>
      <c r="X5331">
        <f t="shared" si="2476"/>
        <v>2011</v>
      </c>
    </row>
    <row r="5332" spans="1:24" ht="12" customHeight="1">
      <c r="A5332" s="4">
        <v>8352</v>
      </c>
      <c r="B5332" s="4">
        <v>59684</v>
      </c>
      <c r="C5332" s="5">
        <f t="shared" si="2482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  <c r="V5332">
        <f t="shared" si="2477"/>
        <v>17</v>
      </c>
      <c r="W5332">
        <f t="shared" si="2475"/>
        <v>1</v>
      </c>
      <c r="X5332">
        <f t="shared" si="2476"/>
        <v>2011</v>
      </c>
    </row>
    <row r="5333" spans="1:24" ht="12" customHeight="1">
      <c r="A5333" s="4">
        <v>8353</v>
      </c>
      <c r="B5333" s="4">
        <v>59684</v>
      </c>
      <c r="C5333" s="5">
        <f t="shared" si="2482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483">C5333+1</f>
        <v>40542</v>
      </c>
      <c r="V5333">
        <f t="shared" si="2477"/>
        <v>30</v>
      </c>
      <c r="W5333">
        <f t="shared" si="2475"/>
        <v>12</v>
      </c>
      <c r="X5333">
        <f t="shared" si="2476"/>
        <v>2010</v>
      </c>
    </row>
    <row r="5334" spans="1:24" ht="12" customHeight="1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483"/>
        <v>40541</v>
      </c>
      <c r="V5334">
        <f t="shared" si="2477"/>
        <v>29</v>
      </c>
      <c r="W5334">
        <f t="shared" si="2475"/>
        <v>12</v>
      </c>
      <c r="X5334">
        <f t="shared" si="2476"/>
        <v>2010</v>
      </c>
    </row>
    <row r="5335" spans="1:24" ht="12" customHeight="1">
      <c r="A5335" s="4">
        <v>82</v>
      </c>
      <c r="B5335" s="4">
        <v>512</v>
      </c>
      <c r="C5335" s="5">
        <f t="shared" ref="C5335:C5336" si="2484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  <c r="V5335">
        <f t="shared" si="2477"/>
        <v>19</v>
      </c>
      <c r="W5335">
        <f t="shared" si="2475"/>
        <v>5</v>
      </c>
      <c r="X5335">
        <f t="shared" si="2476"/>
        <v>2011</v>
      </c>
    </row>
    <row r="5336" spans="1:24" ht="12" customHeight="1">
      <c r="A5336" s="4">
        <v>83</v>
      </c>
      <c r="B5336" s="4">
        <v>512</v>
      </c>
      <c r="C5336" s="5">
        <f t="shared" si="2484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485">C5336+2</f>
        <v>40684</v>
      </c>
      <c r="V5336">
        <f t="shared" si="2477"/>
        <v>21</v>
      </c>
      <c r="W5336">
        <f t="shared" si="2475"/>
        <v>5</v>
      </c>
      <c r="X5336">
        <f t="shared" si="2476"/>
        <v>2011</v>
      </c>
    </row>
    <row r="5337" spans="1:24" ht="12" customHeight="1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485"/>
        <v>40000</v>
      </c>
      <c r="V5337">
        <f t="shared" si="2477"/>
        <v>6</v>
      </c>
      <c r="W5337">
        <f t="shared" si="2475"/>
        <v>7</v>
      </c>
      <c r="X5337">
        <f t="shared" si="2476"/>
        <v>2009</v>
      </c>
    </row>
    <row r="5338" spans="1:24" ht="12" customHeight="1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485"/>
        <v>39964</v>
      </c>
      <c r="V5338">
        <f t="shared" si="2477"/>
        <v>31</v>
      </c>
      <c r="W5338">
        <f t="shared" si="2475"/>
        <v>5</v>
      </c>
      <c r="X5338">
        <f t="shared" si="2476"/>
        <v>2009</v>
      </c>
    </row>
    <row r="5339" spans="1:24" ht="12" customHeight="1">
      <c r="A5339" s="4">
        <v>290</v>
      </c>
      <c r="B5339" s="4">
        <v>2023</v>
      </c>
      <c r="C5339" s="5">
        <f t="shared" ref="C5339:C5340" si="2486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  <c r="V5339">
        <f t="shared" si="2477"/>
        <v>5</v>
      </c>
      <c r="W5339">
        <f t="shared" si="2475"/>
        <v>5</v>
      </c>
      <c r="X5339">
        <f t="shared" si="2476"/>
        <v>2012</v>
      </c>
    </row>
    <row r="5340" spans="1:24" ht="12" customHeight="1">
      <c r="A5340" s="4">
        <v>291</v>
      </c>
      <c r="B5340" s="4">
        <v>2023</v>
      </c>
      <c r="C5340" s="5">
        <f t="shared" si="2486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487">C5340+2</f>
        <v>41036</v>
      </c>
      <c r="V5340">
        <f t="shared" si="2477"/>
        <v>7</v>
      </c>
      <c r="W5340">
        <f t="shared" si="2475"/>
        <v>5</v>
      </c>
      <c r="X5340">
        <f t="shared" si="2476"/>
        <v>2012</v>
      </c>
    </row>
    <row r="5341" spans="1:24" ht="12" customHeight="1">
      <c r="A5341" s="4">
        <v>372</v>
      </c>
      <c r="B5341" s="4">
        <v>2593</v>
      </c>
      <c r="C5341" s="5">
        <f t="shared" ref="C5341:C5342" si="2488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487"/>
        <v>40426</v>
      </c>
      <c r="V5341">
        <f t="shared" si="2477"/>
        <v>5</v>
      </c>
      <c r="W5341">
        <f t="shared" si="2475"/>
        <v>9</v>
      </c>
      <c r="X5341">
        <f t="shared" si="2476"/>
        <v>2010</v>
      </c>
    </row>
    <row r="5342" spans="1:24" ht="12" customHeight="1">
      <c r="A5342" s="4">
        <v>373</v>
      </c>
      <c r="B5342" s="4">
        <v>2593</v>
      </c>
      <c r="C5342" s="5">
        <f t="shared" si="2488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  <c r="V5342">
        <f t="shared" si="2477"/>
        <v>4</v>
      </c>
      <c r="W5342">
        <f t="shared" si="2475"/>
        <v>9</v>
      </c>
      <c r="X5342">
        <f t="shared" si="2476"/>
        <v>2010</v>
      </c>
    </row>
    <row r="5343" spans="1:24" ht="12" customHeight="1">
      <c r="A5343" s="4">
        <v>501</v>
      </c>
      <c r="B5343" s="4">
        <v>3461</v>
      </c>
      <c r="C5343" s="5">
        <f t="shared" ref="C5343:C5344" si="2489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490">C5343+2</f>
        <v>40210</v>
      </c>
      <c r="V5343">
        <f t="shared" si="2477"/>
        <v>1</v>
      </c>
      <c r="W5343">
        <f t="shared" si="2475"/>
        <v>2</v>
      </c>
      <c r="X5343">
        <f t="shared" si="2476"/>
        <v>2010</v>
      </c>
    </row>
    <row r="5344" spans="1:24" ht="12" customHeight="1">
      <c r="A5344" s="4">
        <v>502</v>
      </c>
      <c r="B5344" s="4">
        <v>3461</v>
      </c>
      <c r="C5344" s="5">
        <f t="shared" si="2489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490"/>
        <v>40210</v>
      </c>
      <c r="V5344">
        <f t="shared" si="2477"/>
        <v>1</v>
      </c>
      <c r="W5344">
        <f t="shared" si="2475"/>
        <v>2</v>
      </c>
      <c r="X5344">
        <f t="shared" si="2476"/>
        <v>2010</v>
      </c>
    </row>
    <row r="5345" spans="1:24" ht="12" customHeight="1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  <c r="V5345">
        <f t="shared" si="2477"/>
        <v>25</v>
      </c>
      <c r="W5345">
        <f t="shared" si="2475"/>
        <v>6</v>
      </c>
      <c r="X5345">
        <f t="shared" si="2476"/>
        <v>2011</v>
      </c>
    </row>
    <row r="5346" spans="1:24" ht="12" customHeight="1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  <c r="V5346">
        <f t="shared" si="2477"/>
        <v>27</v>
      </c>
      <c r="W5346">
        <f t="shared" si="2475"/>
        <v>2</v>
      </c>
      <c r="X5346">
        <f t="shared" si="2476"/>
        <v>2010</v>
      </c>
    </row>
    <row r="5347" spans="1:24" ht="12" customHeight="1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491">C5347+2</f>
        <v>40493</v>
      </c>
      <c r="V5347">
        <f t="shared" si="2477"/>
        <v>11</v>
      </c>
      <c r="W5347">
        <f t="shared" si="2475"/>
        <v>11</v>
      </c>
      <c r="X5347">
        <f t="shared" si="2476"/>
        <v>2010</v>
      </c>
    </row>
    <row r="5348" spans="1:24" ht="12" customHeight="1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491"/>
        <v>41117</v>
      </c>
      <c r="V5348">
        <f t="shared" si="2477"/>
        <v>27</v>
      </c>
      <c r="W5348">
        <f t="shared" si="2475"/>
        <v>7</v>
      </c>
      <c r="X5348">
        <f t="shared" si="2476"/>
        <v>2012</v>
      </c>
    </row>
    <row r="5349" spans="1:24" ht="12" customHeight="1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  <c r="V5349">
        <f t="shared" si="2477"/>
        <v>23</v>
      </c>
      <c r="W5349">
        <f t="shared" si="2475"/>
        <v>7</v>
      </c>
      <c r="X5349">
        <f t="shared" si="2476"/>
        <v>2011</v>
      </c>
    </row>
    <row r="5350" spans="1:24" ht="12" customHeight="1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492">C5350+2</f>
        <v>41247</v>
      </c>
      <c r="V5350">
        <f t="shared" si="2477"/>
        <v>4</v>
      </c>
      <c r="W5350">
        <f t="shared" si="2475"/>
        <v>12</v>
      </c>
      <c r="X5350">
        <f t="shared" si="2476"/>
        <v>2012</v>
      </c>
    </row>
    <row r="5351" spans="1:24" ht="12" customHeight="1">
      <c r="A5351" s="4">
        <v>840</v>
      </c>
      <c r="B5351" s="4">
        <v>6018</v>
      </c>
      <c r="C5351" s="5">
        <f t="shared" ref="C5351:C5352" si="2493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492"/>
        <v>41141</v>
      </c>
      <c r="V5351">
        <f t="shared" si="2477"/>
        <v>20</v>
      </c>
      <c r="W5351">
        <f t="shared" si="2475"/>
        <v>8</v>
      </c>
      <c r="X5351">
        <f t="shared" si="2476"/>
        <v>2012</v>
      </c>
    </row>
    <row r="5352" spans="1:24" ht="12" customHeight="1">
      <c r="A5352" s="4">
        <v>841</v>
      </c>
      <c r="B5352" s="4">
        <v>6018</v>
      </c>
      <c r="C5352" s="5">
        <f t="shared" si="2493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  <c r="V5352">
        <f t="shared" si="2477"/>
        <v>23</v>
      </c>
      <c r="W5352">
        <f t="shared" si="2475"/>
        <v>8</v>
      </c>
      <c r="X5352">
        <f t="shared" si="2476"/>
        <v>2012</v>
      </c>
    </row>
    <row r="5353" spans="1:24" ht="12" customHeight="1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494">C5353+2</f>
        <v>40785</v>
      </c>
      <c r="V5353">
        <f t="shared" si="2477"/>
        <v>30</v>
      </c>
      <c r="W5353">
        <f t="shared" si="2475"/>
        <v>8</v>
      </c>
      <c r="X5353">
        <f t="shared" si="2476"/>
        <v>2011</v>
      </c>
    </row>
    <row r="5354" spans="1:24" ht="12" customHeight="1">
      <c r="A5354" s="4">
        <v>1037</v>
      </c>
      <c r="B5354" s="4">
        <v>7559</v>
      </c>
      <c r="C5354" s="5">
        <f t="shared" ref="C5354:C5355" si="2495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494"/>
        <v>40465</v>
      </c>
      <c r="V5354">
        <f t="shared" si="2477"/>
        <v>14</v>
      </c>
      <c r="W5354">
        <f t="shared" si="2475"/>
        <v>10</v>
      </c>
      <c r="X5354">
        <f t="shared" si="2476"/>
        <v>2010</v>
      </c>
    </row>
    <row r="5355" spans="1:24" ht="12" customHeight="1">
      <c r="A5355" s="4">
        <v>1038</v>
      </c>
      <c r="B5355" s="4">
        <v>7559</v>
      </c>
      <c r="C5355" s="5">
        <f t="shared" si="2495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  <c r="V5355">
        <f t="shared" si="2477"/>
        <v>13</v>
      </c>
      <c r="W5355">
        <f t="shared" si="2475"/>
        <v>10</v>
      </c>
      <c r="X5355">
        <f t="shared" si="2476"/>
        <v>2010</v>
      </c>
    </row>
    <row r="5356" spans="1:24" ht="12" customHeight="1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  <c r="V5356">
        <f t="shared" si="2477"/>
        <v>11</v>
      </c>
      <c r="W5356">
        <f t="shared" si="2475"/>
        <v>2</v>
      </c>
      <c r="X5356">
        <f t="shared" si="2476"/>
        <v>2012</v>
      </c>
    </row>
    <row r="5357" spans="1:24" ht="12" customHeight="1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  <c r="V5357">
        <f t="shared" si="2477"/>
        <v>29</v>
      </c>
      <c r="W5357">
        <f t="shared" si="2475"/>
        <v>1</v>
      </c>
      <c r="X5357">
        <f t="shared" si="2476"/>
        <v>2012</v>
      </c>
    </row>
    <row r="5358" spans="1:24" ht="12" customHeight="1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  <c r="V5358">
        <f t="shared" si="2477"/>
        <v>18</v>
      </c>
      <c r="W5358">
        <f t="shared" si="2475"/>
        <v>4</v>
      </c>
      <c r="X5358">
        <f t="shared" si="2476"/>
        <v>2009</v>
      </c>
    </row>
    <row r="5359" spans="1:24" ht="12" customHeight="1">
      <c r="A5359" s="4">
        <v>1180</v>
      </c>
      <c r="B5359" s="4">
        <v>8642</v>
      </c>
      <c r="C5359" s="5">
        <f t="shared" ref="C5359:C5360" si="2496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497">C5359+1</f>
        <v>40195</v>
      </c>
      <c r="V5359">
        <f t="shared" si="2477"/>
        <v>17</v>
      </c>
      <c r="W5359">
        <f t="shared" si="2475"/>
        <v>1</v>
      </c>
      <c r="X5359">
        <f t="shared" si="2476"/>
        <v>2010</v>
      </c>
    </row>
    <row r="5360" spans="1:24" ht="12" customHeight="1">
      <c r="A5360" s="4">
        <v>1181</v>
      </c>
      <c r="B5360" s="4">
        <v>8642</v>
      </c>
      <c r="C5360" s="5">
        <f t="shared" si="2496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497"/>
        <v>40195</v>
      </c>
      <c r="V5360">
        <f t="shared" si="2477"/>
        <v>17</v>
      </c>
      <c r="W5360">
        <f t="shared" si="2475"/>
        <v>1</v>
      </c>
      <c r="X5360">
        <f t="shared" si="2476"/>
        <v>2010</v>
      </c>
    </row>
    <row r="5361" spans="1:24" ht="12" customHeight="1">
      <c r="A5361" s="4">
        <v>1200</v>
      </c>
      <c r="B5361" s="4">
        <v>8803</v>
      </c>
      <c r="C5361" s="5">
        <f t="shared" ref="C5361:C5362" si="2498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497"/>
        <v>41264</v>
      </c>
      <c r="V5361">
        <f t="shared" si="2477"/>
        <v>21</v>
      </c>
      <c r="W5361">
        <f t="shared" si="2475"/>
        <v>12</v>
      </c>
      <c r="X5361">
        <f t="shared" si="2476"/>
        <v>2012</v>
      </c>
    </row>
    <row r="5362" spans="1:24" ht="12" customHeight="1">
      <c r="A5362" s="4">
        <v>1201</v>
      </c>
      <c r="B5362" s="4">
        <v>8803</v>
      </c>
      <c r="C5362" s="5">
        <f t="shared" si="2498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  <c r="V5362">
        <f t="shared" si="2477"/>
        <v>23</v>
      </c>
      <c r="W5362">
        <f t="shared" si="2475"/>
        <v>12</v>
      </c>
      <c r="X5362">
        <f t="shared" si="2476"/>
        <v>2012</v>
      </c>
    </row>
    <row r="5363" spans="1:24" ht="12" customHeight="1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  <c r="V5363">
        <f t="shared" si="2477"/>
        <v>18</v>
      </c>
      <c r="W5363">
        <f t="shared" si="2475"/>
        <v>3</v>
      </c>
      <c r="X5363">
        <f t="shared" si="2476"/>
        <v>2009</v>
      </c>
    </row>
    <row r="5364" spans="1:24" ht="12" customHeight="1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  <c r="V5364">
        <f t="shared" si="2477"/>
        <v>19</v>
      </c>
      <c r="W5364">
        <f t="shared" si="2475"/>
        <v>9</v>
      </c>
      <c r="X5364">
        <f t="shared" si="2476"/>
        <v>2011</v>
      </c>
    </row>
    <row r="5365" spans="1:24" ht="12" customHeight="1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499">C5365+1</f>
        <v>39903</v>
      </c>
      <c r="V5365">
        <f t="shared" si="2477"/>
        <v>31</v>
      </c>
      <c r="W5365">
        <f t="shared" si="2475"/>
        <v>3</v>
      </c>
      <c r="X5365">
        <f t="shared" si="2476"/>
        <v>2009</v>
      </c>
    </row>
    <row r="5366" spans="1:24" ht="12" customHeight="1">
      <c r="A5366" s="4">
        <v>1569</v>
      </c>
      <c r="B5366" s="4">
        <v>11335</v>
      </c>
      <c r="C5366" s="5">
        <f t="shared" ref="C5366:C5367" si="2500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499"/>
        <v>40108</v>
      </c>
      <c r="V5366">
        <f t="shared" si="2477"/>
        <v>22</v>
      </c>
      <c r="W5366">
        <f t="shared" si="2475"/>
        <v>10</v>
      </c>
      <c r="X5366">
        <f t="shared" si="2476"/>
        <v>2009</v>
      </c>
    </row>
    <row r="5367" spans="1:24" ht="12" customHeight="1">
      <c r="A5367" s="4">
        <v>1570</v>
      </c>
      <c r="B5367" s="4">
        <v>11335</v>
      </c>
      <c r="C5367" s="5">
        <f t="shared" si="2500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  <c r="V5367">
        <f t="shared" si="2477"/>
        <v>23</v>
      </c>
      <c r="W5367">
        <f t="shared" si="2475"/>
        <v>10</v>
      </c>
      <c r="X5367">
        <f t="shared" si="2476"/>
        <v>2009</v>
      </c>
    </row>
    <row r="5368" spans="1:24" ht="12" customHeight="1">
      <c r="A5368" s="4">
        <v>1719</v>
      </c>
      <c r="B5368" s="4">
        <v>12355</v>
      </c>
      <c r="C5368" s="5">
        <f t="shared" ref="C5368:C5369" si="2501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502">C5368+1</f>
        <v>40692</v>
      </c>
      <c r="V5368">
        <f t="shared" si="2477"/>
        <v>29</v>
      </c>
      <c r="W5368">
        <f t="shared" si="2475"/>
        <v>5</v>
      </c>
      <c r="X5368">
        <f t="shared" si="2476"/>
        <v>2011</v>
      </c>
    </row>
    <row r="5369" spans="1:24" ht="12" customHeight="1">
      <c r="A5369" s="4">
        <v>1720</v>
      </c>
      <c r="B5369" s="4">
        <v>12355</v>
      </c>
      <c r="C5369" s="5">
        <f t="shared" si="2501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502"/>
        <v>40692</v>
      </c>
      <c r="V5369">
        <f t="shared" si="2477"/>
        <v>29</v>
      </c>
      <c r="W5369">
        <f t="shared" si="2475"/>
        <v>5</v>
      </c>
      <c r="X5369">
        <f t="shared" si="2476"/>
        <v>2011</v>
      </c>
    </row>
    <row r="5370" spans="1:24" ht="12" customHeight="1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  <c r="V5370">
        <f t="shared" si="2477"/>
        <v>3</v>
      </c>
      <c r="W5370">
        <f t="shared" si="2475"/>
        <v>8</v>
      </c>
      <c r="X5370">
        <f t="shared" si="2476"/>
        <v>2010</v>
      </c>
    </row>
    <row r="5371" spans="1:24" ht="12" customHeight="1">
      <c r="A5371" s="4">
        <v>2092</v>
      </c>
      <c r="B5371" s="4">
        <v>14978</v>
      </c>
      <c r="C5371" s="5">
        <f t="shared" ref="C5371:C5372" si="2503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504">C5371+1</f>
        <v>40326</v>
      </c>
      <c r="V5371">
        <f t="shared" si="2477"/>
        <v>28</v>
      </c>
      <c r="W5371">
        <f t="shared" si="2475"/>
        <v>5</v>
      </c>
      <c r="X5371">
        <f t="shared" si="2476"/>
        <v>2010</v>
      </c>
    </row>
    <row r="5372" spans="1:24" ht="12" customHeight="1">
      <c r="A5372" s="4">
        <v>2093</v>
      </c>
      <c r="B5372" s="4">
        <v>14978</v>
      </c>
      <c r="C5372" s="5">
        <f t="shared" si="2503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504"/>
        <v>40326</v>
      </c>
      <c r="V5372">
        <f t="shared" si="2477"/>
        <v>28</v>
      </c>
      <c r="W5372">
        <f t="shared" si="2475"/>
        <v>5</v>
      </c>
      <c r="X5372">
        <f t="shared" si="2476"/>
        <v>2010</v>
      </c>
    </row>
    <row r="5373" spans="1:24" ht="12" customHeight="1">
      <c r="A5373" s="4">
        <v>2187</v>
      </c>
      <c r="B5373" s="4">
        <v>15751</v>
      </c>
      <c r="C5373" s="5">
        <f t="shared" ref="C5373:C5374" si="2505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504"/>
        <v>40041</v>
      </c>
      <c r="V5373">
        <f t="shared" si="2477"/>
        <v>16</v>
      </c>
      <c r="W5373">
        <f t="shared" si="2475"/>
        <v>8</v>
      </c>
      <c r="X5373">
        <f t="shared" si="2476"/>
        <v>2009</v>
      </c>
    </row>
    <row r="5374" spans="1:24" ht="12" customHeight="1">
      <c r="A5374" s="4">
        <v>2188</v>
      </c>
      <c r="B5374" s="4">
        <v>15751</v>
      </c>
      <c r="C5374" s="5">
        <f t="shared" si="2505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504"/>
        <v>40041</v>
      </c>
      <c r="V5374">
        <f t="shared" si="2477"/>
        <v>16</v>
      </c>
      <c r="W5374">
        <f t="shared" si="2475"/>
        <v>8</v>
      </c>
      <c r="X5374">
        <f t="shared" si="2476"/>
        <v>2009</v>
      </c>
    </row>
    <row r="5375" spans="1:24" ht="12" customHeight="1">
      <c r="A5375" s="4">
        <v>2197</v>
      </c>
      <c r="B5375" s="4">
        <v>15815</v>
      </c>
      <c r="C5375" s="5">
        <f t="shared" ref="C5375:C5376" si="2506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  <c r="V5375">
        <f t="shared" si="2477"/>
        <v>3</v>
      </c>
      <c r="W5375">
        <f t="shared" si="2475"/>
        <v>5</v>
      </c>
      <c r="X5375">
        <f t="shared" si="2476"/>
        <v>2009</v>
      </c>
    </row>
    <row r="5376" spans="1:24" ht="12" customHeight="1">
      <c r="A5376" s="4">
        <v>2198</v>
      </c>
      <c r="B5376" s="4">
        <v>15815</v>
      </c>
      <c r="C5376" s="5">
        <f t="shared" si="2506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  <c r="V5376">
        <f t="shared" si="2477"/>
        <v>1</v>
      </c>
      <c r="W5376">
        <f t="shared" si="2475"/>
        <v>5</v>
      </c>
      <c r="X5376">
        <f t="shared" si="2476"/>
        <v>2009</v>
      </c>
    </row>
    <row r="5377" spans="1:24" ht="12" customHeight="1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507">C5377+1</f>
        <v>40715</v>
      </c>
      <c r="V5377">
        <f t="shared" si="2477"/>
        <v>21</v>
      </c>
      <c r="W5377">
        <f t="shared" si="2475"/>
        <v>6</v>
      </c>
      <c r="X5377">
        <f t="shared" si="2476"/>
        <v>2011</v>
      </c>
    </row>
    <row r="5378" spans="1:24" ht="12" customHeight="1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507"/>
        <v>40112</v>
      </c>
      <c r="V5378">
        <f t="shared" si="2477"/>
        <v>26</v>
      </c>
      <c r="W5378">
        <f t="shared" si="2475"/>
        <v>10</v>
      </c>
      <c r="X5378">
        <f t="shared" si="2476"/>
        <v>2009</v>
      </c>
    </row>
    <row r="5379" spans="1:24" ht="12" customHeight="1">
      <c r="A5379" s="4">
        <v>2429</v>
      </c>
      <c r="B5379" s="4">
        <v>17666</v>
      </c>
      <c r="C5379" s="5">
        <f t="shared" ref="C5379:C5380" si="2508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  <c r="V5379">
        <f t="shared" si="2477"/>
        <v>10</v>
      </c>
      <c r="W5379">
        <f t="shared" ref="W5379:W5442" si="2509">MONTH(U5379)</f>
        <v>9</v>
      </c>
      <c r="X5379">
        <f t="shared" ref="X5379:X5442" si="2510">YEAR(U5379)</f>
        <v>2010</v>
      </c>
    </row>
    <row r="5380" spans="1:24" ht="12" customHeight="1">
      <c r="A5380" s="4">
        <v>2430</v>
      </c>
      <c r="B5380" s="4">
        <v>17666</v>
      </c>
      <c r="C5380" s="5">
        <f t="shared" si="2508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  <c r="V5380">
        <f t="shared" ref="V5380:V5443" si="2511">DAY(U5380)</f>
        <v>8</v>
      </c>
      <c r="W5380">
        <f t="shared" si="2509"/>
        <v>9</v>
      </c>
      <c r="X5380">
        <f t="shared" si="2510"/>
        <v>2010</v>
      </c>
    </row>
    <row r="5381" spans="1:24" ht="12" customHeight="1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  <c r="V5381">
        <f t="shared" si="2511"/>
        <v>27</v>
      </c>
      <c r="W5381">
        <f t="shared" si="2509"/>
        <v>9</v>
      </c>
      <c r="X5381">
        <f t="shared" si="2510"/>
        <v>2009</v>
      </c>
    </row>
    <row r="5382" spans="1:24" ht="12" customHeight="1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  <c r="V5382">
        <f t="shared" si="2511"/>
        <v>25</v>
      </c>
      <c r="W5382">
        <f t="shared" si="2509"/>
        <v>12</v>
      </c>
      <c r="X5382">
        <f t="shared" si="2510"/>
        <v>2012</v>
      </c>
    </row>
    <row r="5383" spans="1:24" ht="12" customHeight="1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  <c r="V5383">
        <f t="shared" si="2511"/>
        <v>11</v>
      </c>
      <c r="W5383">
        <f t="shared" si="2509"/>
        <v>4</v>
      </c>
      <c r="X5383">
        <f t="shared" si="2510"/>
        <v>2010</v>
      </c>
    </row>
    <row r="5384" spans="1:24" ht="12" customHeight="1">
      <c r="A5384" s="4">
        <v>3082</v>
      </c>
      <c r="B5384" s="4">
        <v>22117</v>
      </c>
      <c r="C5384" s="5">
        <f t="shared" ref="C5384:C5385" si="2512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  <c r="V5384">
        <f t="shared" si="2511"/>
        <v>13</v>
      </c>
      <c r="W5384">
        <f t="shared" si="2509"/>
        <v>8</v>
      </c>
      <c r="X5384">
        <f t="shared" si="2510"/>
        <v>2010</v>
      </c>
    </row>
    <row r="5385" spans="1:24" ht="12" customHeight="1">
      <c r="A5385" s="4">
        <v>3083</v>
      </c>
      <c r="B5385" s="4">
        <v>22117</v>
      </c>
      <c r="C5385" s="5">
        <f t="shared" si="2512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  <c r="V5385">
        <f t="shared" si="2511"/>
        <v>15</v>
      </c>
      <c r="W5385">
        <f t="shared" si="2509"/>
        <v>8</v>
      </c>
      <c r="X5385">
        <f t="shared" si="2510"/>
        <v>2010</v>
      </c>
    </row>
    <row r="5386" spans="1:24" ht="12" customHeight="1">
      <c r="A5386" s="4">
        <v>3099</v>
      </c>
      <c r="B5386" s="4">
        <v>22211</v>
      </c>
      <c r="C5386" s="5">
        <f t="shared" ref="C5386:C5387" si="2513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  <c r="V5386">
        <f t="shared" si="2511"/>
        <v>5</v>
      </c>
      <c r="W5386">
        <f t="shared" si="2509"/>
        <v>10</v>
      </c>
      <c r="X5386">
        <f t="shared" si="2510"/>
        <v>2011</v>
      </c>
    </row>
    <row r="5387" spans="1:24" ht="12" customHeight="1">
      <c r="A5387" s="4">
        <v>3100</v>
      </c>
      <c r="B5387" s="4">
        <v>22211</v>
      </c>
      <c r="C5387" s="5">
        <f t="shared" si="2513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  <c r="V5387">
        <f t="shared" si="2511"/>
        <v>4</v>
      </c>
      <c r="W5387">
        <f t="shared" si="2509"/>
        <v>10</v>
      </c>
      <c r="X5387">
        <f t="shared" si="2510"/>
        <v>2011</v>
      </c>
    </row>
    <row r="5388" spans="1:24" ht="12" customHeight="1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  <c r="V5388">
        <f t="shared" si="2511"/>
        <v>23</v>
      </c>
      <c r="W5388">
        <f t="shared" si="2509"/>
        <v>11</v>
      </c>
      <c r="X5388">
        <f t="shared" si="2510"/>
        <v>2010</v>
      </c>
    </row>
    <row r="5389" spans="1:24" ht="12" customHeight="1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  <c r="V5389">
        <f t="shared" si="2511"/>
        <v>29</v>
      </c>
      <c r="W5389">
        <f t="shared" si="2509"/>
        <v>8</v>
      </c>
      <c r="X5389">
        <f t="shared" si="2510"/>
        <v>2010</v>
      </c>
    </row>
    <row r="5390" spans="1:24" ht="12" customHeight="1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  <c r="V5390">
        <f t="shared" si="2511"/>
        <v>29</v>
      </c>
      <c r="W5390">
        <f t="shared" si="2509"/>
        <v>12</v>
      </c>
      <c r="X5390">
        <f t="shared" si="2510"/>
        <v>2010</v>
      </c>
    </row>
    <row r="5391" spans="1:24" ht="12" customHeight="1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  <c r="V5391">
        <f t="shared" si="2511"/>
        <v>2</v>
      </c>
      <c r="W5391">
        <f t="shared" si="2509"/>
        <v>11</v>
      </c>
      <c r="X5391">
        <f t="shared" si="2510"/>
        <v>2011</v>
      </c>
    </row>
    <row r="5392" spans="1:24" ht="12" customHeight="1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  <c r="V5392">
        <f t="shared" si="2511"/>
        <v>27</v>
      </c>
      <c r="W5392">
        <f t="shared" si="2509"/>
        <v>7</v>
      </c>
      <c r="X5392">
        <f t="shared" si="2510"/>
        <v>2012</v>
      </c>
    </row>
    <row r="5393" spans="1:24" ht="12" customHeight="1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  <c r="V5393">
        <f t="shared" si="2511"/>
        <v>17</v>
      </c>
      <c r="W5393">
        <f t="shared" si="2509"/>
        <v>6</v>
      </c>
      <c r="X5393">
        <f t="shared" si="2510"/>
        <v>2009</v>
      </c>
    </row>
    <row r="5394" spans="1:24" ht="12" customHeight="1">
      <c r="A5394" s="4">
        <v>3534</v>
      </c>
      <c r="B5394" s="4">
        <v>25155</v>
      </c>
      <c r="C5394" s="5">
        <f t="shared" ref="C5394:C5396" si="2514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515">C5394+7</f>
        <v>40205</v>
      </c>
      <c r="V5394">
        <f t="shared" si="2511"/>
        <v>27</v>
      </c>
      <c r="W5394">
        <f t="shared" si="2509"/>
        <v>1</v>
      </c>
      <c r="X5394">
        <f t="shared" si="2510"/>
        <v>2010</v>
      </c>
    </row>
    <row r="5395" spans="1:24" ht="12" customHeight="1">
      <c r="A5395" s="4">
        <v>3535</v>
      </c>
      <c r="B5395" s="4">
        <v>25155</v>
      </c>
      <c r="C5395" s="5">
        <f t="shared" si="2514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515"/>
        <v>40205</v>
      </c>
      <c r="V5395">
        <f t="shared" si="2511"/>
        <v>27</v>
      </c>
      <c r="W5395">
        <f t="shared" si="2509"/>
        <v>1</v>
      </c>
      <c r="X5395">
        <f t="shared" si="2510"/>
        <v>2010</v>
      </c>
    </row>
    <row r="5396" spans="1:24" ht="12" customHeight="1">
      <c r="A5396" s="4">
        <v>3536</v>
      </c>
      <c r="B5396" s="4">
        <v>25155</v>
      </c>
      <c r="C5396" s="5">
        <f t="shared" si="2514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516">C5396+5</f>
        <v>40203</v>
      </c>
      <c r="V5396">
        <f t="shared" si="2511"/>
        <v>25</v>
      </c>
      <c r="W5396">
        <f t="shared" si="2509"/>
        <v>1</v>
      </c>
      <c r="X5396">
        <f t="shared" si="2510"/>
        <v>2010</v>
      </c>
    </row>
    <row r="5397" spans="1:24" ht="12" customHeight="1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516"/>
        <v>41203</v>
      </c>
      <c r="V5397">
        <f t="shared" si="2511"/>
        <v>21</v>
      </c>
      <c r="W5397">
        <f t="shared" si="2509"/>
        <v>10</v>
      </c>
      <c r="X5397">
        <f t="shared" si="2510"/>
        <v>2012</v>
      </c>
    </row>
    <row r="5398" spans="1:24" ht="12" customHeight="1">
      <c r="A5398" s="4">
        <v>3654</v>
      </c>
      <c r="B5398" s="4">
        <v>26146</v>
      </c>
      <c r="C5398" s="5">
        <f t="shared" ref="C5398:C5399" si="2517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  <c r="V5398">
        <f t="shared" si="2511"/>
        <v>18</v>
      </c>
      <c r="W5398">
        <f t="shared" si="2509"/>
        <v>10</v>
      </c>
      <c r="X5398">
        <f t="shared" si="2510"/>
        <v>2009</v>
      </c>
    </row>
    <row r="5399" spans="1:24" ht="12" customHeight="1">
      <c r="A5399" s="4">
        <v>3655</v>
      </c>
      <c r="B5399" s="4">
        <v>26146</v>
      </c>
      <c r="C5399" s="5">
        <f t="shared" si="2517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  <c r="V5399">
        <f t="shared" si="2511"/>
        <v>20</v>
      </c>
      <c r="W5399">
        <f t="shared" si="2509"/>
        <v>10</v>
      </c>
      <c r="X5399">
        <f t="shared" si="2510"/>
        <v>2009</v>
      </c>
    </row>
    <row r="5400" spans="1:24" ht="12" customHeight="1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  <c r="V5400">
        <f t="shared" si="2511"/>
        <v>1</v>
      </c>
      <c r="W5400">
        <f t="shared" si="2509"/>
        <v>2</v>
      </c>
      <c r="X5400">
        <f t="shared" si="2510"/>
        <v>2011</v>
      </c>
    </row>
    <row r="5401" spans="1:24" ht="12" customHeight="1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  <c r="V5401">
        <f t="shared" si="2511"/>
        <v>23</v>
      </c>
      <c r="W5401">
        <f t="shared" si="2509"/>
        <v>8</v>
      </c>
      <c r="X5401">
        <f t="shared" si="2510"/>
        <v>2010</v>
      </c>
    </row>
    <row r="5402" spans="1:24" ht="12" customHeight="1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518">C5402+1</f>
        <v>40870</v>
      </c>
      <c r="V5402">
        <f t="shared" si="2511"/>
        <v>23</v>
      </c>
      <c r="W5402">
        <f t="shared" si="2509"/>
        <v>11</v>
      </c>
      <c r="X5402">
        <f t="shared" si="2510"/>
        <v>2011</v>
      </c>
    </row>
    <row r="5403" spans="1:24" ht="12" customHeight="1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518"/>
        <v>40277</v>
      </c>
      <c r="V5403">
        <f t="shared" si="2511"/>
        <v>9</v>
      </c>
      <c r="W5403">
        <f t="shared" si="2509"/>
        <v>4</v>
      </c>
      <c r="X5403">
        <f t="shared" si="2510"/>
        <v>2010</v>
      </c>
    </row>
    <row r="5404" spans="1:24" ht="12" customHeight="1">
      <c r="A5404" s="4">
        <v>3812</v>
      </c>
      <c r="B5404" s="4">
        <v>27141</v>
      </c>
      <c r="C5404" s="5">
        <f t="shared" ref="C5404:C5405" si="2519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518"/>
        <v>40214</v>
      </c>
      <c r="V5404">
        <f t="shared" si="2511"/>
        <v>5</v>
      </c>
      <c r="W5404">
        <f t="shared" si="2509"/>
        <v>2</v>
      </c>
      <c r="X5404">
        <f t="shared" si="2510"/>
        <v>2010</v>
      </c>
    </row>
    <row r="5405" spans="1:24" ht="12" customHeight="1">
      <c r="A5405" s="4">
        <v>3813</v>
      </c>
      <c r="B5405" s="4">
        <v>27141</v>
      </c>
      <c r="C5405" s="5">
        <f t="shared" si="2519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518"/>
        <v>40214</v>
      </c>
      <c r="V5405">
        <f t="shared" si="2511"/>
        <v>5</v>
      </c>
      <c r="W5405">
        <f t="shared" si="2509"/>
        <v>2</v>
      </c>
      <c r="X5405">
        <f t="shared" si="2510"/>
        <v>2010</v>
      </c>
    </row>
    <row r="5406" spans="1:24" ht="12" customHeight="1">
      <c r="A5406" s="4">
        <v>3832</v>
      </c>
      <c r="B5406" s="4">
        <v>27302</v>
      </c>
      <c r="C5406" s="5">
        <f t="shared" ref="C5406:C5407" si="2520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521">C5406+0</f>
        <v>41164</v>
      </c>
      <c r="V5406">
        <f t="shared" si="2511"/>
        <v>12</v>
      </c>
      <c r="W5406">
        <f t="shared" si="2509"/>
        <v>9</v>
      </c>
      <c r="X5406">
        <f t="shared" si="2510"/>
        <v>2012</v>
      </c>
    </row>
    <row r="5407" spans="1:24" ht="12" customHeight="1">
      <c r="A5407" s="4">
        <v>3833</v>
      </c>
      <c r="B5407" s="4">
        <v>27302</v>
      </c>
      <c r="C5407" s="5">
        <f t="shared" si="2520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521"/>
        <v>41164</v>
      </c>
      <c r="V5407">
        <f t="shared" si="2511"/>
        <v>12</v>
      </c>
      <c r="W5407">
        <f t="shared" si="2509"/>
        <v>9</v>
      </c>
      <c r="X5407">
        <f t="shared" si="2510"/>
        <v>2012</v>
      </c>
    </row>
    <row r="5408" spans="1:24" ht="12" customHeight="1">
      <c r="A5408" s="4">
        <v>3843</v>
      </c>
      <c r="B5408" s="4">
        <v>27426</v>
      </c>
      <c r="C5408" s="5">
        <f t="shared" ref="C5408:C5409" si="2522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  <c r="V5408">
        <f t="shared" si="2511"/>
        <v>25</v>
      </c>
      <c r="W5408">
        <f t="shared" si="2509"/>
        <v>2</v>
      </c>
      <c r="X5408">
        <f t="shared" si="2510"/>
        <v>2010</v>
      </c>
    </row>
    <row r="5409" spans="1:24" ht="12" customHeight="1">
      <c r="A5409" s="4">
        <v>3844</v>
      </c>
      <c r="B5409" s="4">
        <v>27426</v>
      </c>
      <c r="C5409" s="5">
        <f t="shared" si="2522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  <c r="V5409">
        <f t="shared" si="2511"/>
        <v>2</v>
      </c>
      <c r="W5409">
        <f t="shared" si="2509"/>
        <v>3</v>
      </c>
      <c r="X5409">
        <f t="shared" si="2510"/>
        <v>2010</v>
      </c>
    </row>
    <row r="5410" spans="1:24" ht="12" customHeight="1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  <c r="V5410">
        <f t="shared" si="2511"/>
        <v>30</v>
      </c>
      <c r="W5410">
        <f t="shared" si="2509"/>
        <v>1</v>
      </c>
      <c r="X5410">
        <f t="shared" si="2510"/>
        <v>2010</v>
      </c>
    </row>
    <row r="5411" spans="1:24" ht="12" customHeight="1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  <c r="V5411">
        <f t="shared" si="2511"/>
        <v>16</v>
      </c>
      <c r="W5411">
        <f t="shared" si="2509"/>
        <v>8</v>
      </c>
      <c r="X5411">
        <f t="shared" si="2510"/>
        <v>2011</v>
      </c>
    </row>
    <row r="5412" spans="1:24" ht="12" customHeight="1">
      <c r="A5412" s="4">
        <v>4025</v>
      </c>
      <c r="B5412" s="4">
        <v>28742</v>
      </c>
      <c r="C5412" s="5">
        <f t="shared" ref="C5412:C5413" si="2523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  <c r="V5412">
        <f t="shared" si="2511"/>
        <v>29</v>
      </c>
      <c r="W5412">
        <f t="shared" si="2509"/>
        <v>4</v>
      </c>
      <c r="X5412">
        <f t="shared" si="2510"/>
        <v>2012</v>
      </c>
    </row>
    <row r="5413" spans="1:24" ht="12" customHeight="1">
      <c r="A5413" s="4">
        <v>4026</v>
      </c>
      <c r="B5413" s="4">
        <v>28742</v>
      </c>
      <c r="C5413" s="5">
        <f t="shared" si="2523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  <c r="V5413">
        <f t="shared" si="2511"/>
        <v>6</v>
      </c>
      <c r="W5413">
        <f t="shared" si="2509"/>
        <v>5</v>
      </c>
      <c r="X5413">
        <f t="shared" si="2510"/>
        <v>2012</v>
      </c>
    </row>
    <row r="5414" spans="1:24" ht="12" customHeight="1">
      <c r="A5414" s="4">
        <v>4028</v>
      </c>
      <c r="B5414" s="4">
        <v>28772</v>
      </c>
      <c r="C5414" s="5">
        <f t="shared" ref="C5414:C5415" si="2524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  <c r="V5414">
        <f t="shared" si="2511"/>
        <v>7</v>
      </c>
      <c r="W5414">
        <f t="shared" si="2509"/>
        <v>2</v>
      </c>
      <c r="X5414">
        <f t="shared" si="2510"/>
        <v>2009</v>
      </c>
    </row>
    <row r="5415" spans="1:24" ht="12" customHeight="1">
      <c r="A5415" s="4">
        <v>4029</v>
      </c>
      <c r="B5415" s="4">
        <v>28772</v>
      </c>
      <c r="C5415" s="5">
        <f t="shared" si="2524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  <c r="V5415">
        <f t="shared" si="2511"/>
        <v>8</v>
      </c>
      <c r="W5415">
        <f t="shared" si="2509"/>
        <v>2</v>
      </c>
      <c r="X5415">
        <f t="shared" si="2510"/>
        <v>2009</v>
      </c>
    </row>
    <row r="5416" spans="1:24" ht="12" customHeight="1">
      <c r="A5416" s="4">
        <v>4087</v>
      </c>
      <c r="B5416" s="4">
        <v>29152</v>
      </c>
      <c r="C5416" s="5">
        <f t="shared" ref="C5416:C5417" si="2525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  <c r="V5416">
        <f t="shared" si="2511"/>
        <v>27</v>
      </c>
      <c r="W5416">
        <f t="shared" si="2509"/>
        <v>7</v>
      </c>
      <c r="X5416">
        <f t="shared" si="2510"/>
        <v>2011</v>
      </c>
    </row>
    <row r="5417" spans="1:24" ht="12" customHeight="1">
      <c r="A5417" s="4">
        <v>4088</v>
      </c>
      <c r="B5417" s="4">
        <v>29152</v>
      </c>
      <c r="C5417" s="5">
        <f t="shared" si="2525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  <c r="V5417">
        <f t="shared" si="2511"/>
        <v>23</v>
      </c>
      <c r="W5417">
        <f t="shared" si="2509"/>
        <v>7</v>
      </c>
      <c r="X5417">
        <f t="shared" si="2510"/>
        <v>2011</v>
      </c>
    </row>
    <row r="5418" spans="1:24" ht="12" customHeight="1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  <c r="V5418">
        <f t="shared" si="2511"/>
        <v>19</v>
      </c>
      <c r="W5418">
        <f t="shared" si="2509"/>
        <v>4</v>
      </c>
      <c r="X5418">
        <f t="shared" si="2510"/>
        <v>2011</v>
      </c>
    </row>
    <row r="5419" spans="1:24" ht="12" customHeight="1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  <c r="V5419">
        <f t="shared" si="2511"/>
        <v>17</v>
      </c>
      <c r="W5419">
        <f t="shared" si="2509"/>
        <v>4</v>
      </c>
      <c r="X5419">
        <f t="shared" si="2510"/>
        <v>2009</v>
      </c>
    </row>
    <row r="5420" spans="1:24" ht="12" customHeight="1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  <c r="V5420">
        <f t="shared" si="2511"/>
        <v>29</v>
      </c>
      <c r="W5420">
        <f t="shared" si="2509"/>
        <v>9</v>
      </c>
      <c r="X5420">
        <f t="shared" si="2510"/>
        <v>2009</v>
      </c>
    </row>
    <row r="5421" spans="1:24" ht="12" customHeight="1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526">C5421+1</f>
        <v>40445</v>
      </c>
      <c r="V5421">
        <f t="shared" si="2511"/>
        <v>24</v>
      </c>
      <c r="W5421">
        <f t="shared" si="2509"/>
        <v>9</v>
      </c>
      <c r="X5421">
        <f t="shared" si="2510"/>
        <v>2010</v>
      </c>
    </row>
    <row r="5422" spans="1:24" ht="12" customHeight="1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526"/>
        <v>40579</v>
      </c>
      <c r="V5422">
        <f t="shared" si="2511"/>
        <v>5</v>
      </c>
      <c r="W5422">
        <f t="shared" si="2509"/>
        <v>2</v>
      </c>
      <c r="X5422">
        <f t="shared" si="2510"/>
        <v>2011</v>
      </c>
    </row>
    <row r="5423" spans="1:24" ht="12" customHeight="1">
      <c r="A5423" s="4">
        <v>4835</v>
      </c>
      <c r="B5423" s="4">
        <v>34402</v>
      </c>
      <c r="C5423" s="5">
        <f t="shared" ref="C5423:C5424" si="2527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  <c r="V5423">
        <f t="shared" si="2511"/>
        <v>4</v>
      </c>
      <c r="W5423">
        <f t="shared" si="2509"/>
        <v>5</v>
      </c>
      <c r="X5423">
        <f t="shared" si="2510"/>
        <v>2010</v>
      </c>
    </row>
    <row r="5424" spans="1:24" ht="12" customHeight="1">
      <c r="A5424" s="4">
        <v>4836</v>
      </c>
      <c r="B5424" s="4">
        <v>34402</v>
      </c>
      <c r="C5424" s="5">
        <f t="shared" si="2527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  <c r="V5424">
        <f t="shared" si="2511"/>
        <v>5</v>
      </c>
      <c r="W5424">
        <f t="shared" si="2509"/>
        <v>5</v>
      </c>
      <c r="X5424">
        <f t="shared" si="2510"/>
        <v>2010</v>
      </c>
    </row>
    <row r="5425" spans="1:24" ht="12" customHeight="1">
      <c r="A5425" s="4">
        <v>4880</v>
      </c>
      <c r="B5425" s="4">
        <v>34723</v>
      </c>
      <c r="C5425" s="5">
        <f t="shared" ref="C5425:C5427" si="2528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  <c r="V5425">
        <f t="shared" si="2511"/>
        <v>11</v>
      </c>
      <c r="W5425">
        <f t="shared" si="2509"/>
        <v>12</v>
      </c>
      <c r="X5425">
        <f t="shared" si="2510"/>
        <v>2012</v>
      </c>
    </row>
    <row r="5426" spans="1:24" ht="12" customHeight="1">
      <c r="A5426" s="4">
        <v>4881</v>
      </c>
      <c r="B5426" s="4">
        <v>34723</v>
      </c>
      <c r="C5426" s="5">
        <f t="shared" si="2528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  <c r="V5426">
        <f t="shared" si="2511"/>
        <v>12</v>
      </c>
      <c r="W5426">
        <f t="shared" si="2509"/>
        <v>12</v>
      </c>
      <c r="X5426">
        <f t="shared" si="2510"/>
        <v>2012</v>
      </c>
    </row>
    <row r="5427" spans="1:24" ht="12" customHeight="1">
      <c r="A5427" s="4">
        <v>4882</v>
      </c>
      <c r="B5427" s="4">
        <v>34723</v>
      </c>
      <c r="C5427" s="5">
        <f t="shared" si="2528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529">C5427+2</f>
        <v>41254</v>
      </c>
      <c r="V5427">
        <f t="shared" si="2511"/>
        <v>11</v>
      </c>
      <c r="W5427">
        <f t="shared" si="2509"/>
        <v>12</v>
      </c>
      <c r="X5427">
        <f t="shared" si="2510"/>
        <v>2012</v>
      </c>
    </row>
    <row r="5428" spans="1:24" ht="12" customHeight="1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529"/>
        <v>41059</v>
      </c>
      <c r="V5428">
        <f t="shared" si="2511"/>
        <v>30</v>
      </c>
      <c r="W5428">
        <f t="shared" si="2509"/>
        <v>5</v>
      </c>
      <c r="X5428">
        <f t="shared" si="2510"/>
        <v>2012</v>
      </c>
    </row>
    <row r="5429" spans="1:24" ht="12" customHeight="1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529"/>
        <v>40871</v>
      </c>
      <c r="V5429">
        <f t="shared" si="2511"/>
        <v>24</v>
      </c>
      <c r="W5429">
        <f t="shared" si="2509"/>
        <v>11</v>
      </c>
      <c r="X5429">
        <f t="shared" si="2510"/>
        <v>2011</v>
      </c>
    </row>
    <row r="5430" spans="1:24" ht="12" customHeight="1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  <c r="V5430">
        <f t="shared" si="2511"/>
        <v>9</v>
      </c>
      <c r="W5430">
        <f t="shared" si="2509"/>
        <v>10</v>
      </c>
      <c r="X5430">
        <f t="shared" si="2510"/>
        <v>2009</v>
      </c>
    </row>
    <row r="5431" spans="1:24" ht="12" customHeight="1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530">C5431+2</f>
        <v>41133</v>
      </c>
      <c r="V5431">
        <f t="shared" si="2511"/>
        <v>12</v>
      </c>
      <c r="W5431">
        <f t="shared" si="2509"/>
        <v>8</v>
      </c>
      <c r="X5431">
        <f t="shared" si="2510"/>
        <v>2012</v>
      </c>
    </row>
    <row r="5432" spans="1:24" ht="12" customHeight="1">
      <c r="A5432" s="4">
        <v>5145</v>
      </c>
      <c r="B5432" s="4">
        <v>36676</v>
      </c>
      <c r="C5432" s="5">
        <f t="shared" ref="C5432:C5433" si="2531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530"/>
        <v>40782</v>
      </c>
      <c r="V5432">
        <f t="shared" si="2511"/>
        <v>27</v>
      </c>
      <c r="W5432">
        <f t="shared" si="2509"/>
        <v>8</v>
      </c>
      <c r="X5432">
        <f t="shared" si="2510"/>
        <v>2011</v>
      </c>
    </row>
    <row r="5433" spans="1:24" ht="12" customHeight="1">
      <c r="A5433" s="4">
        <v>5146</v>
      </c>
      <c r="B5433" s="4">
        <v>36676</v>
      </c>
      <c r="C5433" s="5">
        <f t="shared" si="2531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  <c r="V5433">
        <f t="shared" si="2511"/>
        <v>26</v>
      </c>
      <c r="W5433">
        <f t="shared" si="2509"/>
        <v>8</v>
      </c>
      <c r="X5433">
        <f t="shared" si="2510"/>
        <v>2011</v>
      </c>
    </row>
    <row r="5434" spans="1:24" ht="12" customHeight="1">
      <c r="A5434" s="4">
        <v>5155</v>
      </c>
      <c r="B5434" s="4">
        <v>36708</v>
      </c>
      <c r="C5434" s="5">
        <f t="shared" ref="C5434:C5435" si="2532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533">C5434+2</f>
        <v>40807</v>
      </c>
      <c r="V5434">
        <f t="shared" si="2511"/>
        <v>21</v>
      </c>
      <c r="W5434">
        <f t="shared" si="2509"/>
        <v>9</v>
      </c>
      <c r="X5434">
        <f t="shared" si="2510"/>
        <v>2011</v>
      </c>
    </row>
    <row r="5435" spans="1:24" ht="12" customHeight="1">
      <c r="A5435" s="4">
        <v>5156</v>
      </c>
      <c r="B5435" s="4">
        <v>36708</v>
      </c>
      <c r="C5435" s="5">
        <f t="shared" si="2532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533"/>
        <v>40807</v>
      </c>
      <c r="V5435">
        <f t="shared" si="2511"/>
        <v>21</v>
      </c>
      <c r="W5435">
        <f t="shared" si="2509"/>
        <v>9</v>
      </c>
      <c r="X5435">
        <f t="shared" si="2510"/>
        <v>2011</v>
      </c>
    </row>
    <row r="5436" spans="1:24" ht="12" customHeight="1">
      <c r="A5436" s="4">
        <v>5181</v>
      </c>
      <c r="B5436" s="4">
        <v>36835</v>
      </c>
      <c r="C5436" s="5">
        <f t="shared" ref="C5436:C5438" si="2534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533"/>
        <v>40108</v>
      </c>
      <c r="V5436">
        <f t="shared" si="2511"/>
        <v>22</v>
      </c>
      <c r="W5436">
        <f t="shared" si="2509"/>
        <v>10</v>
      </c>
      <c r="X5436">
        <f t="shared" si="2510"/>
        <v>2009</v>
      </c>
    </row>
    <row r="5437" spans="1:24" ht="12" customHeight="1">
      <c r="A5437" s="4">
        <v>5182</v>
      </c>
      <c r="B5437" s="4">
        <v>36835</v>
      </c>
      <c r="C5437" s="5">
        <f t="shared" si="2534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535">C5437+1</f>
        <v>40107</v>
      </c>
      <c r="V5437">
        <f t="shared" si="2511"/>
        <v>21</v>
      </c>
      <c r="W5437">
        <f t="shared" si="2509"/>
        <v>10</v>
      </c>
      <c r="X5437">
        <f t="shared" si="2510"/>
        <v>2009</v>
      </c>
    </row>
    <row r="5438" spans="1:24" ht="12" customHeight="1">
      <c r="A5438" s="4">
        <v>5183</v>
      </c>
      <c r="B5438" s="4">
        <v>36835</v>
      </c>
      <c r="C5438" s="5">
        <f t="shared" si="2534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535"/>
        <v>40107</v>
      </c>
      <c r="V5438">
        <f t="shared" si="2511"/>
        <v>21</v>
      </c>
      <c r="W5438">
        <f t="shared" si="2509"/>
        <v>10</v>
      </c>
      <c r="X5438">
        <f t="shared" si="2510"/>
        <v>2009</v>
      </c>
    </row>
    <row r="5439" spans="1:24" ht="12" customHeight="1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535"/>
        <v>40454</v>
      </c>
      <c r="V5439">
        <f t="shared" si="2511"/>
        <v>3</v>
      </c>
      <c r="W5439">
        <f t="shared" si="2509"/>
        <v>10</v>
      </c>
      <c r="X5439">
        <f t="shared" si="2510"/>
        <v>2010</v>
      </c>
    </row>
    <row r="5440" spans="1:24" ht="12" customHeight="1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535"/>
        <v>40880</v>
      </c>
      <c r="V5440">
        <f t="shared" si="2511"/>
        <v>3</v>
      </c>
      <c r="W5440">
        <f t="shared" si="2509"/>
        <v>12</v>
      </c>
      <c r="X5440">
        <f t="shared" si="2510"/>
        <v>2011</v>
      </c>
    </row>
    <row r="5441" spans="1:24" ht="12" customHeight="1">
      <c r="A5441" s="4">
        <v>5316</v>
      </c>
      <c r="B5441" s="4">
        <v>37825</v>
      </c>
      <c r="C5441" s="5">
        <f t="shared" ref="C5441:C5442" si="2536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  <c r="V5441">
        <f t="shared" si="2511"/>
        <v>24</v>
      </c>
      <c r="W5441">
        <f t="shared" si="2509"/>
        <v>7</v>
      </c>
      <c r="X5441">
        <f t="shared" si="2510"/>
        <v>2009</v>
      </c>
    </row>
    <row r="5442" spans="1:24" ht="12" customHeight="1">
      <c r="A5442" s="4">
        <v>5317</v>
      </c>
      <c r="B5442" s="4">
        <v>37825</v>
      </c>
      <c r="C5442" s="5">
        <f t="shared" si="2536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  <c r="V5442">
        <f t="shared" si="2511"/>
        <v>29</v>
      </c>
      <c r="W5442">
        <f t="shared" si="2509"/>
        <v>7</v>
      </c>
      <c r="X5442">
        <f t="shared" si="2510"/>
        <v>2009</v>
      </c>
    </row>
    <row r="5443" spans="1:24" ht="12" customHeight="1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537">C5443+2</f>
        <v>40907</v>
      </c>
      <c r="V5443">
        <f t="shared" si="2511"/>
        <v>30</v>
      </c>
      <c r="W5443">
        <f t="shared" ref="W5443:W5506" si="2538">MONTH(U5443)</f>
        <v>12</v>
      </c>
      <c r="X5443">
        <f t="shared" ref="X5443:X5506" si="2539">YEAR(U5443)</f>
        <v>2011</v>
      </c>
    </row>
    <row r="5444" spans="1:24" ht="12" customHeight="1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537"/>
        <v>40066</v>
      </c>
      <c r="V5444">
        <f t="shared" ref="V5444:V5507" si="2540">DAY(U5444)</f>
        <v>10</v>
      </c>
      <c r="W5444">
        <f t="shared" si="2538"/>
        <v>9</v>
      </c>
      <c r="X5444">
        <f t="shared" si="2539"/>
        <v>2009</v>
      </c>
    </row>
    <row r="5445" spans="1:24" ht="12" customHeight="1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537"/>
        <v>40626</v>
      </c>
      <c r="V5445">
        <f t="shared" si="2540"/>
        <v>24</v>
      </c>
      <c r="W5445">
        <f t="shared" si="2538"/>
        <v>3</v>
      </c>
      <c r="X5445">
        <f t="shared" si="2539"/>
        <v>2011</v>
      </c>
    </row>
    <row r="5446" spans="1:24" ht="12" customHeight="1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537"/>
        <v>40030</v>
      </c>
      <c r="V5446">
        <f t="shared" si="2540"/>
        <v>5</v>
      </c>
      <c r="W5446">
        <f t="shared" si="2538"/>
        <v>8</v>
      </c>
      <c r="X5446">
        <f t="shared" si="2539"/>
        <v>2009</v>
      </c>
    </row>
    <row r="5447" spans="1:24" ht="12" customHeight="1">
      <c r="A5447" s="4">
        <v>5543</v>
      </c>
      <c r="B5447" s="4">
        <v>39267</v>
      </c>
      <c r="C5447" s="5">
        <f t="shared" ref="C5447:C5448" si="2541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537"/>
        <v>40198</v>
      </c>
      <c r="V5447">
        <f t="shared" si="2540"/>
        <v>20</v>
      </c>
      <c r="W5447">
        <f t="shared" si="2538"/>
        <v>1</v>
      </c>
      <c r="X5447">
        <f t="shared" si="2539"/>
        <v>2010</v>
      </c>
    </row>
    <row r="5448" spans="1:24" ht="12" customHeight="1">
      <c r="A5448" s="4">
        <v>5544</v>
      </c>
      <c r="B5448" s="4">
        <v>39267</v>
      </c>
      <c r="C5448" s="5">
        <f t="shared" si="2541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542">C5448+1</f>
        <v>40197</v>
      </c>
      <c r="V5448">
        <f t="shared" si="2540"/>
        <v>19</v>
      </c>
      <c r="W5448">
        <f t="shared" si="2538"/>
        <v>1</v>
      </c>
      <c r="X5448">
        <f t="shared" si="2539"/>
        <v>2010</v>
      </c>
    </row>
    <row r="5449" spans="1:24" ht="12" customHeight="1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542"/>
        <v>40953</v>
      </c>
      <c r="V5449">
        <f t="shared" si="2540"/>
        <v>14</v>
      </c>
      <c r="W5449">
        <f t="shared" si="2538"/>
        <v>2</v>
      </c>
      <c r="X5449">
        <f t="shared" si="2539"/>
        <v>2012</v>
      </c>
    </row>
    <row r="5450" spans="1:24" ht="12" customHeight="1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  <c r="V5450">
        <f t="shared" si="2540"/>
        <v>17</v>
      </c>
      <c r="W5450">
        <f t="shared" si="2538"/>
        <v>9</v>
      </c>
      <c r="X5450">
        <f t="shared" si="2539"/>
        <v>2009</v>
      </c>
    </row>
    <row r="5451" spans="1:24" ht="12" customHeight="1">
      <c r="A5451" s="4">
        <v>5812</v>
      </c>
      <c r="B5451" s="4">
        <v>41216</v>
      </c>
      <c r="C5451" s="5">
        <f t="shared" ref="C5451:C5452" si="2543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  <c r="V5451">
        <f t="shared" si="2540"/>
        <v>2</v>
      </c>
      <c r="W5451">
        <f t="shared" si="2538"/>
        <v>7</v>
      </c>
      <c r="X5451">
        <f t="shared" si="2539"/>
        <v>2009</v>
      </c>
    </row>
    <row r="5452" spans="1:24" ht="12" customHeight="1">
      <c r="A5452" s="4">
        <v>5813</v>
      </c>
      <c r="B5452" s="4">
        <v>41216</v>
      </c>
      <c r="C5452" s="5">
        <f t="shared" si="2543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  <c r="V5452">
        <f t="shared" si="2540"/>
        <v>3</v>
      </c>
      <c r="W5452">
        <f t="shared" si="2538"/>
        <v>7</v>
      </c>
      <c r="X5452">
        <f t="shared" si="2539"/>
        <v>2009</v>
      </c>
    </row>
    <row r="5453" spans="1:24" ht="12" customHeight="1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544">C5453+1</f>
        <v>40016</v>
      </c>
      <c r="V5453">
        <f t="shared" si="2540"/>
        <v>22</v>
      </c>
      <c r="W5453">
        <f t="shared" si="2538"/>
        <v>7</v>
      </c>
      <c r="X5453">
        <f t="shared" si="2539"/>
        <v>2009</v>
      </c>
    </row>
    <row r="5454" spans="1:24" ht="12" customHeight="1">
      <c r="A5454" s="4">
        <v>5983</v>
      </c>
      <c r="B5454" s="4">
        <v>42403</v>
      </c>
      <c r="C5454" s="5">
        <f t="shared" ref="C5454:C5455" si="2545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544"/>
        <v>39985</v>
      </c>
      <c r="V5454">
        <f t="shared" si="2540"/>
        <v>21</v>
      </c>
      <c r="W5454">
        <f t="shared" si="2538"/>
        <v>6</v>
      </c>
      <c r="X5454">
        <f t="shared" si="2539"/>
        <v>2009</v>
      </c>
    </row>
    <row r="5455" spans="1:24" ht="12" customHeight="1">
      <c r="A5455" s="4">
        <v>5984</v>
      </c>
      <c r="B5455" s="4">
        <v>42403</v>
      </c>
      <c r="C5455" s="5">
        <f t="shared" si="2545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544"/>
        <v>39985</v>
      </c>
      <c r="V5455">
        <f t="shared" si="2540"/>
        <v>21</v>
      </c>
      <c r="W5455">
        <f t="shared" si="2538"/>
        <v>6</v>
      </c>
      <c r="X5455">
        <f t="shared" si="2539"/>
        <v>2009</v>
      </c>
    </row>
    <row r="5456" spans="1:24" ht="12" customHeight="1">
      <c r="A5456" s="4">
        <v>6089</v>
      </c>
      <c r="B5456" s="4">
        <v>43138</v>
      </c>
      <c r="C5456" s="5">
        <f t="shared" ref="C5456:C5457" si="2546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  <c r="V5456">
        <f t="shared" si="2540"/>
        <v>18</v>
      </c>
      <c r="W5456">
        <f t="shared" si="2538"/>
        <v>3</v>
      </c>
      <c r="X5456">
        <f t="shared" si="2539"/>
        <v>2012</v>
      </c>
    </row>
    <row r="5457" spans="1:24" ht="12" customHeight="1">
      <c r="A5457" s="4">
        <v>6090</v>
      </c>
      <c r="B5457" s="4">
        <v>43138</v>
      </c>
      <c r="C5457" s="5">
        <f t="shared" si="2546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  <c r="V5457">
        <f t="shared" si="2540"/>
        <v>16</v>
      </c>
      <c r="W5457">
        <f t="shared" si="2538"/>
        <v>3</v>
      </c>
      <c r="X5457">
        <f t="shared" si="2539"/>
        <v>2012</v>
      </c>
    </row>
    <row r="5458" spans="1:24" ht="12" customHeight="1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  <c r="V5458">
        <f t="shared" si="2540"/>
        <v>24</v>
      </c>
      <c r="W5458">
        <f t="shared" si="2538"/>
        <v>8</v>
      </c>
      <c r="X5458">
        <f t="shared" si="2539"/>
        <v>2009</v>
      </c>
    </row>
    <row r="5459" spans="1:24" ht="12" customHeight="1">
      <c r="A5459" s="4">
        <v>6099</v>
      </c>
      <c r="B5459" s="4">
        <v>43207</v>
      </c>
      <c r="C5459" s="5">
        <f t="shared" ref="C5459:C5461" si="2547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  <c r="V5459">
        <f t="shared" si="2540"/>
        <v>13</v>
      </c>
      <c r="W5459">
        <f t="shared" si="2538"/>
        <v>6</v>
      </c>
      <c r="X5459">
        <f t="shared" si="2539"/>
        <v>2010</v>
      </c>
    </row>
    <row r="5460" spans="1:24" ht="12" customHeight="1">
      <c r="A5460" s="4">
        <v>6100</v>
      </c>
      <c r="B5460" s="4">
        <v>43207</v>
      </c>
      <c r="C5460" s="5">
        <f t="shared" si="2547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  <c r="V5460">
        <f t="shared" si="2540"/>
        <v>16</v>
      </c>
      <c r="W5460">
        <f t="shared" si="2538"/>
        <v>6</v>
      </c>
      <c r="X5460">
        <f t="shared" si="2539"/>
        <v>2010</v>
      </c>
    </row>
    <row r="5461" spans="1:24" ht="12" customHeight="1">
      <c r="A5461" s="4">
        <v>6101</v>
      </c>
      <c r="B5461" s="4">
        <v>43207</v>
      </c>
      <c r="C5461" s="5">
        <f t="shared" si="2547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  <c r="V5461">
        <f t="shared" si="2540"/>
        <v>11</v>
      </c>
      <c r="W5461">
        <f t="shared" si="2538"/>
        <v>6</v>
      </c>
      <c r="X5461">
        <f t="shared" si="2539"/>
        <v>2010</v>
      </c>
    </row>
    <row r="5462" spans="1:24" ht="12" customHeight="1">
      <c r="A5462" s="4">
        <v>6160</v>
      </c>
      <c r="B5462" s="4">
        <v>43650</v>
      </c>
      <c r="C5462" s="5">
        <f t="shared" ref="C5462:C5463" si="2548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  <c r="V5462">
        <f t="shared" si="2540"/>
        <v>24</v>
      </c>
      <c r="W5462">
        <f t="shared" si="2538"/>
        <v>3</v>
      </c>
      <c r="X5462">
        <f t="shared" si="2539"/>
        <v>2009</v>
      </c>
    </row>
    <row r="5463" spans="1:24" ht="12" customHeight="1">
      <c r="A5463" s="4">
        <v>6161</v>
      </c>
      <c r="B5463" s="4">
        <v>43650</v>
      </c>
      <c r="C5463" s="5">
        <f t="shared" si="2548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549">C5463+2</f>
        <v>39897</v>
      </c>
      <c r="V5463">
        <f t="shared" si="2540"/>
        <v>25</v>
      </c>
      <c r="W5463">
        <f t="shared" si="2538"/>
        <v>3</v>
      </c>
      <c r="X5463">
        <f t="shared" si="2539"/>
        <v>2009</v>
      </c>
    </row>
    <row r="5464" spans="1:24" ht="12" customHeight="1">
      <c r="A5464" s="4">
        <v>6253</v>
      </c>
      <c r="B5464" s="4">
        <v>44290</v>
      </c>
      <c r="C5464" s="5">
        <f t="shared" ref="C5464:C5466" si="2550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549"/>
        <v>40260</v>
      </c>
      <c r="V5464">
        <f t="shared" si="2540"/>
        <v>23</v>
      </c>
      <c r="W5464">
        <f t="shared" si="2538"/>
        <v>3</v>
      </c>
      <c r="X5464">
        <f t="shared" si="2539"/>
        <v>2010</v>
      </c>
    </row>
    <row r="5465" spans="1:24" ht="12" customHeight="1">
      <c r="A5465" s="4">
        <v>6254</v>
      </c>
      <c r="B5465" s="4">
        <v>44290</v>
      </c>
      <c r="C5465" s="5">
        <f t="shared" si="2550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549"/>
        <v>40260</v>
      </c>
      <c r="V5465">
        <f t="shared" si="2540"/>
        <v>23</v>
      </c>
      <c r="W5465">
        <f t="shared" si="2538"/>
        <v>3</v>
      </c>
      <c r="X5465">
        <f t="shared" si="2539"/>
        <v>2010</v>
      </c>
    </row>
    <row r="5466" spans="1:24" ht="12" customHeight="1">
      <c r="A5466" s="4">
        <v>6255</v>
      </c>
      <c r="B5466" s="4">
        <v>44290</v>
      </c>
      <c r="C5466" s="5">
        <f t="shared" si="2550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549"/>
        <v>40260</v>
      </c>
      <c r="V5466">
        <f t="shared" si="2540"/>
        <v>23</v>
      </c>
      <c r="W5466">
        <f t="shared" si="2538"/>
        <v>3</v>
      </c>
      <c r="X5466">
        <f t="shared" si="2539"/>
        <v>2010</v>
      </c>
    </row>
    <row r="5467" spans="1:24" ht="12" customHeight="1">
      <c r="A5467" s="4">
        <v>6304</v>
      </c>
      <c r="B5467" s="4">
        <v>44613</v>
      </c>
      <c r="C5467" s="5">
        <f t="shared" ref="C5467:C5469" si="2551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552">C5467+1</f>
        <v>40421</v>
      </c>
      <c r="V5467">
        <f t="shared" si="2540"/>
        <v>31</v>
      </c>
      <c r="W5467">
        <f t="shared" si="2538"/>
        <v>8</v>
      </c>
      <c r="X5467">
        <f t="shared" si="2539"/>
        <v>2010</v>
      </c>
    </row>
    <row r="5468" spans="1:24" ht="12" customHeight="1">
      <c r="A5468" s="4">
        <v>6305</v>
      </c>
      <c r="B5468" s="4">
        <v>44613</v>
      </c>
      <c r="C5468" s="5">
        <f t="shared" si="2551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552"/>
        <v>40421</v>
      </c>
      <c r="V5468">
        <f t="shared" si="2540"/>
        <v>31</v>
      </c>
      <c r="W5468">
        <f t="shared" si="2538"/>
        <v>8</v>
      </c>
      <c r="X5468">
        <f t="shared" si="2539"/>
        <v>2010</v>
      </c>
    </row>
    <row r="5469" spans="1:24" ht="12" customHeight="1">
      <c r="A5469" s="4">
        <v>6306</v>
      </c>
      <c r="B5469" s="4">
        <v>44613</v>
      </c>
      <c r="C5469" s="5">
        <f t="shared" si="2551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552"/>
        <v>40421</v>
      </c>
      <c r="V5469">
        <f t="shared" si="2540"/>
        <v>31</v>
      </c>
      <c r="W5469">
        <f t="shared" si="2538"/>
        <v>8</v>
      </c>
      <c r="X5469">
        <f t="shared" si="2539"/>
        <v>2010</v>
      </c>
    </row>
    <row r="5470" spans="1:24" ht="12" customHeight="1">
      <c r="A5470" s="4">
        <v>6344</v>
      </c>
      <c r="B5470" s="4">
        <v>44965</v>
      </c>
      <c r="C5470" s="5">
        <f t="shared" ref="C5470:C5471" si="2553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554">C5470+4</f>
        <v>40822</v>
      </c>
      <c r="V5470">
        <f t="shared" si="2540"/>
        <v>6</v>
      </c>
      <c r="W5470">
        <f t="shared" si="2538"/>
        <v>10</v>
      </c>
      <c r="X5470">
        <f t="shared" si="2539"/>
        <v>2011</v>
      </c>
    </row>
    <row r="5471" spans="1:24" ht="12" customHeight="1">
      <c r="A5471" s="4">
        <v>6345</v>
      </c>
      <c r="B5471" s="4">
        <v>44965</v>
      </c>
      <c r="C5471" s="5">
        <f t="shared" si="2553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554"/>
        <v>40822</v>
      </c>
      <c r="V5471">
        <f t="shared" si="2540"/>
        <v>6</v>
      </c>
      <c r="W5471">
        <f t="shared" si="2538"/>
        <v>10</v>
      </c>
      <c r="X5471">
        <f t="shared" si="2539"/>
        <v>2011</v>
      </c>
    </row>
    <row r="5472" spans="1:24" ht="12" customHeight="1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555">C5472+1</f>
        <v>40519</v>
      </c>
      <c r="V5472">
        <f t="shared" si="2540"/>
        <v>7</v>
      </c>
      <c r="W5472">
        <f t="shared" si="2538"/>
        <v>12</v>
      </c>
      <c r="X5472">
        <f t="shared" si="2539"/>
        <v>2010</v>
      </c>
    </row>
    <row r="5473" spans="1:24" ht="12" customHeight="1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555"/>
        <v>40690</v>
      </c>
      <c r="V5473">
        <f t="shared" si="2540"/>
        <v>27</v>
      </c>
      <c r="W5473">
        <f t="shared" si="2538"/>
        <v>5</v>
      </c>
      <c r="X5473">
        <f t="shared" si="2539"/>
        <v>2011</v>
      </c>
    </row>
    <row r="5474" spans="1:24" ht="12" customHeight="1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555"/>
        <v>40150</v>
      </c>
      <c r="V5474">
        <f t="shared" si="2540"/>
        <v>3</v>
      </c>
      <c r="W5474">
        <f t="shared" si="2538"/>
        <v>12</v>
      </c>
      <c r="X5474">
        <f t="shared" si="2539"/>
        <v>2009</v>
      </c>
    </row>
    <row r="5475" spans="1:24" ht="12" customHeight="1">
      <c r="A5475" s="4">
        <v>6507</v>
      </c>
      <c r="B5475" s="4">
        <v>46311</v>
      </c>
      <c r="C5475" s="5">
        <f t="shared" ref="C5475:C5477" si="2556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  <c r="V5475">
        <f t="shared" si="2540"/>
        <v>25</v>
      </c>
      <c r="W5475">
        <f t="shared" si="2538"/>
        <v>7</v>
      </c>
      <c r="X5475">
        <f t="shared" si="2539"/>
        <v>2011</v>
      </c>
    </row>
    <row r="5476" spans="1:24" ht="12" customHeight="1">
      <c r="A5476" s="4">
        <v>6508</v>
      </c>
      <c r="B5476" s="4">
        <v>46311</v>
      </c>
      <c r="C5476" s="5">
        <f t="shared" si="2556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  <c r="V5476">
        <f t="shared" si="2540"/>
        <v>26</v>
      </c>
      <c r="W5476">
        <f t="shared" si="2538"/>
        <v>7</v>
      </c>
      <c r="X5476">
        <f t="shared" si="2539"/>
        <v>2011</v>
      </c>
    </row>
    <row r="5477" spans="1:24" ht="12" customHeight="1">
      <c r="A5477" s="4">
        <v>6509</v>
      </c>
      <c r="B5477" s="4">
        <v>46311</v>
      </c>
      <c r="C5477" s="5">
        <f t="shared" si="2556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557">C5477+2</f>
        <v>40751</v>
      </c>
      <c r="V5477">
        <f t="shared" si="2540"/>
        <v>27</v>
      </c>
      <c r="W5477">
        <f t="shared" si="2538"/>
        <v>7</v>
      </c>
      <c r="X5477">
        <f t="shared" si="2539"/>
        <v>2011</v>
      </c>
    </row>
    <row r="5478" spans="1:24" ht="12" customHeight="1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557"/>
        <v>40713</v>
      </c>
      <c r="V5478">
        <f t="shared" si="2540"/>
        <v>19</v>
      </c>
      <c r="W5478">
        <f t="shared" si="2538"/>
        <v>6</v>
      </c>
      <c r="X5478">
        <f t="shared" si="2539"/>
        <v>2011</v>
      </c>
    </row>
    <row r="5479" spans="1:24" ht="12" customHeight="1">
      <c r="A5479" s="4">
        <v>6685</v>
      </c>
      <c r="B5479" s="4">
        <v>47554</v>
      </c>
      <c r="C5479" s="5">
        <f t="shared" ref="C5479:C5480" si="2558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  <c r="V5479">
        <f t="shared" si="2540"/>
        <v>13</v>
      </c>
      <c r="W5479">
        <f t="shared" si="2538"/>
        <v>3</v>
      </c>
      <c r="X5479">
        <f t="shared" si="2539"/>
        <v>2010</v>
      </c>
    </row>
    <row r="5480" spans="1:24" ht="12" customHeight="1">
      <c r="A5480" s="4">
        <v>6686</v>
      </c>
      <c r="B5480" s="4">
        <v>47554</v>
      </c>
      <c r="C5480" s="5">
        <f t="shared" si="2558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  <c r="V5480">
        <f t="shared" si="2540"/>
        <v>20</v>
      </c>
      <c r="W5480">
        <f t="shared" si="2538"/>
        <v>3</v>
      </c>
      <c r="X5480">
        <f t="shared" si="2539"/>
        <v>2010</v>
      </c>
    </row>
    <row r="5481" spans="1:24" ht="12" customHeight="1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  <c r="V5481">
        <f t="shared" si="2540"/>
        <v>19</v>
      </c>
      <c r="W5481">
        <f t="shared" si="2538"/>
        <v>4</v>
      </c>
      <c r="X5481">
        <f t="shared" si="2539"/>
        <v>2009</v>
      </c>
    </row>
    <row r="5482" spans="1:24" ht="12" customHeight="1">
      <c r="A5482" s="4">
        <v>6917</v>
      </c>
      <c r="B5482" s="4">
        <v>49346</v>
      </c>
      <c r="C5482" s="5">
        <f t="shared" ref="C5482:C5483" si="2559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  <c r="V5482">
        <f t="shared" si="2540"/>
        <v>8</v>
      </c>
      <c r="W5482">
        <f t="shared" si="2538"/>
        <v>5</v>
      </c>
      <c r="X5482">
        <f t="shared" si="2539"/>
        <v>2011</v>
      </c>
    </row>
    <row r="5483" spans="1:24" ht="12" customHeight="1">
      <c r="A5483" s="4">
        <v>6918</v>
      </c>
      <c r="B5483" s="4">
        <v>49346</v>
      </c>
      <c r="C5483" s="5">
        <f t="shared" si="2559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560">C5483+1</f>
        <v>40669</v>
      </c>
      <c r="V5483">
        <f t="shared" si="2540"/>
        <v>6</v>
      </c>
      <c r="W5483">
        <f t="shared" si="2538"/>
        <v>5</v>
      </c>
      <c r="X5483">
        <f t="shared" si="2539"/>
        <v>2011</v>
      </c>
    </row>
    <row r="5484" spans="1:24" ht="12" customHeight="1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560"/>
        <v>40080</v>
      </c>
      <c r="V5484">
        <f t="shared" si="2540"/>
        <v>24</v>
      </c>
      <c r="W5484">
        <f t="shared" si="2538"/>
        <v>9</v>
      </c>
      <c r="X5484">
        <f t="shared" si="2539"/>
        <v>2009</v>
      </c>
    </row>
    <row r="5485" spans="1:24" ht="12" customHeight="1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561">C5485+2</f>
        <v>40315</v>
      </c>
      <c r="V5485">
        <f t="shared" si="2540"/>
        <v>17</v>
      </c>
      <c r="W5485">
        <f t="shared" si="2538"/>
        <v>5</v>
      </c>
      <c r="X5485">
        <f t="shared" si="2539"/>
        <v>2010</v>
      </c>
    </row>
    <row r="5486" spans="1:24" ht="12" customHeight="1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561"/>
        <v>41090</v>
      </c>
      <c r="V5486">
        <f t="shared" si="2540"/>
        <v>30</v>
      </c>
      <c r="W5486">
        <f t="shared" si="2538"/>
        <v>6</v>
      </c>
      <c r="X5486">
        <f t="shared" si="2539"/>
        <v>2012</v>
      </c>
    </row>
    <row r="5487" spans="1:24" ht="12" customHeight="1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561"/>
        <v>39964</v>
      </c>
      <c r="V5487">
        <f t="shared" si="2540"/>
        <v>31</v>
      </c>
      <c r="W5487">
        <f t="shared" si="2538"/>
        <v>5</v>
      </c>
      <c r="X5487">
        <f t="shared" si="2539"/>
        <v>2009</v>
      </c>
    </row>
    <row r="5488" spans="1:24" ht="12" customHeight="1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561"/>
        <v>41190</v>
      </c>
      <c r="V5488">
        <f t="shared" si="2540"/>
        <v>8</v>
      </c>
      <c r="W5488">
        <f t="shared" si="2538"/>
        <v>10</v>
      </c>
      <c r="X5488">
        <f t="shared" si="2539"/>
        <v>2012</v>
      </c>
    </row>
    <row r="5489" spans="1:24" ht="12" customHeight="1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  <c r="V5489">
        <f t="shared" si="2540"/>
        <v>13</v>
      </c>
      <c r="W5489">
        <f t="shared" si="2538"/>
        <v>6</v>
      </c>
      <c r="X5489">
        <f t="shared" si="2539"/>
        <v>2011</v>
      </c>
    </row>
    <row r="5490" spans="1:24" ht="12" customHeight="1">
      <c r="A5490" s="4">
        <v>7300</v>
      </c>
      <c r="B5490" s="4">
        <v>52068</v>
      </c>
      <c r="C5490" s="5">
        <f t="shared" ref="C5490:C5493" si="2562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563">C5490+0</f>
        <v>40921</v>
      </c>
      <c r="V5490">
        <f t="shared" si="2540"/>
        <v>13</v>
      </c>
      <c r="W5490">
        <f t="shared" si="2538"/>
        <v>1</v>
      </c>
      <c r="X5490">
        <f t="shared" si="2539"/>
        <v>2012</v>
      </c>
    </row>
    <row r="5491" spans="1:24" ht="12" customHeight="1">
      <c r="A5491" s="4">
        <v>7301</v>
      </c>
      <c r="B5491" s="4">
        <v>52068</v>
      </c>
      <c r="C5491" s="5">
        <f t="shared" si="2562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563"/>
        <v>40921</v>
      </c>
      <c r="V5491">
        <f t="shared" si="2540"/>
        <v>13</v>
      </c>
      <c r="W5491">
        <f t="shared" si="2538"/>
        <v>1</v>
      </c>
      <c r="X5491">
        <f t="shared" si="2539"/>
        <v>2012</v>
      </c>
    </row>
    <row r="5492" spans="1:24" ht="12" customHeight="1">
      <c r="A5492" s="4">
        <v>7302</v>
      </c>
      <c r="B5492" s="4">
        <v>52068</v>
      </c>
      <c r="C5492" s="5">
        <f t="shared" si="2562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  <c r="V5492">
        <f t="shared" si="2540"/>
        <v>14</v>
      </c>
      <c r="W5492">
        <f t="shared" si="2538"/>
        <v>1</v>
      </c>
      <c r="X5492">
        <f t="shared" si="2539"/>
        <v>2012</v>
      </c>
    </row>
    <row r="5493" spans="1:24" ht="12" customHeight="1">
      <c r="A5493" s="4">
        <v>7303</v>
      </c>
      <c r="B5493" s="4">
        <v>52068</v>
      </c>
      <c r="C5493" s="5">
        <f t="shared" si="2562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564">C5493+2</f>
        <v>40923</v>
      </c>
      <c r="V5493">
        <f t="shared" si="2540"/>
        <v>15</v>
      </c>
      <c r="W5493">
        <f t="shared" si="2538"/>
        <v>1</v>
      </c>
      <c r="X5493">
        <f t="shared" si="2539"/>
        <v>2012</v>
      </c>
    </row>
    <row r="5494" spans="1:24" ht="12" customHeight="1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564"/>
        <v>40461</v>
      </c>
      <c r="V5494">
        <f t="shared" si="2540"/>
        <v>10</v>
      </c>
      <c r="W5494">
        <f t="shared" si="2538"/>
        <v>10</v>
      </c>
      <c r="X5494">
        <f t="shared" si="2539"/>
        <v>2010</v>
      </c>
    </row>
    <row r="5495" spans="1:24" ht="12" customHeight="1">
      <c r="A5495" s="4">
        <v>7474</v>
      </c>
      <c r="B5495" s="4">
        <v>53378</v>
      </c>
      <c r="C5495" s="5">
        <f t="shared" ref="C5495:C5497" si="2565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566">C5495+1</f>
        <v>41104</v>
      </c>
      <c r="V5495">
        <f t="shared" si="2540"/>
        <v>14</v>
      </c>
      <c r="W5495">
        <f t="shared" si="2538"/>
        <v>7</v>
      </c>
      <c r="X5495">
        <f t="shared" si="2539"/>
        <v>2012</v>
      </c>
    </row>
    <row r="5496" spans="1:24" ht="12" customHeight="1">
      <c r="A5496" s="4">
        <v>7475</v>
      </c>
      <c r="B5496" s="4">
        <v>53378</v>
      </c>
      <c r="C5496" s="5">
        <f t="shared" si="2565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566"/>
        <v>41104</v>
      </c>
      <c r="V5496">
        <f t="shared" si="2540"/>
        <v>14</v>
      </c>
      <c r="W5496">
        <f t="shared" si="2538"/>
        <v>7</v>
      </c>
      <c r="X5496">
        <f t="shared" si="2539"/>
        <v>2012</v>
      </c>
    </row>
    <row r="5497" spans="1:24" ht="12" customHeight="1">
      <c r="A5497" s="4">
        <v>7476</v>
      </c>
      <c r="B5497" s="4">
        <v>53378</v>
      </c>
      <c r="C5497" s="5">
        <f t="shared" si="2565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566"/>
        <v>41104</v>
      </c>
      <c r="V5497">
        <f t="shared" si="2540"/>
        <v>14</v>
      </c>
      <c r="W5497">
        <f t="shared" si="2538"/>
        <v>7</v>
      </c>
      <c r="X5497">
        <f t="shared" si="2539"/>
        <v>2012</v>
      </c>
    </row>
    <row r="5498" spans="1:24" ht="12" customHeight="1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567">C5498+2</f>
        <v>40462</v>
      </c>
      <c r="V5498">
        <f t="shared" si="2540"/>
        <v>11</v>
      </c>
      <c r="W5498">
        <f t="shared" si="2538"/>
        <v>10</v>
      </c>
      <c r="X5498">
        <f t="shared" si="2539"/>
        <v>2010</v>
      </c>
    </row>
    <row r="5499" spans="1:24" ht="12" customHeight="1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567"/>
        <v>41178</v>
      </c>
      <c r="V5499">
        <f t="shared" si="2540"/>
        <v>26</v>
      </c>
      <c r="W5499">
        <f t="shared" si="2538"/>
        <v>9</v>
      </c>
      <c r="X5499">
        <f t="shared" si="2539"/>
        <v>2012</v>
      </c>
    </row>
    <row r="5500" spans="1:24" ht="12" customHeight="1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567"/>
        <v>40419</v>
      </c>
      <c r="V5500">
        <f t="shared" si="2540"/>
        <v>29</v>
      </c>
      <c r="W5500">
        <f t="shared" si="2538"/>
        <v>8</v>
      </c>
      <c r="X5500">
        <f t="shared" si="2539"/>
        <v>2010</v>
      </c>
    </row>
    <row r="5501" spans="1:24" ht="12" customHeight="1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  <c r="V5501">
        <f t="shared" si="2540"/>
        <v>29</v>
      </c>
      <c r="W5501">
        <f t="shared" si="2538"/>
        <v>10</v>
      </c>
      <c r="X5501">
        <f t="shared" si="2539"/>
        <v>2009</v>
      </c>
    </row>
    <row r="5502" spans="1:24" ht="12" customHeight="1">
      <c r="A5502" s="4">
        <v>7950</v>
      </c>
      <c r="B5502" s="4">
        <v>56804</v>
      </c>
      <c r="C5502" s="5">
        <f t="shared" ref="C5502:C5503" si="2568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  <c r="V5502">
        <f t="shared" si="2540"/>
        <v>29</v>
      </c>
      <c r="W5502">
        <f t="shared" si="2538"/>
        <v>3</v>
      </c>
      <c r="X5502">
        <f t="shared" si="2539"/>
        <v>2011</v>
      </c>
    </row>
    <row r="5503" spans="1:24" ht="12" customHeight="1">
      <c r="A5503" s="4">
        <v>7951</v>
      </c>
      <c r="B5503" s="4">
        <v>56804</v>
      </c>
      <c r="C5503" s="5">
        <f t="shared" si="2568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  <c r="V5503">
        <f t="shared" si="2540"/>
        <v>28</v>
      </c>
      <c r="W5503">
        <f t="shared" si="2538"/>
        <v>3</v>
      </c>
      <c r="X5503">
        <f t="shared" si="2539"/>
        <v>2011</v>
      </c>
    </row>
    <row r="5504" spans="1:24" ht="12" customHeight="1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  <c r="V5504">
        <f t="shared" si="2540"/>
        <v>29</v>
      </c>
      <c r="W5504">
        <f t="shared" si="2538"/>
        <v>2</v>
      </c>
      <c r="X5504">
        <f t="shared" si="2539"/>
        <v>2012</v>
      </c>
    </row>
    <row r="5505" spans="1:24" ht="12" customHeight="1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  <c r="V5505">
        <f t="shared" si="2540"/>
        <v>10</v>
      </c>
      <c r="W5505">
        <f t="shared" si="2538"/>
        <v>1</v>
      </c>
      <c r="X5505">
        <f t="shared" si="2539"/>
        <v>2010</v>
      </c>
    </row>
    <row r="5506" spans="1:24" ht="12" customHeight="1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  <c r="V5506">
        <f t="shared" si="2540"/>
        <v>29</v>
      </c>
      <c r="W5506">
        <f t="shared" si="2538"/>
        <v>3</v>
      </c>
      <c r="X5506">
        <f t="shared" si="2539"/>
        <v>2009</v>
      </c>
    </row>
    <row r="5507" spans="1:24" ht="12" customHeight="1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  <c r="V5507">
        <f t="shared" si="2540"/>
        <v>9</v>
      </c>
      <c r="W5507">
        <f t="shared" ref="W5507:W5570" si="2569">MONTH(U5507)</f>
        <v>10</v>
      </c>
      <c r="X5507">
        <f t="shared" ref="X5507:X5570" si="2570">YEAR(U5507)</f>
        <v>2012</v>
      </c>
    </row>
    <row r="5508" spans="1:24" ht="12" customHeight="1">
      <c r="A5508" s="4">
        <v>8152</v>
      </c>
      <c r="B5508" s="4">
        <v>58308</v>
      </c>
      <c r="C5508" s="5">
        <f t="shared" ref="C5508:C5510" si="257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  <c r="V5508">
        <f t="shared" ref="V5508:V5571" si="2572">DAY(U5508)</f>
        <v>21</v>
      </c>
      <c r="W5508">
        <f t="shared" si="2569"/>
        <v>5</v>
      </c>
      <c r="X5508">
        <f t="shared" si="2570"/>
        <v>2010</v>
      </c>
    </row>
    <row r="5509" spans="1:24" ht="12" customHeight="1">
      <c r="A5509" s="4">
        <v>8153</v>
      </c>
      <c r="B5509" s="4">
        <v>58308</v>
      </c>
      <c r="C5509" s="5">
        <f t="shared" si="257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  <c r="V5509">
        <f t="shared" si="2572"/>
        <v>22</v>
      </c>
      <c r="W5509">
        <f t="shared" si="2569"/>
        <v>5</v>
      </c>
      <c r="X5509">
        <f t="shared" si="2570"/>
        <v>2010</v>
      </c>
    </row>
    <row r="5510" spans="1:24" ht="12" customHeight="1">
      <c r="A5510" s="4">
        <v>8154</v>
      </c>
      <c r="B5510" s="4">
        <v>58308</v>
      </c>
      <c r="C5510" s="5">
        <f t="shared" si="257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  <c r="V5510">
        <f t="shared" si="2572"/>
        <v>23</v>
      </c>
      <c r="W5510">
        <f t="shared" si="2569"/>
        <v>5</v>
      </c>
      <c r="X5510">
        <f t="shared" si="2570"/>
        <v>2010</v>
      </c>
    </row>
    <row r="5511" spans="1:24" ht="12" customHeight="1">
      <c r="A5511" s="4">
        <v>8157</v>
      </c>
      <c r="B5511" s="4">
        <v>58339</v>
      </c>
      <c r="C5511" s="5">
        <f t="shared" ref="C5511:C5512" si="2573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  <c r="V5511">
        <f t="shared" si="2572"/>
        <v>13</v>
      </c>
      <c r="W5511">
        <f t="shared" si="2569"/>
        <v>6</v>
      </c>
      <c r="X5511">
        <f t="shared" si="2570"/>
        <v>2009</v>
      </c>
    </row>
    <row r="5512" spans="1:24" ht="12" customHeight="1">
      <c r="A5512" s="4">
        <v>8158</v>
      </c>
      <c r="B5512" s="4">
        <v>58339</v>
      </c>
      <c r="C5512" s="5">
        <f t="shared" si="2573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  <c r="V5512">
        <f t="shared" si="2572"/>
        <v>14</v>
      </c>
      <c r="W5512">
        <f t="shared" si="2569"/>
        <v>6</v>
      </c>
      <c r="X5512">
        <f t="shared" si="2570"/>
        <v>2009</v>
      </c>
    </row>
    <row r="5513" spans="1:24" ht="12" customHeight="1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  <c r="V5513">
        <f t="shared" si="2572"/>
        <v>17</v>
      </c>
      <c r="W5513">
        <f t="shared" si="2569"/>
        <v>8</v>
      </c>
      <c r="X5513">
        <f t="shared" si="2570"/>
        <v>2012</v>
      </c>
    </row>
    <row r="5514" spans="1:24" ht="12" customHeight="1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574">C5514+1</f>
        <v>40525</v>
      </c>
      <c r="V5514">
        <f t="shared" si="2572"/>
        <v>13</v>
      </c>
      <c r="W5514">
        <f t="shared" si="2569"/>
        <v>12</v>
      </c>
      <c r="X5514">
        <f t="shared" si="2570"/>
        <v>2010</v>
      </c>
    </row>
    <row r="5515" spans="1:24" ht="12" customHeight="1">
      <c r="A5515" s="4">
        <v>87</v>
      </c>
      <c r="B5515" s="4">
        <v>548</v>
      </c>
      <c r="C5515" s="5">
        <f t="shared" ref="C5515:C5517" si="2575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574"/>
        <v>40077</v>
      </c>
      <c r="V5515">
        <f t="shared" si="2572"/>
        <v>21</v>
      </c>
      <c r="W5515">
        <f t="shared" si="2569"/>
        <v>9</v>
      </c>
      <c r="X5515">
        <f t="shared" si="2570"/>
        <v>2009</v>
      </c>
    </row>
    <row r="5516" spans="1:24" ht="12" customHeight="1">
      <c r="A5516" s="4">
        <v>88</v>
      </c>
      <c r="B5516" s="4">
        <v>548</v>
      </c>
      <c r="C5516" s="5">
        <f t="shared" si="2575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574"/>
        <v>40077</v>
      </c>
      <c r="V5516">
        <f t="shared" si="2572"/>
        <v>21</v>
      </c>
      <c r="W5516">
        <f t="shared" si="2569"/>
        <v>9</v>
      </c>
      <c r="X5516">
        <f t="shared" si="2570"/>
        <v>2009</v>
      </c>
    </row>
    <row r="5517" spans="1:24" ht="12" customHeight="1">
      <c r="A5517" s="4">
        <v>89</v>
      </c>
      <c r="B5517" s="4">
        <v>548</v>
      </c>
      <c r="C5517" s="5">
        <f t="shared" si="2575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  <c r="V5517">
        <f t="shared" si="2572"/>
        <v>22</v>
      </c>
      <c r="W5517">
        <f t="shared" si="2569"/>
        <v>9</v>
      </c>
      <c r="X5517">
        <f t="shared" si="2570"/>
        <v>2009</v>
      </c>
    </row>
    <row r="5518" spans="1:24" ht="12" customHeight="1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  <c r="V5518">
        <f t="shared" si="2572"/>
        <v>17</v>
      </c>
      <c r="W5518">
        <f t="shared" si="2569"/>
        <v>6</v>
      </c>
      <c r="X5518">
        <f t="shared" si="2570"/>
        <v>2011</v>
      </c>
    </row>
    <row r="5519" spans="1:24" ht="12" customHeight="1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576">C5519+2</f>
        <v>40974</v>
      </c>
      <c r="V5519">
        <f t="shared" si="2572"/>
        <v>6</v>
      </c>
      <c r="W5519">
        <f t="shared" si="2569"/>
        <v>3</v>
      </c>
      <c r="X5519">
        <f t="shared" si="2570"/>
        <v>2012</v>
      </c>
    </row>
    <row r="5520" spans="1:24" ht="12" customHeight="1">
      <c r="A5520" s="4">
        <v>303</v>
      </c>
      <c r="B5520" s="4">
        <v>2086</v>
      </c>
      <c r="C5520" s="5">
        <f t="shared" ref="C5520:C5522" si="2577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576"/>
        <v>40106</v>
      </c>
      <c r="V5520">
        <f t="shared" si="2572"/>
        <v>20</v>
      </c>
      <c r="W5520">
        <f t="shared" si="2569"/>
        <v>10</v>
      </c>
      <c r="X5520">
        <f t="shared" si="2570"/>
        <v>2009</v>
      </c>
    </row>
    <row r="5521" spans="1:24" ht="12" customHeight="1">
      <c r="A5521" s="4">
        <v>304</v>
      </c>
      <c r="B5521" s="4">
        <v>2086</v>
      </c>
      <c r="C5521" s="5">
        <f t="shared" si="2577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  <c r="V5521">
        <f t="shared" si="2572"/>
        <v>19</v>
      </c>
      <c r="W5521">
        <f t="shared" si="2569"/>
        <v>10</v>
      </c>
      <c r="X5521">
        <f t="shared" si="2570"/>
        <v>2009</v>
      </c>
    </row>
    <row r="5522" spans="1:24" ht="12" customHeight="1">
      <c r="A5522" s="4">
        <v>305</v>
      </c>
      <c r="B5522" s="4">
        <v>2086</v>
      </c>
      <c r="C5522" s="5">
        <f t="shared" si="2577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  <c r="V5522">
        <f t="shared" si="2572"/>
        <v>21</v>
      </c>
      <c r="W5522">
        <f t="shared" si="2569"/>
        <v>10</v>
      </c>
      <c r="X5522">
        <f t="shared" si="2570"/>
        <v>2009</v>
      </c>
    </row>
    <row r="5523" spans="1:24" ht="12" customHeight="1">
      <c r="A5523" s="4">
        <v>912</v>
      </c>
      <c r="B5523" s="4">
        <v>6560</v>
      </c>
      <c r="C5523" s="5">
        <f t="shared" ref="C5523:C5524" si="2578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  <c r="V5523">
        <f t="shared" si="2572"/>
        <v>8</v>
      </c>
      <c r="W5523">
        <f t="shared" si="2569"/>
        <v>1</v>
      </c>
      <c r="X5523">
        <f t="shared" si="2570"/>
        <v>2011</v>
      </c>
    </row>
    <row r="5524" spans="1:24" ht="12" customHeight="1">
      <c r="A5524" s="4">
        <v>913</v>
      </c>
      <c r="B5524" s="4">
        <v>6560</v>
      </c>
      <c r="C5524" s="5">
        <f t="shared" si="2578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  <c r="V5524">
        <f t="shared" si="2572"/>
        <v>9</v>
      </c>
      <c r="W5524">
        <f t="shared" si="2569"/>
        <v>1</v>
      </c>
      <c r="X5524">
        <f t="shared" si="2570"/>
        <v>2011</v>
      </c>
    </row>
    <row r="5525" spans="1:24" ht="12" customHeight="1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  <c r="V5525">
        <f t="shared" si="2572"/>
        <v>28</v>
      </c>
      <c r="W5525">
        <f t="shared" si="2569"/>
        <v>6</v>
      </c>
      <c r="X5525">
        <f t="shared" si="2570"/>
        <v>2010</v>
      </c>
    </row>
    <row r="5526" spans="1:24" ht="12" customHeight="1">
      <c r="A5526" s="4">
        <v>1052</v>
      </c>
      <c r="B5526" s="4">
        <v>7776</v>
      </c>
      <c r="C5526" s="5">
        <f t="shared" ref="C5526:C5527" si="2579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  <c r="V5526">
        <f t="shared" si="2572"/>
        <v>15</v>
      </c>
      <c r="W5526">
        <f t="shared" si="2569"/>
        <v>3</v>
      </c>
      <c r="X5526">
        <f t="shared" si="2570"/>
        <v>2009</v>
      </c>
    </row>
    <row r="5527" spans="1:24" ht="12" customHeight="1">
      <c r="A5527" s="4">
        <v>1053</v>
      </c>
      <c r="B5527" s="4">
        <v>7776</v>
      </c>
      <c r="C5527" s="5">
        <f t="shared" si="2579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  <c r="V5527">
        <f t="shared" si="2572"/>
        <v>14</v>
      </c>
      <c r="W5527">
        <f t="shared" si="2569"/>
        <v>3</v>
      </c>
      <c r="X5527">
        <f t="shared" si="2570"/>
        <v>2009</v>
      </c>
    </row>
    <row r="5528" spans="1:24" ht="12" customHeight="1">
      <c r="A5528" s="4">
        <v>1160</v>
      </c>
      <c r="B5528" s="4">
        <v>8450</v>
      </c>
      <c r="C5528" s="5">
        <f t="shared" ref="C5528:C5529" si="2580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  <c r="V5528">
        <f t="shared" si="2572"/>
        <v>15</v>
      </c>
      <c r="W5528">
        <f t="shared" si="2569"/>
        <v>4</v>
      </c>
      <c r="X5528">
        <f t="shared" si="2570"/>
        <v>2012</v>
      </c>
    </row>
    <row r="5529" spans="1:24" ht="12" customHeight="1">
      <c r="A5529" s="4">
        <v>1161</v>
      </c>
      <c r="B5529" s="4">
        <v>8450</v>
      </c>
      <c r="C5529" s="5">
        <f t="shared" si="2580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  <c r="V5529">
        <f t="shared" si="2572"/>
        <v>14</v>
      </c>
      <c r="W5529">
        <f t="shared" si="2569"/>
        <v>4</v>
      </c>
      <c r="X5529">
        <f t="shared" si="2570"/>
        <v>2012</v>
      </c>
    </row>
    <row r="5530" spans="1:24" ht="12" customHeight="1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  <c r="V5530">
        <f t="shared" si="2572"/>
        <v>7</v>
      </c>
      <c r="W5530">
        <f t="shared" si="2569"/>
        <v>1</v>
      </c>
      <c r="X5530">
        <f t="shared" si="2570"/>
        <v>2012</v>
      </c>
    </row>
    <row r="5531" spans="1:24" ht="12" customHeight="1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581">C5531+2</f>
        <v>40620</v>
      </c>
      <c r="V5531">
        <f t="shared" si="2572"/>
        <v>18</v>
      </c>
      <c r="W5531">
        <f t="shared" si="2569"/>
        <v>3</v>
      </c>
      <c r="X5531">
        <f t="shared" si="2570"/>
        <v>2011</v>
      </c>
    </row>
    <row r="5532" spans="1:24" ht="12" customHeight="1">
      <c r="A5532" s="4">
        <v>2639</v>
      </c>
      <c r="B5532" s="4">
        <v>19105</v>
      </c>
      <c r="C5532" s="5">
        <f t="shared" ref="C5532:C5533" si="2582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581"/>
        <v>40116</v>
      </c>
      <c r="V5532">
        <f t="shared" si="2572"/>
        <v>30</v>
      </c>
      <c r="W5532">
        <f t="shared" si="2569"/>
        <v>10</v>
      </c>
      <c r="X5532">
        <f t="shared" si="2570"/>
        <v>2009</v>
      </c>
    </row>
    <row r="5533" spans="1:24" ht="12" customHeight="1">
      <c r="A5533" s="4">
        <v>2640</v>
      </c>
      <c r="B5533" s="4">
        <v>19105</v>
      </c>
      <c r="C5533" s="5">
        <f t="shared" si="2582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  <c r="V5533">
        <f t="shared" si="2572"/>
        <v>28</v>
      </c>
      <c r="W5533">
        <f t="shared" si="2569"/>
        <v>10</v>
      </c>
      <c r="X5533">
        <f t="shared" si="2570"/>
        <v>2009</v>
      </c>
    </row>
    <row r="5534" spans="1:24" ht="12" customHeight="1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  <c r="V5534">
        <f t="shared" si="2572"/>
        <v>6</v>
      </c>
      <c r="W5534">
        <f t="shared" si="2569"/>
        <v>8</v>
      </c>
      <c r="X5534">
        <f t="shared" si="2570"/>
        <v>2010</v>
      </c>
    </row>
    <row r="5535" spans="1:24" ht="12" customHeight="1">
      <c r="A5535" s="4">
        <v>2657</v>
      </c>
      <c r="B5535" s="4">
        <v>19206</v>
      </c>
      <c r="C5535" s="5">
        <f t="shared" ref="C5535:C5536" si="2583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  <c r="V5535">
        <f t="shared" si="2572"/>
        <v>3</v>
      </c>
      <c r="W5535">
        <f t="shared" si="2569"/>
        <v>4</v>
      </c>
      <c r="X5535">
        <f t="shared" si="2570"/>
        <v>2010</v>
      </c>
    </row>
    <row r="5536" spans="1:24" ht="12" customHeight="1">
      <c r="A5536" s="4">
        <v>2658</v>
      </c>
      <c r="B5536" s="4">
        <v>19206</v>
      </c>
      <c r="C5536" s="5">
        <f t="shared" si="2583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  <c r="V5536">
        <f t="shared" si="2572"/>
        <v>1</v>
      </c>
      <c r="W5536">
        <f t="shared" si="2569"/>
        <v>4</v>
      </c>
      <c r="X5536">
        <f t="shared" si="2570"/>
        <v>2010</v>
      </c>
    </row>
    <row r="5537" spans="1:24" ht="12" customHeight="1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  <c r="V5537">
        <f t="shared" si="2572"/>
        <v>9</v>
      </c>
      <c r="W5537">
        <f t="shared" si="2569"/>
        <v>1</v>
      </c>
      <c r="X5537">
        <f t="shared" si="2570"/>
        <v>2011</v>
      </c>
    </row>
    <row r="5538" spans="1:24" ht="12" customHeight="1">
      <c r="A5538" s="4">
        <v>2775</v>
      </c>
      <c r="B5538" s="4">
        <v>20037</v>
      </c>
      <c r="C5538" s="5">
        <f t="shared" ref="C5538:C5539" si="2584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585">C5538+5</f>
        <v>39828</v>
      </c>
      <c r="V5538">
        <f t="shared" si="2572"/>
        <v>15</v>
      </c>
      <c r="W5538">
        <f t="shared" si="2569"/>
        <v>1</v>
      </c>
      <c r="X5538">
        <f t="shared" si="2570"/>
        <v>2009</v>
      </c>
    </row>
    <row r="5539" spans="1:24" ht="12" customHeight="1">
      <c r="A5539" s="4">
        <v>2776</v>
      </c>
      <c r="B5539" s="4">
        <v>20037</v>
      </c>
      <c r="C5539" s="5">
        <f t="shared" si="2584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585"/>
        <v>39828</v>
      </c>
      <c r="V5539">
        <f t="shared" si="2572"/>
        <v>15</v>
      </c>
      <c r="W5539">
        <f t="shared" si="2569"/>
        <v>1</v>
      </c>
      <c r="X5539">
        <f t="shared" si="2570"/>
        <v>2009</v>
      </c>
    </row>
    <row r="5540" spans="1:24" ht="12" customHeight="1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  <c r="V5540">
        <f t="shared" si="2572"/>
        <v>13</v>
      </c>
      <c r="W5540">
        <f t="shared" si="2569"/>
        <v>1</v>
      </c>
      <c r="X5540">
        <f t="shared" si="2570"/>
        <v>2009</v>
      </c>
    </row>
    <row r="5541" spans="1:24" ht="12" customHeight="1">
      <c r="A5541" s="4">
        <v>2888</v>
      </c>
      <c r="B5541" s="4">
        <v>20832</v>
      </c>
      <c r="C5541" s="5">
        <f t="shared" ref="C5541:C5542" si="2586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  <c r="V5541">
        <f t="shared" si="2572"/>
        <v>30</v>
      </c>
      <c r="W5541">
        <f t="shared" si="2569"/>
        <v>7</v>
      </c>
      <c r="X5541">
        <f t="shared" si="2570"/>
        <v>2010</v>
      </c>
    </row>
    <row r="5542" spans="1:24" ht="12" customHeight="1">
      <c r="A5542" s="4">
        <v>2889</v>
      </c>
      <c r="B5542" s="4">
        <v>20832</v>
      </c>
      <c r="C5542" s="5">
        <f t="shared" si="2586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  <c r="V5542">
        <f t="shared" si="2572"/>
        <v>1</v>
      </c>
      <c r="W5542">
        <f t="shared" si="2569"/>
        <v>8</v>
      </c>
      <c r="X5542">
        <f t="shared" si="2570"/>
        <v>2010</v>
      </c>
    </row>
    <row r="5543" spans="1:24" ht="12" customHeight="1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  <c r="V5543">
        <f t="shared" si="2572"/>
        <v>19</v>
      </c>
      <c r="W5543">
        <f t="shared" si="2569"/>
        <v>11</v>
      </c>
      <c r="X5543">
        <f t="shared" si="2570"/>
        <v>2010</v>
      </c>
    </row>
    <row r="5544" spans="1:24" ht="12" customHeight="1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587">C5544+2</f>
        <v>40166</v>
      </c>
      <c r="V5544">
        <f t="shared" si="2572"/>
        <v>19</v>
      </c>
      <c r="W5544">
        <f t="shared" si="2569"/>
        <v>12</v>
      </c>
      <c r="X5544">
        <f t="shared" si="2570"/>
        <v>2009</v>
      </c>
    </row>
    <row r="5545" spans="1:24" ht="12" customHeight="1">
      <c r="A5545" s="4">
        <v>3407</v>
      </c>
      <c r="B5545" s="4">
        <v>24326</v>
      </c>
      <c r="C5545" s="5">
        <f t="shared" ref="C5545:C5546" si="2588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587"/>
        <v>40817</v>
      </c>
      <c r="V5545">
        <f t="shared" si="2572"/>
        <v>1</v>
      </c>
      <c r="W5545">
        <f t="shared" si="2569"/>
        <v>10</v>
      </c>
      <c r="X5545">
        <f t="shared" si="2570"/>
        <v>2011</v>
      </c>
    </row>
    <row r="5546" spans="1:24" ht="12" customHeight="1">
      <c r="A5546" s="4">
        <v>3408</v>
      </c>
      <c r="B5546" s="4">
        <v>24326</v>
      </c>
      <c r="C5546" s="5">
        <f t="shared" si="2588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589">C5546+1</f>
        <v>40816</v>
      </c>
      <c r="V5546">
        <f t="shared" si="2572"/>
        <v>30</v>
      </c>
      <c r="W5546">
        <f t="shared" si="2569"/>
        <v>9</v>
      </c>
      <c r="X5546">
        <f t="shared" si="2570"/>
        <v>2011</v>
      </c>
    </row>
    <row r="5547" spans="1:24" ht="12" customHeight="1">
      <c r="A5547" s="4">
        <v>3627</v>
      </c>
      <c r="B5547" s="4">
        <v>25926</v>
      </c>
      <c r="C5547" s="5">
        <f t="shared" ref="C5547:C5548" si="2590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589"/>
        <v>40138</v>
      </c>
      <c r="V5547">
        <f t="shared" si="2572"/>
        <v>21</v>
      </c>
      <c r="W5547">
        <f t="shared" si="2569"/>
        <v>11</v>
      </c>
      <c r="X5547">
        <f t="shared" si="2570"/>
        <v>2009</v>
      </c>
    </row>
    <row r="5548" spans="1:24" ht="12" customHeight="1">
      <c r="A5548" s="4">
        <v>3628</v>
      </c>
      <c r="B5548" s="4">
        <v>25926</v>
      </c>
      <c r="C5548" s="5">
        <f t="shared" si="2590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591">C5548+2</f>
        <v>40139</v>
      </c>
      <c r="V5548">
        <f t="shared" si="2572"/>
        <v>22</v>
      </c>
      <c r="W5548">
        <f t="shared" si="2569"/>
        <v>11</v>
      </c>
      <c r="X5548">
        <f t="shared" si="2570"/>
        <v>2009</v>
      </c>
    </row>
    <row r="5549" spans="1:24" ht="12" customHeight="1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591"/>
        <v>40292</v>
      </c>
      <c r="V5549">
        <f t="shared" si="2572"/>
        <v>24</v>
      </c>
      <c r="W5549">
        <f t="shared" si="2569"/>
        <v>4</v>
      </c>
      <c r="X5549">
        <f t="shared" si="2570"/>
        <v>2010</v>
      </c>
    </row>
    <row r="5550" spans="1:24" ht="12" customHeight="1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  <c r="V5550">
        <f t="shared" si="2572"/>
        <v>8</v>
      </c>
      <c r="W5550">
        <f t="shared" si="2569"/>
        <v>5</v>
      </c>
      <c r="X5550">
        <f t="shared" si="2570"/>
        <v>2010</v>
      </c>
    </row>
    <row r="5551" spans="1:24" ht="12" customHeight="1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  <c r="V5551">
        <f t="shared" si="2572"/>
        <v>14</v>
      </c>
      <c r="W5551">
        <f t="shared" si="2569"/>
        <v>1</v>
      </c>
      <c r="X5551">
        <f t="shared" si="2570"/>
        <v>2009</v>
      </c>
    </row>
    <row r="5552" spans="1:24" ht="12" customHeight="1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  <c r="V5552">
        <f t="shared" si="2572"/>
        <v>23</v>
      </c>
      <c r="W5552">
        <f t="shared" si="2569"/>
        <v>2</v>
      </c>
      <c r="X5552">
        <f t="shared" si="2570"/>
        <v>2009</v>
      </c>
    </row>
    <row r="5553" spans="1:24" ht="12" customHeight="1">
      <c r="A5553" s="4">
        <v>4001</v>
      </c>
      <c r="B5553" s="4">
        <v>28550</v>
      </c>
      <c r="C5553" s="5">
        <f t="shared" ref="C5553:C5554" si="2592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  <c r="V5553">
        <f t="shared" si="2572"/>
        <v>23</v>
      </c>
      <c r="W5553">
        <f t="shared" si="2569"/>
        <v>3</v>
      </c>
      <c r="X5553">
        <f t="shared" si="2570"/>
        <v>2011</v>
      </c>
    </row>
    <row r="5554" spans="1:24" ht="12" customHeight="1">
      <c r="A5554" s="4">
        <v>4002</v>
      </c>
      <c r="B5554" s="4">
        <v>28550</v>
      </c>
      <c r="C5554" s="5">
        <f t="shared" si="2592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593">C5554+1</f>
        <v>40623</v>
      </c>
      <c r="V5554">
        <f t="shared" si="2572"/>
        <v>21</v>
      </c>
      <c r="W5554">
        <f t="shared" si="2569"/>
        <v>3</v>
      </c>
      <c r="X5554">
        <f t="shared" si="2570"/>
        <v>2011</v>
      </c>
    </row>
    <row r="5555" spans="1:24" ht="12" customHeight="1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593"/>
        <v>40858</v>
      </c>
      <c r="V5555">
        <f t="shared" si="2572"/>
        <v>11</v>
      </c>
      <c r="W5555">
        <f t="shared" si="2569"/>
        <v>11</v>
      </c>
      <c r="X5555">
        <f t="shared" si="2570"/>
        <v>2011</v>
      </c>
    </row>
    <row r="5556" spans="1:24" ht="12" customHeight="1">
      <c r="A5556" s="4">
        <v>4268</v>
      </c>
      <c r="B5556" s="4">
        <v>30374</v>
      </c>
      <c r="C5556" s="5">
        <f t="shared" ref="C5556:C5557" si="2594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593"/>
        <v>40259</v>
      </c>
      <c r="V5556">
        <f t="shared" si="2572"/>
        <v>22</v>
      </c>
      <c r="W5556">
        <f t="shared" si="2569"/>
        <v>3</v>
      </c>
      <c r="X5556">
        <f t="shared" si="2570"/>
        <v>2010</v>
      </c>
    </row>
    <row r="5557" spans="1:24" ht="12" customHeight="1">
      <c r="A5557" s="4">
        <v>4269</v>
      </c>
      <c r="B5557" s="4">
        <v>30374</v>
      </c>
      <c r="C5557" s="5">
        <f t="shared" si="2594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593"/>
        <v>40259</v>
      </c>
      <c r="V5557">
        <f t="shared" si="2572"/>
        <v>22</v>
      </c>
      <c r="W5557">
        <f t="shared" si="2569"/>
        <v>3</v>
      </c>
      <c r="X5557">
        <f t="shared" si="2570"/>
        <v>2010</v>
      </c>
    </row>
    <row r="5558" spans="1:24" ht="12" customHeight="1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593"/>
        <v>39871</v>
      </c>
      <c r="V5558">
        <f t="shared" si="2572"/>
        <v>27</v>
      </c>
      <c r="W5558">
        <f t="shared" si="2569"/>
        <v>2</v>
      </c>
      <c r="X5558">
        <f t="shared" si="2570"/>
        <v>2009</v>
      </c>
    </row>
    <row r="5559" spans="1:24" ht="12" customHeight="1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595">C5559+2</f>
        <v>40768</v>
      </c>
      <c r="V5559">
        <f t="shared" si="2572"/>
        <v>13</v>
      </c>
      <c r="W5559">
        <f t="shared" si="2569"/>
        <v>8</v>
      </c>
      <c r="X5559">
        <f t="shared" si="2570"/>
        <v>2011</v>
      </c>
    </row>
    <row r="5560" spans="1:24" ht="12" customHeight="1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595"/>
        <v>40209</v>
      </c>
      <c r="V5560">
        <f t="shared" si="2572"/>
        <v>31</v>
      </c>
      <c r="W5560">
        <f t="shared" si="2569"/>
        <v>1</v>
      </c>
      <c r="X5560">
        <f t="shared" si="2570"/>
        <v>2010</v>
      </c>
    </row>
    <row r="5561" spans="1:24" ht="12" customHeight="1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596">C5561+1</f>
        <v>40671</v>
      </c>
      <c r="V5561">
        <f t="shared" si="2572"/>
        <v>8</v>
      </c>
      <c r="W5561">
        <f t="shared" si="2569"/>
        <v>5</v>
      </c>
      <c r="X5561">
        <f t="shared" si="2570"/>
        <v>2011</v>
      </c>
    </row>
    <row r="5562" spans="1:24" ht="12" customHeight="1">
      <c r="A5562" s="4">
        <v>4549</v>
      </c>
      <c r="B5562" s="4">
        <v>32356</v>
      </c>
      <c r="C5562" s="5">
        <f t="shared" ref="C5562:C5563" si="2597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596"/>
        <v>41193</v>
      </c>
      <c r="V5562">
        <f t="shared" si="2572"/>
        <v>11</v>
      </c>
      <c r="W5562">
        <f t="shared" si="2569"/>
        <v>10</v>
      </c>
      <c r="X5562">
        <f t="shared" si="2570"/>
        <v>2012</v>
      </c>
    </row>
    <row r="5563" spans="1:24" ht="12" customHeight="1">
      <c r="A5563" s="4">
        <v>4550</v>
      </c>
      <c r="B5563" s="4">
        <v>32356</v>
      </c>
      <c r="C5563" s="5">
        <f t="shared" si="2597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  <c r="V5563">
        <f t="shared" si="2572"/>
        <v>12</v>
      </c>
      <c r="W5563">
        <f t="shared" si="2569"/>
        <v>10</v>
      </c>
      <c r="X5563">
        <f t="shared" si="2570"/>
        <v>2012</v>
      </c>
    </row>
    <row r="5564" spans="1:24" ht="12" customHeight="1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  <c r="V5564">
        <f t="shared" si="2572"/>
        <v>4</v>
      </c>
      <c r="W5564">
        <f t="shared" si="2569"/>
        <v>1</v>
      </c>
      <c r="X5564">
        <f t="shared" si="2570"/>
        <v>2011</v>
      </c>
    </row>
    <row r="5565" spans="1:24" ht="12" customHeight="1">
      <c r="A5565" s="4">
        <v>4923</v>
      </c>
      <c r="B5565" s="4">
        <v>35043</v>
      </c>
      <c r="C5565" s="5">
        <f t="shared" ref="C5565:C5566" si="2598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599">C5565+1</f>
        <v>40379</v>
      </c>
      <c r="V5565">
        <f t="shared" si="2572"/>
        <v>20</v>
      </c>
      <c r="W5565">
        <f t="shared" si="2569"/>
        <v>7</v>
      </c>
      <c r="X5565">
        <f t="shared" si="2570"/>
        <v>2010</v>
      </c>
    </row>
    <row r="5566" spans="1:24" ht="12" customHeight="1">
      <c r="A5566" s="4">
        <v>4924</v>
      </c>
      <c r="B5566" s="4">
        <v>35043</v>
      </c>
      <c r="C5566" s="5">
        <f t="shared" si="2598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599"/>
        <v>40379</v>
      </c>
      <c r="V5566">
        <f t="shared" si="2572"/>
        <v>20</v>
      </c>
      <c r="W5566">
        <f t="shared" si="2569"/>
        <v>7</v>
      </c>
      <c r="X5566">
        <f t="shared" si="2570"/>
        <v>2010</v>
      </c>
    </row>
    <row r="5567" spans="1:24" ht="12" customHeight="1">
      <c r="A5567" s="4">
        <v>5281</v>
      </c>
      <c r="B5567" s="4">
        <v>37603</v>
      </c>
      <c r="C5567" s="5">
        <f t="shared" ref="C5567:C5568" si="2600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601">C5567+2</f>
        <v>40508</v>
      </c>
      <c r="V5567">
        <f t="shared" si="2572"/>
        <v>26</v>
      </c>
      <c r="W5567">
        <f t="shared" si="2569"/>
        <v>11</v>
      </c>
      <c r="X5567">
        <f t="shared" si="2570"/>
        <v>2010</v>
      </c>
    </row>
    <row r="5568" spans="1:24" ht="12" customHeight="1">
      <c r="A5568" s="4">
        <v>5282</v>
      </c>
      <c r="B5568" s="4">
        <v>37603</v>
      </c>
      <c r="C5568" s="5">
        <f t="shared" si="2600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601"/>
        <v>40508</v>
      </c>
      <c r="V5568">
        <f t="shared" si="2572"/>
        <v>26</v>
      </c>
      <c r="W5568">
        <f t="shared" si="2569"/>
        <v>11</v>
      </c>
      <c r="X5568">
        <f t="shared" si="2570"/>
        <v>2010</v>
      </c>
    </row>
    <row r="5569" spans="1:24" ht="12" customHeight="1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601"/>
        <v>40787</v>
      </c>
      <c r="V5569">
        <f t="shared" si="2572"/>
        <v>1</v>
      </c>
      <c r="W5569">
        <f t="shared" si="2569"/>
        <v>9</v>
      </c>
      <c r="X5569">
        <f t="shared" si="2570"/>
        <v>2011</v>
      </c>
    </row>
    <row r="5570" spans="1:24" ht="12" customHeight="1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  <c r="V5570">
        <f t="shared" si="2572"/>
        <v>6</v>
      </c>
      <c r="W5570">
        <f t="shared" si="2569"/>
        <v>3</v>
      </c>
      <c r="X5570">
        <f t="shared" si="2570"/>
        <v>2009</v>
      </c>
    </row>
    <row r="5571" spans="1:24" ht="12" customHeight="1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602">C5571+2</f>
        <v>40005</v>
      </c>
      <c r="V5571">
        <f t="shared" si="2572"/>
        <v>11</v>
      </c>
      <c r="W5571">
        <f t="shared" ref="W5571:W5634" si="2603">MONTH(U5571)</f>
        <v>7</v>
      </c>
      <c r="X5571">
        <f t="shared" ref="X5571:X5634" si="2604">YEAR(U5571)</f>
        <v>2009</v>
      </c>
    </row>
    <row r="5572" spans="1:24" ht="12" customHeight="1">
      <c r="A5572" s="4">
        <v>5725</v>
      </c>
      <c r="B5572" s="4">
        <v>40611</v>
      </c>
      <c r="C5572" s="5">
        <f t="shared" ref="C5572:C5573" si="2605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602"/>
        <v>40998</v>
      </c>
      <c r="V5572">
        <f t="shared" ref="V5572:V5635" si="2606">DAY(U5572)</f>
        <v>30</v>
      </c>
      <c r="W5572">
        <f t="shared" si="2603"/>
        <v>3</v>
      </c>
      <c r="X5572">
        <f t="shared" si="2604"/>
        <v>2012</v>
      </c>
    </row>
    <row r="5573" spans="1:24" ht="12" customHeight="1">
      <c r="A5573" s="4">
        <v>5726</v>
      </c>
      <c r="B5573" s="4">
        <v>40611</v>
      </c>
      <c r="C5573" s="5">
        <f t="shared" si="2605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602"/>
        <v>40998</v>
      </c>
      <c r="V5573">
        <f t="shared" si="2606"/>
        <v>30</v>
      </c>
      <c r="W5573">
        <f t="shared" si="2603"/>
        <v>3</v>
      </c>
      <c r="X5573">
        <f t="shared" si="2604"/>
        <v>2012</v>
      </c>
    </row>
    <row r="5574" spans="1:24" ht="12" customHeight="1">
      <c r="A5574" s="4">
        <v>5762</v>
      </c>
      <c r="B5574" s="4">
        <v>40901</v>
      </c>
      <c r="C5574" s="5">
        <f t="shared" ref="C5574:C5575" si="2607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602"/>
        <v>41121</v>
      </c>
      <c r="V5574">
        <f t="shared" si="2606"/>
        <v>31</v>
      </c>
      <c r="W5574">
        <f t="shared" si="2603"/>
        <v>7</v>
      </c>
      <c r="X5574">
        <f t="shared" si="2604"/>
        <v>2012</v>
      </c>
    </row>
    <row r="5575" spans="1:24" ht="12" customHeight="1">
      <c r="A5575" s="4">
        <v>5763</v>
      </c>
      <c r="B5575" s="4">
        <v>40901</v>
      </c>
      <c r="C5575" s="5">
        <f t="shared" si="2607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602"/>
        <v>41121</v>
      </c>
      <c r="V5575">
        <f t="shared" si="2606"/>
        <v>31</v>
      </c>
      <c r="W5575">
        <f t="shared" si="2603"/>
        <v>7</v>
      </c>
      <c r="X5575">
        <f t="shared" si="2604"/>
        <v>2012</v>
      </c>
    </row>
    <row r="5576" spans="1:24" ht="12" customHeight="1">
      <c r="A5576" s="4">
        <v>5867</v>
      </c>
      <c r="B5576" s="4">
        <v>41634</v>
      </c>
      <c r="C5576" s="5">
        <f t="shared" ref="C5576:C5577" si="2608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  <c r="V5576">
        <f t="shared" si="2606"/>
        <v>9</v>
      </c>
      <c r="W5576">
        <f t="shared" si="2603"/>
        <v>12</v>
      </c>
      <c r="X5576">
        <f t="shared" si="2604"/>
        <v>2012</v>
      </c>
    </row>
    <row r="5577" spans="1:24" ht="12" customHeight="1">
      <c r="A5577" s="4">
        <v>5868</v>
      </c>
      <c r="B5577" s="4">
        <v>41634</v>
      </c>
      <c r="C5577" s="5">
        <f t="shared" si="2608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  <c r="V5577">
        <f t="shared" si="2606"/>
        <v>10</v>
      </c>
      <c r="W5577">
        <f t="shared" si="2603"/>
        <v>12</v>
      </c>
      <c r="X5577">
        <f t="shared" si="2604"/>
        <v>2012</v>
      </c>
    </row>
    <row r="5578" spans="1:24" ht="12" customHeight="1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609">C5578+1</f>
        <v>41164</v>
      </c>
      <c r="V5578">
        <f t="shared" si="2606"/>
        <v>12</v>
      </c>
      <c r="W5578">
        <f t="shared" si="2603"/>
        <v>9</v>
      </c>
      <c r="X5578">
        <f t="shared" si="2604"/>
        <v>2012</v>
      </c>
    </row>
    <row r="5579" spans="1:24" ht="12" customHeight="1">
      <c r="A5579" s="4">
        <v>5916</v>
      </c>
      <c r="B5579" s="4">
        <v>41956</v>
      </c>
      <c r="C5579" s="5">
        <f t="shared" ref="C5579:C5580" si="2610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609"/>
        <v>40890</v>
      </c>
      <c r="V5579">
        <f t="shared" si="2606"/>
        <v>13</v>
      </c>
      <c r="W5579">
        <f t="shared" si="2603"/>
        <v>12</v>
      </c>
      <c r="X5579">
        <f t="shared" si="2604"/>
        <v>2011</v>
      </c>
    </row>
    <row r="5580" spans="1:24" ht="12" customHeight="1">
      <c r="A5580" s="4">
        <v>5917</v>
      </c>
      <c r="B5580" s="4">
        <v>41956</v>
      </c>
      <c r="C5580" s="5">
        <f t="shared" si="2610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  <c r="V5580">
        <f t="shared" si="2606"/>
        <v>14</v>
      </c>
      <c r="W5580">
        <f t="shared" si="2603"/>
        <v>12</v>
      </c>
      <c r="X5580">
        <f t="shared" si="2604"/>
        <v>2011</v>
      </c>
    </row>
    <row r="5581" spans="1:24" ht="12" customHeight="1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  <c r="V5581">
        <f t="shared" si="2606"/>
        <v>8</v>
      </c>
      <c r="W5581">
        <f t="shared" si="2603"/>
        <v>1</v>
      </c>
      <c r="X5581">
        <f t="shared" si="2604"/>
        <v>2012</v>
      </c>
    </row>
    <row r="5582" spans="1:24" ht="12" customHeight="1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  <c r="V5582">
        <f t="shared" si="2606"/>
        <v>7</v>
      </c>
      <c r="W5582">
        <f t="shared" si="2603"/>
        <v>10</v>
      </c>
      <c r="X5582">
        <f t="shared" si="2604"/>
        <v>2012</v>
      </c>
    </row>
    <row r="5583" spans="1:24" ht="12" customHeight="1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  <c r="V5583">
        <f t="shared" si="2606"/>
        <v>19</v>
      </c>
      <c r="W5583">
        <f t="shared" si="2603"/>
        <v>8</v>
      </c>
      <c r="X5583">
        <f t="shared" si="2604"/>
        <v>2010</v>
      </c>
    </row>
    <row r="5584" spans="1:24" ht="12" customHeight="1">
      <c r="A5584" s="4">
        <v>6915</v>
      </c>
      <c r="B5584" s="4">
        <v>49344</v>
      </c>
      <c r="C5584" s="5">
        <f t="shared" ref="C5584:C5585" si="2611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612">C5584+0</f>
        <v>41273</v>
      </c>
      <c r="V5584">
        <f t="shared" si="2606"/>
        <v>30</v>
      </c>
      <c r="W5584">
        <f t="shared" si="2603"/>
        <v>12</v>
      </c>
      <c r="X5584">
        <f t="shared" si="2604"/>
        <v>2012</v>
      </c>
    </row>
    <row r="5585" spans="1:24" ht="12" customHeight="1">
      <c r="A5585" s="4">
        <v>6916</v>
      </c>
      <c r="B5585" s="4">
        <v>49344</v>
      </c>
      <c r="C5585" s="5">
        <f t="shared" si="2611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612"/>
        <v>41273</v>
      </c>
      <c r="V5585">
        <f t="shared" si="2606"/>
        <v>30</v>
      </c>
      <c r="W5585">
        <f t="shared" si="2603"/>
        <v>12</v>
      </c>
      <c r="X5585">
        <f t="shared" si="2604"/>
        <v>2012</v>
      </c>
    </row>
    <row r="5586" spans="1:24" ht="12" customHeight="1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  <c r="V5586">
        <f t="shared" si="2606"/>
        <v>3</v>
      </c>
      <c r="W5586">
        <f t="shared" si="2603"/>
        <v>4</v>
      </c>
      <c r="X5586">
        <f t="shared" si="2604"/>
        <v>2012</v>
      </c>
    </row>
    <row r="5587" spans="1:24" ht="12" customHeight="1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  <c r="V5587">
        <f t="shared" si="2606"/>
        <v>20</v>
      </c>
      <c r="W5587">
        <f t="shared" si="2603"/>
        <v>4</v>
      </c>
      <c r="X5587">
        <f t="shared" si="2604"/>
        <v>2009</v>
      </c>
    </row>
    <row r="5588" spans="1:24" ht="12" customHeight="1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  <c r="V5588">
        <f t="shared" si="2606"/>
        <v>19</v>
      </c>
      <c r="W5588">
        <f t="shared" si="2603"/>
        <v>9</v>
      </c>
      <c r="X5588">
        <f t="shared" si="2604"/>
        <v>2012</v>
      </c>
    </row>
    <row r="5589" spans="1:24" ht="12" customHeight="1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  <c r="V5589">
        <f t="shared" si="2606"/>
        <v>1</v>
      </c>
      <c r="W5589">
        <f t="shared" si="2603"/>
        <v>8</v>
      </c>
      <c r="X5589">
        <f t="shared" si="2604"/>
        <v>2009</v>
      </c>
    </row>
    <row r="5590" spans="1:24" ht="12" customHeight="1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613">C5590+2</f>
        <v>40921</v>
      </c>
      <c r="V5590">
        <f t="shared" si="2606"/>
        <v>13</v>
      </c>
      <c r="W5590">
        <f t="shared" si="2603"/>
        <v>1</v>
      </c>
      <c r="X5590">
        <f t="shared" si="2604"/>
        <v>2012</v>
      </c>
    </row>
    <row r="5591" spans="1:24" ht="12" customHeight="1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613"/>
        <v>40655</v>
      </c>
      <c r="V5591">
        <f t="shared" si="2606"/>
        <v>22</v>
      </c>
      <c r="W5591">
        <f t="shared" si="2603"/>
        <v>4</v>
      </c>
      <c r="X5591">
        <f t="shared" si="2604"/>
        <v>2011</v>
      </c>
    </row>
    <row r="5592" spans="1:24" ht="12" customHeight="1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  <c r="V5592">
        <f t="shared" si="2606"/>
        <v>12</v>
      </c>
      <c r="W5592">
        <f t="shared" si="2603"/>
        <v>10</v>
      </c>
      <c r="X5592">
        <f t="shared" si="2604"/>
        <v>2010</v>
      </c>
    </row>
    <row r="5593" spans="1:24" ht="12" customHeight="1">
      <c r="A5593" s="4">
        <v>7903</v>
      </c>
      <c r="B5593" s="4">
        <v>56516</v>
      </c>
      <c r="C5593" s="5">
        <f t="shared" ref="C5593:C5594" si="2614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  <c r="V5593">
        <f t="shared" si="2606"/>
        <v>4</v>
      </c>
      <c r="W5593">
        <f t="shared" si="2603"/>
        <v>8</v>
      </c>
      <c r="X5593">
        <f t="shared" si="2604"/>
        <v>2009</v>
      </c>
    </row>
    <row r="5594" spans="1:24" ht="12" customHeight="1">
      <c r="A5594" s="4">
        <v>7904</v>
      </c>
      <c r="B5594" s="4">
        <v>56516</v>
      </c>
      <c r="C5594" s="5">
        <f t="shared" si="2614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615">C5594+2</f>
        <v>40030</v>
      </c>
      <c r="V5594">
        <f t="shared" si="2606"/>
        <v>5</v>
      </c>
      <c r="W5594">
        <f t="shared" si="2603"/>
        <v>8</v>
      </c>
      <c r="X5594">
        <f t="shared" si="2604"/>
        <v>2009</v>
      </c>
    </row>
    <row r="5595" spans="1:24" ht="12" customHeight="1">
      <c r="A5595" s="4">
        <v>8331</v>
      </c>
      <c r="B5595" s="4">
        <v>59556</v>
      </c>
      <c r="C5595" s="5">
        <f t="shared" ref="C5595:C5596" si="2616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615"/>
        <v>40164</v>
      </c>
      <c r="V5595">
        <f t="shared" si="2606"/>
        <v>17</v>
      </c>
      <c r="W5595">
        <f t="shared" si="2603"/>
        <v>12</v>
      </c>
      <c r="X5595">
        <f t="shared" si="2604"/>
        <v>2009</v>
      </c>
    </row>
    <row r="5596" spans="1:24" ht="12" customHeight="1">
      <c r="A5596" s="4">
        <v>8332</v>
      </c>
      <c r="B5596" s="4">
        <v>59556</v>
      </c>
      <c r="C5596" s="5">
        <f t="shared" si="2616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  <c r="V5596">
        <f t="shared" si="2606"/>
        <v>16</v>
      </c>
      <c r="W5596">
        <f t="shared" si="2603"/>
        <v>12</v>
      </c>
      <c r="X5596">
        <f t="shared" si="2604"/>
        <v>2009</v>
      </c>
    </row>
    <row r="5597" spans="1:24" ht="12" customHeight="1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  <c r="V5597">
        <f t="shared" si="2606"/>
        <v>24</v>
      </c>
      <c r="W5597">
        <f t="shared" si="2603"/>
        <v>5</v>
      </c>
      <c r="X5597">
        <f t="shared" si="2604"/>
        <v>2009</v>
      </c>
    </row>
    <row r="5598" spans="1:24" ht="12" customHeight="1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  <c r="V5598">
        <f t="shared" si="2606"/>
        <v>26</v>
      </c>
      <c r="W5598">
        <f t="shared" si="2603"/>
        <v>4</v>
      </c>
      <c r="X5598">
        <f t="shared" si="2604"/>
        <v>2012</v>
      </c>
    </row>
    <row r="5599" spans="1:24" ht="12" customHeight="1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  <c r="V5599">
        <f t="shared" si="2606"/>
        <v>19</v>
      </c>
      <c r="W5599">
        <f t="shared" si="2603"/>
        <v>10</v>
      </c>
      <c r="X5599">
        <f t="shared" si="2604"/>
        <v>2011</v>
      </c>
    </row>
    <row r="5600" spans="1:24" ht="12" customHeight="1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  <c r="V5600">
        <f t="shared" si="2606"/>
        <v>8</v>
      </c>
      <c r="W5600">
        <f t="shared" si="2603"/>
        <v>5</v>
      </c>
      <c r="X5600">
        <f t="shared" si="2604"/>
        <v>2009</v>
      </c>
    </row>
    <row r="5601" spans="1:24" ht="12" customHeight="1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  <c r="V5601">
        <f t="shared" si="2606"/>
        <v>27</v>
      </c>
      <c r="W5601">
        <f t="shared" si="2603"/>
        <v>12</v>
      </c>
      <c r="X5601">
        <f t="shared" si="2604"/>
        <v>2012</v>
      </c>
    </row>
    <row r="5602" spans="1:24" ht="12" customHeight="1">
      <c r="A5602" s="4">
        <v>697</v>
      </c>
      <c r="B5602" s="4">
        <v>4871</v>
      </c>
      <c r="C5602" s="5">
        <f t="shared" ref="C5602:C5603" si="2617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  <c r="V5602">
        <f t="shared" si="2606"/>
        <v>13</v>
      </c>
      <c r="W5602">
        <f t="shared" si="2603"/>
        <v>6</v>
      </c>
      <c r="X5602">
        <f t="shared" si="2604"/>
        <v>2011</v>
      </c>
    </row>
    <row r="5603" spans="1:24" ht="12" customHeight="1">
      <c r="A5603" s="4">
        <v>698</v>
      </c>
      <c r="B5603" s="4">
        <v>4871</v>
      </c>
      <c r="C5603" s="5">
        <f t="shared" si="2617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  <c r="V5603">
        <f t="shared" si="2606"/>
        <v>14</v>
      </c>
      <c r="W5603">
        <f t="shared" si="2603"/>
        <v>6</v>
      </c>
      <c r="X5603">
        <f t="shared" si="2604"/>
        <v>2011</v>
      </c>
    </row>
    <row r="5604" spans="1:24" ht="12" customHeight="1">
      <c r="A5604" s="4">
        <v>866</v>
      </c>
      <c r="B5604" s="4">
        <v>6211</v>
      </c>
      <c r="C5604" s="5">
        <f t="shared" ref="C5604:C5605" si="2618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619">C5604+2</f>
        <v>40142</v>
      </c>
      <c r="V5604">
        <f t="shared" si="2606"/>
        <v>25</v>
      </c>
      <c r="W5604">
        <f t="shared" si="2603"/>
        <v>11</v>
      </c>
      <c r="X5604">
        <f t="shared" si="2604"/>
        <v>2009</v>
      </c>
    </row>
    <row r="5605" spans="1:24" ht="12" customHeight="1">
      <c r="A5605" s="4">
        <v>867</v>
      </c>
      <c r="B5605" s="4">
        <v>6211</v>
      </c>
      <c r="C5605" s="5">
        <f t="shared" si="2618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619"/>
        <v>40142</v>
      </c>
      <c r="V5605">
        <f t="shared" si="2606"/>
        <v>25</v>
      </c>
      <c r="W5605">
        <f t="shared" si="2603"/>
        <v>11</v>
      </c>
      <c r="X5605">
        <f t="shared" si="2604"/>
        <v>2009</v>
      </c>
    </row>
    <row r="5606" spans="1:24" ht="12" customHeight="1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619"/>
        <v>40493</v>
      </c>
      <c r="V5606">
        <f t="shared" si="2606"/>
        <v>11</v>
      </c>
      <c r="W5606">
        <f t="shared" si="2603"/>
        <v>11</v>
      </c>
      <c r="X5606">
        <f t="shared" si="2604"/>
        <v>2010</v>
      </c>
    </row>
    <row r="5607" spans="1:24" ht="12" customHeight="1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  <c r="V5607">
        <f t="shared" si="2606"/>
        <v>27</v>
      </c>
      <c r="W5607">
        <f t="shared" si="2603"/>
        <v>2</v>
      </c>
      <c r="X5607">
        <f t="shared" si="2604"/>
        <v>2011</v>
      </c>
    </row>
    <row r="5608" spans="1:24" ht="12" customHeight="1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  <c r="V5608">
        <f t="shared" si="2606"/>
        <v>10</v>
      </c>
      <c r="W5608">
        <f t="shared" si="2603"/>
        <v>8</v>
      </c>
      <c r="X5608">
        <f t="shared" si="2604"/>
        <v>2010</v>
      </c>
    </row>
    <row r="5609" spans="1:24" ht="12" customHeight="1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620">C5609+2</f>
        <v>40576</v>
      </c>
      <c r="V5609">
        <f t="shared" si="2606"/>
        <v>2</v>
      </c>
      <c r="W5609">
        <f t="shared" si="2603"/>
        <v>2</v>
      </c>
      <c r="X5609">
        <f t="shared" si="2604"/>
        <v>2011</v>
      </c>
    </row>
    <row r="5610" spans="1:24" ht="12" customHeight="1">
      <c r="A5610" s="4">
        <v>1315</v>
      </c>
      <c r="B5610" s="4">
        <v>9637</v>
      </c>
      <c r="C5610" s="5">
        <f t="shared" ref="C5610:C5612" si="2621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620"/>
        <v>39818</v>
      </c>
      <c r="V5610">
        <f t="shared" si="2606"/>
        <v>5</v>
      </c>
      <c r="W5610">
        <f t="shared" si="2603"/>
        <v>1</v>
      </c>
      <c r="X5610">
        <f t="shared" si="2604"/>
        <v>2009</v>
      </c>
    </row>
    <row r="5611" spans="1:24" ht="12" customHeight="1">
      <c r="A5611" s="4">
        <v>1316</v>
      </c>
      <c r="B5611" s="4">
        <v>9637</v>
      </c>
      <c r="C5611" s="5">
        <f t="shared" si="2621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  <c r="V5611">
        <f t="shared" si="2606"/>
        <v>10</v>
      </c>
      <c r="W5611">
        <f t="shared" si="2603"/>
        <v>1</v>
      </c>
      <c r="X5611">
        <f t="shared" si="2604"/>
        <v>2009</v>
      </c>
    </row>
    <row r="5612" spans="1:24" ht="12" customHeight="1">
      <c r="A5612" s="4">
        <v>1317</v>
      </c>
      <c r="B5612" s="4">
        <v>9637</v>
      </c>
      <c r="C5612" s="5">
        <f t="shared" si="2621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  <c r="V5612">
        <f t="shared" si="2606"/>
        <v>7</v>
      </c>
      <c r="W5612">
        <f t="shared" si="2603"/>
        <v>1</v>
      </c>
      <c r="X5612">
        <f t="shared" si="2604"/>
        <v>2009</v>
      </c>
    </row>
    <row r="5613" spans="1:24" ht="12" customHeight="1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  <c r="V5613">
        <f t="shared" si="2606"/>
        <v>14</v>
      </c>
      <c r="W5613">
        <f t="shared" si="2603"/>
        <v>9</v>
      </c>
      <c r="X5613">
        <f t="shared" si="2604"/>
        <v>2011</v>
      </c>
    </row>
    <row r="5614" spans="1:24" ht="12" customHeight="1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622">C5614+1</f>
        <v>40513</v>
      </c>
      <c r="V5614">
        <f t="shared" si="2606"/>
        <v>1</v>
      </c>
      <c r="W5614">
        <f t="shared" si="2603"/>
        <v>12</v>
      </c>
      <c r="X5614">
        <f t="shared" si="2604"/>
        <v>2010</v>
      </c>
    </row>
    <row r="5615" spans="1:24" ht="12" customHeight="1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622"/>
        <v>40998</v>
      </c>
      <c r="V5615">
        <f t="shared" si="2606"/>
        <v>30</v>
      </c>
      <c r="W5615">
        <f t="shared" si="2603"/>
        <v>3</v>
      </c>
      <c r="X5615">
        <f t="shared" si="2604"/>
        <v>2012</v>
      </c>
    </row>
    <row r="5616" spans="1:24" ht="12" customHeight="1">
      <c r="A5616" s="4">
        <v>1760</v>
      </c>
      <c r="B5616" s="4">
        <v>12613</v>
      </c>
      <c r="C5616" s="5">
        <f t="shared" ref="C5616:C5618" si="2623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  <c r="V5616">
        <f t="shared" si="2606"/>
        <v>13</v>
      </c>
      <c r="W5616">
        <f t="shared" si="2603"/>
        <v>4</v>
      </c>
      <c r="X5616">
        <f t="shared" si="2604"/>
        <v>2010</v>
      </c>
    </row>
    <row r="5617" spans="1:24" ht="12" customHeight="1">
      <c r="A5617" s="4">
        <v>1761</v>
      </c>
      <c r="B5617" s="4">
        <v>12613</v>
      </c>
      <c r="C5617" s="5">
        <f t="shared" si="2623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624">C5617+1</f>
        <v>40279</v>
      </c>
      <c r="V5617">
        <f t="shared" si="2606"/>
        <v>11</v>
      </c>
      <c r="W5617">
        <f t="shared" si="2603"/>
        <v>4</v>
      </c>
      <c r="X5617">
        <f t="shared" si="2604"/>
        <v>2010</v>
      </c>
    </row>
    <row r="5618" spans="1:24" ht="12" customHeight="1">
      <c r="A5618" s="4">
        <v>1762</v>
      </c>
      <c r="B5618" s="4">
        <v>12613</v>
      </c>
      <c r="C5618" s="5">
        <f t="shared" si="2623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624"/>
        <v>40279</v>
      </c>
      <c r="V5618">
        <f t="shared" si="2606"/>
        <v>11</v>
      </c>
      <c r="W5618">
        <f t="shared" si="2603"/>
        <v>4</v>
      </c>
      <c r="X5618">
        <f t="shared" si="2604"/>
        <v>2010</v>
      </c>
    </row>
    <row r="5619" spans="1:24" ht="12" customHeight="1">
      <c r="A5619" s="4">
        <v>1776</v>
      </c>
      <c r="B5619" s="4">
        <v>12711</v>
      </c>
      <c r="C5619" s="5">
        <f t="shared" ref="C5619:C5620" si="2625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624"/>
        <v>40959</v>
      </c>
      <c r="V5619">
        <f t="shared" si="2606"/>
        <v>20</v>
      </c>
      <c r="W5619">
        <f t="shared" si="2603"/>
        <v>2</v>
      </c>
      <c r="X5619">
        <f t="shared" si="2604"/>
        <v>2012</v>
      </c>
    </row>
    <row r="5620" spans="1:24" ht="12" customHeight="1">
      <c r="A5620" s="4">
        <v>1777</v>
      </c>
      <c r="B5620" s="4">
        <v>12711</v>
      </c>
      <c r="C5620" s="5">
        <f t="shared" si="2625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624"/>
        <v>40959</v>
      </c>
      <c r="V5620">
        <f t="shared" si="2606"/>
        <v>20</v>
      </c>
      <c r="W5620">
        <f t="shared" si="2603"/>
        <v>2</v>
      </c>
      <c r="X5620">
        <f t="shared" si="2604"/>
        <v>2012</v>
      </c>
    </row>
    <row r="5621" spans="1:24" ht="12" customHeight="1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  <c r="V5621">
        <f t="shared" si="2606"/>
        <v>8</v>
      </c>
      <c r="W5621">
        <f t="shared" si="2603"/>
        <v>8</v>
      </c>
      <c r="X5621">
        <f t="shared" si="2604"/>
        <v>2012</v>
      </c>
    </row>
    <row r="5622" spans="1:24" ht="12" customHeight="1">
      <c r="A5622" s="4">
        <v>1924</v>
      </c>
      <c r="B5622" s="4">
        <v>13767</v>
      </c>
      <c r="C5622" s="5">
        <f t="shared" ref="C5622:C5624" si="2626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627">C5622+2</f>
        <v>40418</v>
      </c>
      <c r="V5622">
        <f t="shared" si="2606"/>
        <v>28</v>
      </c>
      <c r="W5622">
        <f t="shared" si="2603"/>
        <v>8</v>
      </c>
      <c r="X5622">
        <f t="shared" si="2604"/>
        <v>2010</v>
      </c>
    </row>
    <row r="5623" spans="1:24" ht="12" customHeight="1">
      <c r="A5623" s="4">
        <v>1925</v>
      </c>
      <c r="B5623" s="4">
        <v>13767</v>
      </c>
      <c r="C5623" s="5">
        <f t="shared" si="2626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627"/>
        <v>40418</v>
      </c>
      <c r="V5623">
        <f t="shared" si="2606"/>
        <v>28</v>
      </c>
      <c r="W5623">
        <f t="shared" si="2603"/>
        <v>8</v>
      </c>
      <c r="X5623">
        <f t="shared" si="2604"/>
        <v>2010</v>
      </c>
    </row>
    <row r="5624" spans="1:24" ht="12" customHeight="1">
      <c r="A5624" s="4">
        <v>1926</v>
      </c>
      <c r="B5624" s="4">
        <v>13767</v>
      </c>
      <c r="C5624" s="5">
        <f t="shared" si="2626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  <c r="V5624">
        <f t="shared" si="2606"/>
        <v>27</v>
      </c>
      <c r="W5624">
        <f t="shared" si="2603"/>
        <v>8</v>
      </c>
      <c r="X5624">
        <f t="shared" si="2604"/>
        <v>2010</v>
      </c>
    </row>
    <row r="5625" spans="1:24" ht="12" customHeight="1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  <c r="V5625">
        <f t="shared" si="2606"/>
        <v>26</v>
      </c>
      <c r="W5625">
        <f t="shared" si="2603"/>
        <v>8</v>
      </c>
      <c r="X5625">
        <f t="shared" si="2604"/>
        <v>2011</v>
      </c>
    </row>
    <row r="5626" spans="1:24" ht="12" customHeight="1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  <c r="V5626">
        <f t="shared" si="2606"/>
        <v>2</v>
      </c>
      <c r="W5626">
        <f t="shared" si="2603"/>
        <v>10</v>
      </c>
      <c r="X5626">
        <f t="shared" si="2604"/>
        <v>2012</v>
      </c>
    </row>
    <row r="5627" spans="1:24" ht="12" customHeight="1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  <c r="V5627">
        <f t="shared" si="2606"/>
        <v>14</v>
      </c>
      <c r="W5627">
        <f t="shared" si="2603"/>
        <v>1</v>
      </c>
      <c r="X5627">
        <f t="shared" si="2604"/>
        <v>2011</v>
      </c>
    </row>
    <row r="5628" spans="1:24" ht="12" customHeight="1">
      <c r="A5628" s="4">
        <v>2953</v>
      </c>
      <c r="B5628" s="4">
        <v>21382</v>
      </c>
      <c r="C5628" s="5">
        <f t="shared" ref="C5628:C5629" si="2628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629">C5628+2</f>
        <v>40922</v>
      </c>
      <c r="V5628">
        <f t="shared" si="2606"/>
        <v>14</v>
      </c>
      <c r="W5628">
        <f t="shared" si="2603"/>
        <v>1</v>
      </c>
      <c r="X5628">
        <f t="shared" si="2604"/>
        <v>2012</v>
      </c>
    </row>
    <row r="5629" spans="1:24" ht="12" customHeight="1">
      <c r="A5629" s="4">
        <v>2954</v>
      </c>
      <c r="B5629" s="4">
        <v>21382</v>
      </c>
      <c r="C5629" s="5">
        <f t="shared" si="2628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629"/>
        <v>40922</v>
      </c>
      <c r="V5629">
        <f t="shared" si="2606"/>
        <v>14</v>
      </c>
      <c r="W5629">
        <f t="shared" si="2603"/>
        <v>1</v>
      </c>
      <c r="X5629">
        <f t="shared" si="2604"/>
        <v>2012</v>
      </c>
    </row>
    <row r="5630" spans="1:24" ht="12" customHeight="1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630">C5630+1</f>
        <v>41016</v>
      </c>
      <c r="V5630">
        <f t="shared" si="2606"/>
        <v>17</v>
      </c>
      <c r="W5630">
        <f t="shared" si="2603"/>
        <v>4</v>
      </c>
      <c r="X5630">
        <f t="shared" si="2604"/>
        <v>2012</v>
      </c>
    </row>
    <row r="5631" spans="1:24" ht="12" customHeight="1">
      <c r="A5631" s="4">
        <v>3120</v>
      </c>
      <c r="B5631" s="4">
        <v>22407</v>
      </c>
      <c r="C5631" s="5">
        <f t="shared" ref="C5631:C5633" si="2631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630"/>
        <v>40135</v>
      </c>
      <c r="V5631">
        <f t="shared" si="2606"/>
        <v>18</v>
      </c>
      <c r="W5631">
        <f t="shared" si="2603"/>
        <v>11</v>
      </c>
      <c r="X5631">
        <f t="shared" si="2604"/>
        <v>2009</v>
      </c>
    </row>
    <row r="5632" spans="1:24" ht="12" customHeight="1">
      <c r="A5632" s="4">
        <v>3121</v>
      </c>
      <c r="B5632" s="4">
        <v>22407</v>
      </c>
      <c r="C5632" s="5">
        <f t="shared" si="2631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  <c r="V5632">
        <f t="shared" si="2606"/>
        <v>17</v>
      </c>
      <c r="W5632">
        <f t="shared" si="2603"/>
        <v>11</v>
      </c>
      <c r="X5632">
        <f t="shared" si="2604"/>
        <v>2009</v>
      </c>
    </row>
    <row r="5633" spans="1:24" ht="12" customHeight="1">
      <c r="A5633" s="4">
        <v>3122</v>
      </c>
      <c r="B5633" s="4">
        <v>22407</v>
      </c>
      <c r="C5633" s="5">
        <f t="shared" si="2631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632">C5633+2</f>
        <v>40136</v>
      </c>
      <c r="V5633">
        <f t="shared" si="2606"/>
        <v>19</v>
      </c>
      <c r="W5633">
        <f t="shared" si="2603"/>
        <v>11</v>
      </c>
      <c r="X5633">
        <f t="shared" si="2604"/>
        <v>2009</v>
      </c>
    </row>
    <row r="5634" spans="1:24" ht="12" customHeight="1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632"/>
        <v>40965</v>
      </c>
      <c r="V5634">
        <f t="shared" si="2606"/>
        <v>26</v>
      </c>
      <c r="W5634">
        <f t="shared" si="2603"/>
        <v>2</v>
      </c>
      <c r="X5634">
        <f t="shared" si="2604"/>
        <v>2012</v>
      </c>
    </row>
    <row r="5635" spans="1:24" ht="12" customHeight="1">
      <c r="A5635" s="4">
        <v>3586</v>
      </c>
      <c r="B5635" s="4">
        <v>25574</v>
      </c>
      <c r="C5635" s="5">
        <f t="shared" ref="C5635:C5636" si="2633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  <c r="V5635">
        <f t="shared" si="2606"/>
        <v>12</v>
      </c>
      <c r="W5635">
        <f t="shared" ref="W5635:W5698" si="2634">MONTH(U5635)</f>
        <v>3</v>
      </c>
      <c r="X5635">
        <f t="shared" ref="X5635:X5698" si="2635">YEAR(U5635)</f>
        <v>2009</v>
      </c>
    </row>
    <row r="5636" spans="1:24" ht="12" customHeight="1">
      <c r="A5636" s="4">
        <v>3587</v>
      </c>
      <c r="B5636" s="4">
        <v>25574</v>
      </c>
      <c r="C5636" s="5">
        <f t="shared" si="2633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  <c r="V5636">
        <f t="shared" ref="V5636:V5699" si="2636">DAY(U5636)</f>
        <v>13</v>
      </c>
      <c r="W5636">
        <f t="shared" si="2634"/>
        <v>3</v>
      </c>
      <c r="X5636">
        <f t="shared" si="2635"/>
        <v>2009</v>
      </c>
    </row>
    <row r="5637" spans="1:24" ht="12" customHeight="1">
      <c r="A5637" s="4">
        <v>3678</v>
      </c>
      <c r="B5637" s="4">
        <v>26310</v>
      </c>
      <c r="C5637" s="5">
        <f t="shared" ref="C5637:C5638" si="2637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  <c r="V5637">
        <f t="shared" si="2636"/>
        <v>31</v>
      </c>
      <c r="W5637">
        <f t="shared" si="2634"/>
        <v>7</v>
      </c>
      <c r="X5637">
        <f t="shared" si="2635"/>
        <v>2012</v>
      </c>
    </row>
    <row r="5638" spans="1:24" ht="12" customHeight="1">
      <c r="A5638" s="4">
        <v>3679</v>
      </c>
      <c r="B5638" s="4">
        <v>26310</v>
      </c>
      <c r="C5638" s="5">
        <f t="shared" si="2637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  <c r="V5638">
        <f t="shared" si="2636"/>
        <v>30</v>
      </c>
      <c r="W5638">
        <f t="shared" si="2634"/>
        <v>7</v>
      </c>
      <c r="X5638">
        <f t="shared" si="2635"/>
        <v>2012</v>
      </c>
    </row>
    <row r="5639" spans="1:24" ht="12" customHeight="1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  <c r="V5639">
        <f t="shared" si="2636"/>
        <v>1</v>
      </c>
      <c r="W5639">
        <f t="shared" si="2634"/>
        <v>8</v>
      </c>
      <c r="X5639">
        <f t="shared" si="2635"/>
        <v>2012</v>
      </c>
    </row>
    <row r="5640" spans="1:24" ht="12" customHeight="1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  <c r="V5640">
        <f t="shared" si="2636"/>
        <v>24</v>
      </c>
      <c r="W5640">
        <f t="shared" si="2634"/>
        <v>4</v>
      </c>
      <c r="X5640">
        <f t="shared" si="2635"/>
        <v>2011</v>
      </c>
    </row>
    <row r="5641" spans="1:24" ht="12" customHeight="1">
      <c r="A5641" s="4">
        <v>4364</v>
      </c>
      <c r="B5641" s="4">
        <v>31106</v>
      </c>
      <c r="C5641" s="5">
        <f t="shared" ref="C5641:C5644" si="2638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  <c r="V5641">
        <f t="shared" si="2636"/>
        <v>16</v>
      </c>
      <c r="W5641">
        <f t="shared" si="2634"/>
        <v>2</v>
      </c>
      <c r="X5641">
        <f t="shared" si="2635"/>
        <v>2012</v>
      </c>
    </row>
    <row r="5642" spans="1:24" ht="12" customHeight="1">
      <c r="A5642" s="4">
        <v>4365</v>
      </c>
      <c r="B5642" s="4">
        <v>31106</v>
      </c>
      <c r="C5642" s="5">
        <f t="shared" si="2638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  <c r="V5642">
        <f t="shared" si="2636"/>
        <v>21</v>
      </c>
      <c r="W5642">
        <f t="shared" si="2634"/>
        <v>2</v>
      </c>
      <c r="X5642">
        <f t="shared" si="2635"/>
        <v>2012</v>
      </c>
    </row>
    <row r="5643" spans="1:24" ht="12" customHeight="1">
      <c r="A5643" s="4">
        <v>4366</v>
      </c>
      <c r="B5643" s="4">
        <v>31106</v>
      </c>
      <c r="C5643" s="5">
        <f t="shared" si="2638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  <c r="V5643">
        <f t="shared" si="2636"/>
        <v>18</v>
      </c>
      <c r="W5643">
        <f t="shared" si="2634"/>
        <v>2</v>
      </c>
      <c r="X5643">
        <f t="shared" si="2635"/>
        <v>2012</v>
      </c>
    </row>
    <row r="5644" spans="1:24" ht="12" customHeight="1">
      <c r="A5644" s="4">
        <v>4367</v>
      </c>
      <c r="B5644" s="4">
        <v>31106</v>
      </c>
      <c r="C5644" s="5">
        <f t="shared" si="2638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  <c r="V5644">
        <f t="shared" si="2636"/>
        <v>23</v>
      </c>
      <c r="W5644">
        <f t="shared" si="2634"/>
        <v>2</v>
      </c>
      <c r="X5644">
        <f t="shared" si="2635"/>
        <v>2012</v>
      </c>
    </row>
    <row r="5645" spans="1:24" ht="12" customHeight="1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  <c r="V5645">
        <f t="shared" si="2636"/>
        <v>2</v>
      </c>
      <c r="W5645">
        <f t="shared" si="2634"/>
        <v>2</v>
      </c>
      <c r="X5645">
        <f t="shared" si="2635"/>
        <v>2011</v>
      </c>
    </row>
    <row r="5646" spans="1:24" ht="12" customHeight="1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  <c r="V5646">
        <f t="shared" si="2636"/>
        <v>29</v>
      </c>
      <c r="W5646">
        <f t="shared" si="2634"/>
        <v>1</v>
      </c>
      <c r="X5646">
        <f t="shared" si="2635"/>
        <v>2012</v>
      </c>
    </row>
    <row r="5647" spans="1:24" ht="12" customHeight="1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  <c r="V5647">
        <f t="shared" si="2636"/>
        <v>29</v>
      </c>
      <c r="W5647">
        <f t="shared" si="2634"/>
        <v>11</v>
      </c>
      <c r="X5647">
        <f t="shared" si="2635"/>
        <v>2011</v>
      </c>
    </row>
    <row r="5648" spans="1:24" ht="12" customHeight="1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639">C5648+2</f>
        <v>40732</v>
      </c>
      <c r="V5648">
        <f t="shared" si="2636"/>
        <v>8</v>
      </c>
      <c r="W5648">
        <f t="shared" si="2634"/>
        <v>7</v>
      </c>
      <c r="X5648">
        <f t="shared" si="2635"/>
        <v>2011</v>
      </c>
    </row>
    <row r="5649" spans="1:24" ht="12" customHeight="1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639"/>
        <v>41055</v>
      </c>
      <c r="V5649">
        <f t="shared" si="2636"/>
        <v>26</v>
      </c>
      <c r="W5649">
        <f t="shared" si="2634"/>
        <v>5</v>
      </c>
      <c r="X5649">
        <f t="shared" si="2635"/>
        <v>2012</v>
      </c>
    </row>
    <row r="5650" spans="1:24" ht="12" customHeight="1">
      <c r="A5650" s="4">
        <v>5069</v>
      </c>
      <c r="B5650" s="4">
        <v>36131</v>
      </c>
      <c r="C5650" s="5">
        <f t="shared" ref="C5650:C5651" si="2640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639"/>
        <v>39952</v>
      </c>
      <c r="V5650">
        <f t="shared" si="2636"/>
        <v>19</v>
      </c>
      <c r="W5650">
        <f t="shared" si="2634"/>
        <v>5</v>
      </c>
      <c r="X5650">
        <f t="shared" si="2635"/>
        <v>2009</v>
      </c>
    </row>
    <row r="5651" spans="1:24" ht="12" customHeight="1">
      <c r="A5651" s="4">
        <v>5070</v>
      </c>
      <c r="B5651" s="4">
        <v>36131</v>
      </c>
      <c r="C5651" s="5">
        <f t="shared" si="2640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  <c r="V5651">
        <f t="shared" si="2636"/>
        <v>18</v>
      </c>
      <c r="W5651">
        <f t="shared" si="2634"/>
        <v>5</v>
      </c>
      <c r="X5651">
        <f t="shared" si="2635"/>
        <v>2009</v>
      </c>
    </row>
    <row r="5652" spans="1:24" ht="12" customHeight="1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  <c r="V5652">
        <f t="shared" si="2636"/>
        <v>9</v>
      </c>
      <c r="W5652">
        <f t="shared" si="2634"/>
        <v>12</v>
      </c>
      <c r="X5652">
        <f t="shared" si="2635"/>
        <v>2009</v>
      </c>
    </row>
    <row r="5653" spans="1:24" ht="12" customHeight="1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  <c r="V5653">
        <f t="shared" si="2636"/>
        <v>3</v>
      </c>
      <c r="W5653">
        <f t="shared" si="2634"/>
        <v>4</v>
      </c>
      <c r="X5653">
        <f t="shared" si="2635"/>
        <v>2010</v>
      </c>
    </row>
    <row r="5654" spans="1:24" ht="12" customHeight="1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  <c r="V5654">
        <f t="shared" si="2636"/>
        <v>6</v>
      </c>
      <c r="W5654">
        <f t="shared" si="2634"/>
        <v>4</v>
      </c>
      <c r="X5654">
        <f t="shared" si="2635"/>
        <v>2012</v>
      </c>
    </row>
    <row r="5655" spans="1:24" ht="12" customHeight="1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641">C5655+1</f>
        <v>40505</v>
      </c>
      <c r="V5655">
        <f t="shared" si="2636"/>
        <v>23</v>
      </c>
      <c r="W5655">
        <f t="shared" si="2634"/>
        <v>11</v>
      </c>
      <c r="X5655">
        <f t="shared" si="2635"/>
        <v>2010</v>
      </c>
    </row>
    <row r="5656" spans="1:24" ht="12" customHeight="1">
      <c r="A5656" s="4">
        <v>6143</v>
      </c>
      <c r="B5656" s="4">
        <v>43493</v>
      </c>
      <c r="C5656" s="5">
        <f t="shared" ref="C5656:C5658" si="2642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641"/>
        <v>41040</v>
      </c>
      <c r="V5656">
        <f t="shared" si="2636"/>
        <v>11</v>
      </c>
      <c r="W5656">
        <f t="shared" si="2634"/>
        <v>5</v>
      </c>
      <c r="X5656">
        <f t="shared" si="2635"/>
        <v>2012</v>
      </c>
    </row>
    <row r="5657" spans="1:24" ht="12" customHeight="1">
      <c r="A5657" s="4">
        <v>6144</v>
      </c>
      <c r="B5657" s="4">
        <v>43493</v>
      </c>
      <c r="C5657" s="5">
        <f t="shared" si="2642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  <c r="V5657">
        <f t="shared" si="2636"/>
        <v>12</v>
      </c>
      <c r="W5657">
        <f t="shared" si="2634"/>
        <v>5</v>
      </c>
      <c r="X5657">
        <f t="shared" si="2635"/>
        <v>2012</v>
      </c>
    </row>
    <row r="5658" spans="1:24" ht="12" customHeight="1">
      <c r="A5658" s="4">
        <v>6145</v>
      </c>
      <c r="B5658" s="4">
        <v>43493</v>
      </c>
      <c r="C5658" s="5">
        <f t="shared" si="2642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  <c r="V5658">
        <f t="shared" si="2636"/>
        <v>13</v>
      </c>
      <c r="W5658">
        <f t="shared" si="2634"/>
        <v>5</v>
      </c>
      <c r="X5658">
        <f t="shared" si="2635"/>
        <v>2012</v>
      </c>
    </row>
    <row r="5659" spans="1:24" ht="12" customHeight="1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643">C5659+2</f>
        <v>41095</v>
      </c>
      <c r="V5659">
        <f t="shared" si="2636"/>
        <v>5</v>
      </c>
      <c r="W5659">
        <f t="shared" si="2634"/>
        <v>7</v>
      </c>
      <c r="X5659">
        <f t="shared" si="2635"/>
        <v>2012</v>
      </c>
    </row>
    <row r="5660" spans="1:24" ht="12" customHeight="1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643"/>
        <v>40888</v>
      </c>
      <c r="V5660">
        <f t="shared" si="2636"/>
        <v>11</v>
      </c>
      <c r="W5660">
        <f t="shared" si="2634"/>
        <v>12</v>
      </c>
      <c r="X5660">
        <f t="shared" si="2635"/>
        <v>2011</v>
      </c>
    </row>
    <row r="5661" spans="1:24" ht="12" customHeight="1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  <c r="V5661">
        <f t="shared" si="2636"/>
        <v>31</v>
      </c>
      <c r="W5661">
        <f t="shared" si="2634"/>
        <v>12</v>
      </c>
      <c r="X5661">
        <f t="shared" si="2635"/>
        <v>2011</v>
      </c>
    </row>
    <row r="5662" spans="1:24" ht="12" customHeight="1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  <c r="V5662">
        <f t="shared" si="2636"/>
        <v>12</v>
      </c>
      <c r="W5662">
        <f t="shared" si="2634"/>
        <v>7</v>
      </c>
      <c r="X5662">
        <f t="shared" si="2635"/>
        <v>2012</v>
      </c>
    </row>
    <row r="5663" spans="1:24" ht="12" customHeight="1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  <c r="V5663">
        <f t="shared" si="2636"/>
        <v>30</v>
      </c>
      <c r="W5663">
        <f t="shared" si="2634"/>
        <v>12</v>
      </c>
      <c r="X5663">
        <f t="shared" si="2635"/>
        <v>2009</v>
      </c>
    </row>
    <row r="5664" spans="1:24" ht="12" customHeight="1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644">C5664+2</f>
        <v>40094</v>
      </c>
      <c r="V5664">
        <f t="shared" si="2636"/>
        <v>8</v>
      </c>
      <c r="W5664">
        <f t="shared" si="2634"/>
        <v>10</v>
      </c>
      <c r="X5664">
        <f t="shared" si="2635"/>
        <v>2009</v>
      </c>
    </row>
    <row r="5665" spans="1:24" ht="12" customHeight="1">
      <c r="A5665" s="4">
        <v>6601</v>
      </c>
      <c r="B5665" s="4">
        <v>46979</v>
      </c>
      <c r="C5665" s="5">
        <f t="shared" ref="C5665:C5666" si="2645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644"/>
        <v>41108</v>
      </c>
      <c r="V5665">
        <f t="shared" si="2636"/>
        <v>18</v>
      </c>
      <c r="W5665">
        <f t="shared" si="2634"/>
        <v>7</v>
      </c>
      <c r="X5665">
        <f t="shared" si="2635"/>
        <v>2012</v>
      </c>
    </row>
    <row r="5666" spans="1:24" ht="12" customHeight="1">
      <c r="A5666" s="4">
        <v>6602</v>
      </c>
      <c r="B5666" s="4">
        <v>46979</v>
      </c>
      <c r="C5666" s="5">
        <f t="shared" si="2645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  <c r="V5666">
        <f t="shared" si="2636"/>
        <v>25</v>
      </c>
      <c r="W5666">
        <f t="shared" si="2634"/>
        <v>7</v>
      </c>
      <c r="X5666">
        <f t="shared" si="2635"/>
        <v>2012</v>
      </c>
    </row>
    <row r="5667" spans="1:24" ht="12" customHeight="1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646">C5667+1</f>
        <v>40407</v>
      </c>
      <c r="V5667">
        <f t="shared" si="2636"/>
        <v>17</v>
      </c>
      <c r="W5667">
        <f t="shared" si="2634"/>
        <v>8</v>
      </c>
      <c r="X5667">
        <f t="shared" si="2635"/>
        <v>2010</v>
      </c>
    </row>
    <row r="5668" spans="1:24" ht="12" customHeight="1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646"/>
        <v>40481</v>
      </c>
      <c r="V5668">
        <f t="shared" si="2636"/>
        <v>30</v>
      </c>
      <c r="W5668">
        <f t="shared" si="2634"/>
        <v>10</v>
      </c>
      <c r="X5668">
        <f t="shared" si="2635"/>
        <v>2010</v>
      </c>
    </row>
    <row r="5669" spans="1:24" ht="12" customHeight="1">
      <c r="A5669" s="4">
        <v>7255</v>
      </c>
      <c r="B5669" s="4">
        <v>51780</v>
      </c>
      <c r="C5669" s="5">
        <f t="shared" ref="C5669:C5671" si="2647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  <c r="V5669">
        <f t="shared" si="2636"/>
        <v>26</v>
      </c>
      <c r="W5669">
        <f t="shared" si="2634"/>
        <v>7</v>
      </c>
      <c r="X5669">
        <f t="shared" si="2635"/>
        <v>2010</v>
      </c>
    </row>
    <row r="5670" spans="1:24" ht="12" customHeight="1">
      <c r="A5670" s="4">
        <v>7256</v>
      </c>
      <c r="B5670" s="4">
        <v>51780</v>
      </c>
      <c r="C5670" s="5">
        <f t="shared" si="2647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  <c r="V5670">
        <f t="shared" si="2636"/>
        <v>31</v>
      </c>
      <c r="W5670">
        <f t="shared" si="2634"/>
        <v>7</v>
      </c>
      <c r="X5670">
        <f t="shared" si="2635"/>
        <v>2010</v>
      </c>
    </row>
    <row r="5671" spans="1:24" ht="12" customHeight="1">
      <c r="A5671" s="4">
        <v>7257</v>
      </c>
      <c r="B5671" s="4">
        <v>51780</v>
      </c>
      <c r="C5671" s="5">
        <f t="shared" si="2647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648">C5671+0</f>
        <v>40383</v>
      </c>
      <c r="V5671">
        <f t="shared" si="2636"/>
        <v>24</v>
      </c>
      <c r="W5671">
        <f t="shared" si="2634"/>
        <v>7</v>
      </c>
      <c r="X5671">
        <f t="shared" si="2635"/>
        <v>2010</v>
      </c>
    </row>
    <row r="5672" spans="1:24" ht="12" customHeight="1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648"/>
        <v>39978</v>
      </c>
      <c r="V5672">
        <f t="shared" si="2636"/>
        <v>14</v>
      </c>
      <c r="W5672">
        <f t="shared" si="2634"/>
        <v>6</v>
      </c>
      <c r="X5672">
        <f t="shared" si="2635"/>
        <v>2009</v>
      </c>
    </row>
    <row r="5673" spans="1:24" ht="12" customHeight="1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  <c r="V5673">
        <f t="shared" si="2636"/>
        <v>12</v>
      </c>
      <c r="W5673">
        <f t="shared" si="2634"/>
        <v>9</v>
      </c>
      <c r="X5673">
        <f t="shared" si="2635"/>
        <v>2009</v>
      </c>
    </row>
    <row r="5674" spans="1:24" ht="12" customHeight="1">
      <c r="A5674" s="4">
        <v>7783</v>
      </c>
      <c r="B5674" s="4">
        <v>55686</v>
      </c>
      <c r="C5674" s="5">
        <f t="shared" ref="C5674:C5676" si="2649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650">C5674+2</f>
        <v>40629</v>
      </c>
      <c r="V5674">
        <f t="shared" si="2636"/>
        <v>27</v>
      </c>
      <c r="W5674">
        <f t="shared" si="2634"/>
        <v>3</v>
      </c>
      <c r="X5674">
        <f t="shared" si="2635"/>
        <v>2011</v>
      </c>
    </row>
    <row r="5675" spans="1:24" ht="12" customHeight="1">
      <c r="A5675" s="4">
        <v>7784</v>
      </c>
      <c r="B5675" s="4">
        <v>55686</v>
      </c>
      <c r="C5675" s="5">
        <f t="shared" si="2649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650"/>
        <v>40629</v>
      </c>
      <c r="V5675">
        <f t="shared" si="2636"/>
        <v>27</v>
      </c>
      <c r="W5675">
        <f t="shared" si="2634"/>
        <v>3</v>
      </c>
      <c r="X5675">
        <f t="shared" si="2635"/>
        <v>2011</v>
      </c>
    </row>
    <row r="5676" spans="1:24" ht="12" customHeight="1">
      <c r="A5676" s="4">
        <v>7785</v>
      </c>
      <c r="B5676" s="4">
        <v>55686</v>
      </c>
      <c r="C5676" s="5">
        <f t="shared" si="2649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651">C5676+3</f>
        <v>40630</v>
      </c>
      <c r="V5676">
        <f t="shared" si="2636"/>
        <v>28</v>
      </c>
      <c r="W5676">
        <f t="shared" si="2634"/>
        <v>3</v>
      </c>
      <c r="X5676">
        <f t="shared" si="2635"/>
        <v>2011</v>
      </c>
    </row>
    <row r="5677" spans="1:24" ht="12" customHeight="1">
      <c r="A5677" s="4">
        <v>7807</v>
      </c>
      <c r="B5677" s="4">
        <v>55847</v>
      </c>
      <c r="C5677" s="5">
        <f t="shared" ref="C5677:C5678" si="2652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651"/>
        <v>40017</v>
      </c>
      <c r="V5677">
        <f t="shared" si="2636"/>
        <v>23</v>
      </c>
      <c r="W5677">
        <f t="shared" si="2634"/>
        <v>7</v>
      </c>
      <c r="X5677">
        <f t="shared" si="2635"/>
        <v>2009</v>
      </c>
    </row>
    <row r="5678" spans="1:24" ht="12" customHeight="1">
      <c r="A5678" s="4">
        <v>7808</v>
      </c>
      <c r="B5678" s="4">
        <v>55847</v>
      </c>
      <c r="C5678" s="5">
        <f t="shared" si="2652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  <c r="V5678">
        <f t="shared" si="2636"/>
        <v>21</v>
      </c>
      <c r="W5678">
        <f t="shared" si="2634"/>
        <v>7</v>
      </c>
      <c r="X5678">
        <f t="shared" si="2635"/>
        <v>2009</v>
      </c>
    </row>
    <row r="5679" spans="1:24" ht="12" customHeight="1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  <c r="V5679">
        <f t="shared" si="2636"/>
        <v>12</v>
      </c>
      <c r="W5679">
        <f t="shared" si="2634"/>
        <v>10</v>
      </c>
      <c r="X5679">
        <f t="shared" si="2635"/>
        <v>2010</v>
      </c>
    </row>
    <row r="5680" spans="1:24" ht="12" customHeight="1">
      <c r="A5680" s="4">
        <v>7859</v>
      </c>
      <c r="B5680" s="4">
        <v>56197</v>
      </c>
      <c r="C5680" s="5">
        <f t="shared" ref="C5680:C5681" si="2653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  <c r="V5680">
        <f t="shared" si="2636"/>
        <v>13</v>
      </c>
      <c r="W5680">
        <f t="shared" si="2634"/>
        <v>5</v>
      </c>
      <c r="X5680">
        <f t="shared" si="2635"/>
        <v>2009</v>
      </c>
    </row>
    <row r="5681" spans="1:24" ht="12" customHeight="1">
      <c r="A5681" s="4">
        <v>7860</v>
      </c>
      <c r="B5681" s="4">
        <v>56197</v>
      </c>
      <c r="C5681" s="5">
        <f t="shared" si="2653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  <c r="V5681">
        <f t="shared" si="2636"/>
        <v>11</v>
      </c>
      <c r="W5681">
        <f t="shared" si="2634"/>
        <v>5</v>
      </c>
      <c r="X5681">
        <f t="shared" si="2635"/>
        <v>2009</v>
      </c>
    </row>
    <row r="5682" spans="1:24" ht="12" customHeight="1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654">C5682+2</f>
        <v>41159</v>
      </c>
      <c r="V5682">
        <f t="shared" si="2636"/>
        <v>7</v>
      </c>
      <c r="W5682">
        <f t="shared" si="2634"/>
        <v>9</v>
      </c>
      <c r="X5682">
        <f t="shared" si="2635"/>
        <v>2012</v>
      </c>
    </row>
    <row r="5683" spans="1:24" ht="12" customHeight="1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654"/>
        <v>39820</v>
      </c>
      <c r="V5683">
        <f t="shared" si="2636"/>
        <v>7</v>
      </c>
      <c r="W5683">
        <f t="shared" si="2634"/>
        <v>1</v>
      </c>
      <c r="X5683">
        <f t="shared" si="2635"/>
        <v>2009</v>
      </c>
    </row>
    <row r="5684" spans="1:24" ht="12" customHeight="1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655">C5684+0</f>
        <v>40422</v>
      </c>
      <c r="V5684">
        <f t="shared" si="2636"/>
        <v>1</v>
      </c>
      <c r="W5684">
        <f t="shared" si="2634"/>
        <v>9</v>
      </c>
      <c r="X5684">
        <f t="shared" si="2635"/>
        <v>2010</v>
      </c>
    </row>
    <row r="5685" spans="1:24" ht="12" customHeight="1">
      <c r="A5685" s="4">
        <v>8398</v>
      </c>
      <c r="B5685" s="4">
        <v>59973</v>
      </c>
      <c r="C5685" s="5">
        <f t="shared" ref="C5685:C5686" si="2656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655"/>
        <v>40862</v>
      </c>
      <c r="V5685">
        <f t="shared" si="2636"/>
        <v>15</v>
      </c>
      <c r="W5685">
        <f t="shared" si="2634"/>
        <v>11</v>
      </c>
      <c r="X5685">
        <f t="shared" si="2635"/>
        <v>2011</v>
      </c>
    </row>
    <row r="5686" spans="1:24" ht="12" customHeight="1">
      <c r="A5686" s="4">
        <v>8399</v>
      </c>
      <c r="B5686" s="4">
        <v>59973</v>
      </c>
      <c r="C5686" s="5">
        <f t="shared" si="2656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  <c r="V5686">
        <f t="shared" si="2636"/>
        <v>19</v>
      </c>
      <c r="W5686">
        <f t="shared" si="2634"/>
        <v>11</v>
      </c>
      <c r="X5686">
        <f t="shared" si="2635"/>
        <v>2011</v>
      </c>
    </row>
    <row r="5687" spans="1:24" ht="12" customHeight="1">
      <c r="A5687" s="4">
        <v>370</v>
      </c>
      <c r="B5687" s="4">
        <v>2563</v>
      </c>
      <c r="C5687" s="5">
        <f t="shared" ref="C5687:C5688" si="2657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658">C5687+1</f>
        <v>40501</v>
      </c>
      <c r="V5687">
        <f t="shared" si="2636"/>
        <v>19</v>
      </c>
      <c r="W5687">
        <f t="shared" si="2634"/>
        <v>11</v>
      </c>
      <c r="X5687">
        <f t="shared" si="2635"/>
        <v>2010</v>
      </c>
    </row>
    <row r="5688" spans="1:24" ht="12" customHeight="1">
      <c r="A5688" s="4">
        <v>371</v>
      </c>
      <c r="B5688" s="4">
        <v>2563</v>
      </c>
      <c r="C5688" s="5">
        <f t="shared" si="2657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658"/>
        <v>40501</v>
      </c>
      <c r="V5688">
        <f t="shared" si="2636"/>
        <v>19</v>
      </c>
      <c r="W5688">
        <f t="shared" si="2634"/>
        <v>11</v>
      </c>
      <c r="X5688">
        <f t="shared" si="2635"/>
        <v>2010</v>
      </c>
    </row>
    <row r="5689" spans="1:24" ht="12" customHeight="1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  <c r="V5689">
        <f t="shared" si="2636"/>
        <v>26</v>
      </c>
      <c r="W5689">
        <f t="shared" si="2634"/>
        <v>11</v>
      </c>
      <c r="X5689">
        <f t="shared" si="2635"/>
        <v>2010</v>
      </c>
    </row>
    <row r="5690" spans="1:24" ht="12" customHeight="1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  <c r="V5690">
        <f t="shared" si="2636"/>
        <v>16</v>
      </c>
      <c r="W5690">
        <f t="shared" si="2634"/>
        <v>10</v>
      </c>
      <c r="X5690">
        <f t="shared" si="2635"/>
        <v>2010</v>
      </c>
    </row>
    <row r="5691" spans="1:24" ht="12" customHeight="1">
      <c r="A5691" s="4">
        <v>1361</v>
      </c>
      <c r="B5691" s="4">
        <v>9922</v>
      </c>
      <c r="C5691" s="5">
        <f t="shared" ref="C5691:C5692" si="2659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660">C5691+1</f>
        <v>40637</v>
      </c>
      <c r="V5691">
        <f t="shared" si="2636"/>
        <v>4</v>
      </c>
      <c r="W5691">
        <f t="shared" si="2634"/>
        <v>4</v>
      </c>
      <c r="X5691">
        <f t="shared" si="2635"/>
        <v>2011</v>
      </c>
    </row>
    <row r="5692" spans="1:24" ht="12" customHeight="1">
      <c r="A5692" s="4">
        <v>1362</v>
      </c>
      <c r="B5692" s="4">
        <v>9922</v>
      </c>
      <c r="C5692" s="5">
        <f t="shared" si="2659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660"/>
        <v>40637</v>
      </c>
      <c r="V5692">
        <f t="shared" si="2636"/>
        <v>4</v>
      </c>
      <c r="W5692">
        <f t="shared" si="2634"/>
        <v>4</v>
      </c>
      <c r="X5692">
        <f t="shared" si="2635"/>
        <v>2011</v>
      </c>
    </row>
    <row r="5693" spans="1:24" ht="12" customHeight="1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  <c r="V5693">
        <f t="shared" si="2636"/>
        <v>1</v>
      </c>
      <c r="W5693">
        <f t="shared" si="2634"/>
        <v>1</v>
      </c>
      <c r="X5693">
        <f t="shared" si="2635"/>
        <v>2010</v>
      </c>
    </row>
    <row r="5694" spans="1:24" ht="12" customHeight="1">
      <c r="A5694" s="4">
        <v>1728</v>
      </c>
      <c r="B5694" s="4">
        <v>12420</v>
      </c>
      <c r="C5694" s="5">
        <f t="shared" ref="C5694:C5695" si="2661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  <c r="V5694">
        <f t="shared" si="2636"/>
        <v>26</v>
      </c>
      <c r="W5694">
        <f t="shared" si="2634"/>
        <v>12</v>
      </c>
      <c r="X5694">
        <f t="shared" si="2635"/>
        <v>2010</v>
      </c>
    </row>
    <row r="5695" spans="1:24" ht="12" customHeight="1">
      <c r="A5695" s="4">
        <v>1729</v>
      </c>
      <c r="B5695" s="4">
        <v>12420</v>
      </c>
      <c r="C5695" s="5">
        <f t="shared" si="2661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  <c r="V5695">
        <f t="shared" si="2636"/>
        <v>27</v>
      </c>
      <c r="W5695">
        <f t="shared" si="2634"/>
        <v>12</v>
      </c>
      <c r="X5695">
        <f t="shared" si="2635"/>
        <v>2010</v>
      </c>
    </row>
    <row r="5696" spans="1:24" ht="12" customHeight="1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  <c r="V5696">
        <f t="shared" si="2636"/>
        <v>17</v>
      </c>
      <c r="W5696">
        <f t="shared" si="2634"/>
        <v>10</v>
      </c>
      <c r="X5696">
        <f t="shared" si="2635"/>
        <v>2011</v>
      </c>
    </row>
    <row r="5697" spans="1:24" ht="12" customHeight="1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  <c r="V5697">
        <f t="shared" si="2636"/>
        <v>16</v>
      </c>
      <c r="W5697">
        <f t="shared" si="2634"/>
        <v>1</v>
      </c>
      <c r="X5697">
        <f t="shared" si="2635"/>
        <v>2009</v>
      </c>
    </row>
    <row r="5698" spans="1:24" ht="12" customHeight="1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  <c r="V5698">
        <f t="shared" si="2636"/>
        <v>6</v>
      </c>
      <c r="W5698">
        <f t="shared" si="2634"/>
        <v>10</v>
      </c>
      <c r="X5698">
        <f t="shared" si="2635"/>
        <v>2011</v>
      </c>
    </row>
    <row r="5699" spans="1:24" ht="12" customHeight="1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  <c r="V5699">
        <f t="shared" si="2636"/>
        <v>8</v>
      </c>
      <c r="W5699">
        <f t="shared" ref="W5699:W5762" si="2662">MONTH(U5699)</f>
        <v>12</v>
      </c>
      <c r="X5699">
        <f t="shared" ref="X5699:X5762" si="2663">YEAR(U5699)</f>
        <v>2009</v>
      </c>
    </row>
    <row r="5700" spans="1:24" ht="12" customHeight="1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  <c r="V5700">
        <f t="shared" ref="V5700:V5763" si="2664">DAY(U5700)</f>
        <v>18</v>
      </c>
      <c r="W5700">
        <f t="shared" si="2662"/>
        <v>1</v>
      </c>
      <c r="X5700">
        <f t="shared" si="2663"/>
        <v>2012</v>
      </c>
    </row>
    <row r="5701" spans="1:24" ht="12" customHeight="1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665">C5701+2</f>
        <v>40103</v>
      </c>
      <c r="V5701">
        <f t="shared" si="2664"/>
        <v>17</v>
      </c>
      <c r="W5701">
        <f t="shared" si="2662"/>
        <v>10</v>
      </c>
      <c r="X5701">
        <f t="shared" si="2663"/>
        <v>2009</v>
      </c>
    </row>
    <row r="5702" spans="1:24" ht="12" customHeight="1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665"/>
        <v>40326</v>
      </c>
      <c r="V5702">
        <f t="shared" si="2664"/>
        <v>28</v>
      </c>
      <c r="W5702">
        <f t="shared" si="2662"/>
        <v>5</v>
      </c>
      <c r="X5702">
        <f t="shared" si="2663"/>
        <v>2010</v>
      </c>
    </row>
    <row r="5703" spans="1:24" ht="12" customHeight="1">
      <c r="A5703" s="4">
        <v>2524</v>
      </c>
      <c r="B5703" s="4">
        <v>18340</v>
      </c>
      <c r="C5703" s="5">
        <f t="shared" ref="C5703:C5704" si="266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667">C5703+1</f>
        <v>40712</v>
      </c>
      <c r="V5703">
        <f t="shared" si="2664"/>
        <v>18</v>
      </c>
      <c r="W5703">
        <f t="shared" si="2662"/>
        <v>6</v>
      </c>
      <c r="X5703">
        <f t="shared" si="2663"/>
        <v>2011</v>
      </c>
    </row>
    <row r="5704" spans="1:24" ht="12" customHeight="1">
      <c r="A5704" s="4">
        <v>2525</v>
      </c>
      <c r="B5704" s="4">
        <v>18340</v>
      </c>
      <c r="C5704" s="5">
        <f t="shared" si="266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667"/>
        <v>40712</v>
      </c>
      <c r="V5704">
        <f t="shared" si="2664"/>
        <v>18</v>
      </c>
      <c r="W5704">
        <f t="shared" si="2662"/>
        <v>6</v>
      </c>
      <c r="X5704">
        <f t="shared" si="2663"/>
        <v>2011</v>
      </c>
    </row>
    <row r="5705" spans="1:24" ht="12" customHeight="1">
      <c r="A5705" s="4">
        <v>2866</v>
      </c>
      <c r="B5705" s="4">
        <v>20704</v>
      </c>
      <c r="C5705" s="5">
        <f t="shared" ref="C5705:C5707" si="266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  <c r="V5705">
        <f t="shared" si="2664"/>
        <v>10</v>
      </c>
      <c r="W5705">
        <f t="shared" si="2662"/>
        <v>2</v>
      </c>
      <c r="X5705">
        <f t="shared" si="2663"/>
        <v>2010</v>
      </c>
    </row>
    <row r="5706" spans="1:24" ht="12" customHeight="1">
      <c r="A5706" s="4">
        <v>2867</v>
      </c>
      <c r="B5706" s="4">
        <v>20704</v>
      </c>
      <c r="C5706" s="5">
        <f t="shared" si="266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669">C5706+5</f>
        <v>40224</v>
      </c>
      <c r="V5706">
        <f t="shared" si="2664"/>
        <v>15</v>
      </c>
      <c r="W5706">
        <f t="shared" si="2662"/>
        <v>2</v>
      </c>
      <c r="X5706">
        <f t="shared" si="2663"/>
        <v>2010</v>
      </c>
    </row>
    <row r="5707" spans="1:24" ht="12" customHeight="1">
      <c r="A5707" s="4">
        <v>2868</v>
      </c>
      <c r="B5707" s="4">
        <v>20704</v>
      </c>
      <c r="C5707" s="5">
        <f t="shared" si="266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669"/>
        <v>40224</v>
      </c>
      <c r="V5707">
        <f t="shared" si="2664"/>
        <v>15</v>
      </c>
      <c r="W5707">
        <f t="shared" si="2662"/>
        <v>2</v>
      </c>
      <c r="X5707">
        <f t="shared" si="2663"/>
        <v>2010</v>
      </c>
    </row>
    <row r="5708" spans="1:24" ht="12" customHeight="1">
      <c r="A5708" s="4">
        <v>2972</v>
      </c>
      <c r="B5708" s="4">
        <v>21477</v>
      </c>
      <c r="C5708" s="5">
        <f t="shared" ref="C5708:C5709" si="267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  <c r="V5708">
        <f t="shared" si="2664"/>
        <v>21</v>
      </c>
      <c r="W5708">
        <f t="shared" si="2662"/>
        <v>5</v>
      </c>
      <c r="X5708">
        <f t="shared" si="2663"/>
        <v>2011</v>
      </c>
    </row>
    <row r="5709" spans="1:24" ht="12" customHeight="1">
      <c r="A5709" s="4">
        <v>2973</v>
      </c>
      <c r="B5709" s="4">
        <v>21477</v>
      </c>
      <c r="C5709" s="5">
        <f t="shared" si="267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  <c r="V5709">
        <f t="shared" si="2664"/>
        <v>23</v>
      </c>
      <c r="W5709">
        <f t="shared" si="2662"/>
        <v>5</v>
      </c>
      <c r="X5709">
        <f t="shared" si="2663"/>
        <v>2011</v>
      </c>
    </row>
    <row r="5710" spans="1:24" ht="12" customHeight="1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  <c r="V5710">
        <f t="shared" si="2664"/>
        <v>4</v>
      </c>
      <c r="W5710">
        <f t="shared" si="2662"/>
        <v>7</v>
      </c>
      <c r="X5710">
        <f t="shared" si="2663"/>
        <v>2009</v>
      </c>
    </row>
    <row r="5711" spans="1:24" ht="12" customHeight="1">
      <c r="A5711" s="4">
        <v>3616</v>
      </c>
      <c r="B5711" s="4">
        <v>25828</v>
      </c>
      <c r="C5711" s="5">
        <f t="shared" ref="C5711:C5712" si="267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  <c r="V5711">
        <f t="shared" si="2664"/>
        <v>24</v>
      </c>
      <c r="W5711">
        <f t="shared" si="2662"/>
        <v>11</v>
      </c>
      <c r="X5711">
        <f t="shared" si="2663"/>
        <v>2010</v>
      </c>
    </row>
    <row r="5712" spans="1:24" ht="12" customHeight="1">
      <c r="A5712" s="4">
        <v>3617</v>
      </c>
      <c r="B5712" s="4">
        <v>25828</v>
      </c>
      <c r="C5712" s="5">
        <f t="shared" si="267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  <c r="V5712">
        <f t="shared" si="2664"/>
        <v>23</v>
      </c>
      <c r="W5712">
        <f t="shared" si="2662"/>
        <v>11</v>
      </c>
      <c r="X5712">
        <f t="shared" si="2663"/>
        <v>2010</v>
      </c>
    </row>
    <row r="5713" spans="1:24" ht="12" customHeight="1">
      <c r="A5713" s="4">
        <v>3746</v>
      </c>
      <c r="B5713" s="4">
        <v>26758</v>
      </c>
      <c r="C5713" s="5">
        <f t="shared" ref="C5713:C5714" si="267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673">C5713+2</f>
        <v>39958</v>
      </c>
      <c r="V5713">
        <f t="shared" si="2664"/>
        <v>25</v>
      </c>
      <c r="W5713">
        <f t="shared" si="2662"/>
        <v>5</v>
      </c>
      <c r="X5713">
        <f t="shared" si="2663"/>
        <v>2009</v>
      </c>
    </row>
    <row r="5714" spans="1:24" ht="12" customHeight="1">
      <c r="A5714" s="4">
        <v>3747</v>
      </c>
      <c r="B5714" s="4">
        <v>26758</v>
      </c>
      <c r="C5714" s="5">
        <f t="shared" si="267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673"/>
        <v>39958</v>
      </c>
      <c r="V5714">
        <f t="shared" si="2664"/>
        <v>25</v>
      </c>
      <c r="W5714">
        <f t="shared" si="2662"/>
        <v>5</v>
      </c>
      <c r="X5714">
        <f t="shared" si="2663"/>
        <v>2009</v>
      </c>
    </row>
    <row r="5715" spans="1:24" ht="12" customHeight="1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  <c r="V5715">
        <f t="shared" si="2664"/>
        <v>5</v>
      </c>
      <c r="W5715">
        <f t="shared" si="2662"/>
        <v>3</v>
      </c>
      <c r="X5715">
        <f t="shared" si="2663"/>
        <v>2009</v>
      </c>
    </row>
    <row r="5716" spans="1:24" ht="12" customHeight="1">
      <c r="A5716" s="4">
        <v>3986</v>
      </c>
      <c r="B5716" s="4">
        <v>28455</v>
      </c>
      <c r="C5716" s="5">
        <f t="shared" ref="C5716:C5717" si="267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  <c r="V5716">
        <f t="shared" si="2664"/>
        <v>1</v>
      </c>
      <c r="W5716">
        <f t="shared" si="2662"/>
        <v>6</v>
      </c>
      <c r="X5716">
        <f t="shared" si="2663"/>
        <v>2010</v>
      </c>
    </row>
    <row r="5717" spans="1:24" ht="12" customHeight="1">
      <c r="A5717" s="4">
        <v>3987</v>
      </c>
      <c r="B5717" s="4">
        <v>28455</v>
      </c>
      <c r="C5717" s="5">
        <f t="shared" si="267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  <c r="V5717">
        <f t="shared" si="2664"/>
        <v>31</v>
      </c>
      <c r="W5717">
        <f t="shared" si="2662"/>
        <v>5</v>
      </c>
      <c r="X5717">
        <f t="shared" si="2663"/>
        <v>2010</v>
      </c>
    </row>
    <row r="5718" spans="1:24" ht="12" customHeight="1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  <c r="V5718">
        <f t="shared" si="2664"/>
        <v>6</v>
      </c>
      <c r="W5718">
        <f t="shared" si="2662"/>
        <v>12</v>
      </c>
      <c r="X5718">
        <f t="shared" si="2663"/>
        <v>2011</v>
      </c>
    </row>
    <row r="5719" spans="1:24" ht="12" customHeight="1">
      <c r="A5719" s="4">
        <v>4100</v>
      </c>
      <c r="B5719" s="4">
        <v>29216</v>
      </c>
      <c r="C5719" s="5">
        <f t="shared" ref="C5719:C5720" si="267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676">C5719+1</f>
        <v>41273</v>
      </c>
      <c r="V5719">
        <f t="shared" si="2664"/>
        <v>30</v>
      </c>
      <c r="W5719">
        <f t="shared" si="2662"/>
        <v>12</v>
      </c>
      <c r="X5719">
        <f t="shared" si="2663"/>
        <v>2012</v>
      </c>
    </row>
    <row r="5720" spans="1:24" ht="12" customHeight="1">
      <c r="A5720" s="4">
        <v>4101</v>
      </c>
      <c r="B5720" s="4">
        <v>29216</v>
      </c>
      <c r="C5720" s="5">
        <f t="shared" si="267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676"/>
        <v>41273</v>
      </c>
      <c r="V5720">
        <f t="shared" si="2664"/>
        <v>30</v>
      </c>
      <c r="W5720">
        <f t="shared" si="2662"/>
        <v>12</v>
      </c>
      <c r="X5720">
        <f t="shared" si="2663"/>
        <v>2012</v>
      </c>
    </row>
    <row r="5721" spans="1:24" ht="12" customHeight="1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  <c r="V5721">
        <f t="shared" si="2664"/>
        <v>3</v>
      </c>
      <c r="W5721">
        <f t="shared" si="2662"/>
        <v>5</v>
      </c>
      <c r="X5721">
        <f t="shared" si="2663"/>
        <v>2012</v>
      </c>
    </row>
    <row r="5722" spans="1:24" ht="12" customHeight="1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677">C5722+0</f>
        <v>41206</v>
      </c>
      <c r="V5722">
        <f t="shared" si="2664"/>
        <v>24</v>
      </c>
      <c r="W5722">
        <f t="shared" si="2662"/>
        <v>10</v>
      </c>
      <c r="X5722">
        <f t="shared" si="2663"/>
        <v>2012</v>
      </c>
    </row>
    <row r="5723" spans="1:24" ht="12" customHeight="1">
      <c r="A5723" s="4">
        <v>4667</v>
      </c>
      <c r="B5723" s="4">
        <v>33220</v>
      </c>
      <c r="C5723" s="5">
        <f t="shared" ref="C5723:C5724" si="267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677"/>
        <v>39918</v>
      </c>
      <c r="V5723">
        <f t="shared" si="2664"/>
        <v>15</v>
      </c>
      <c r="W5723">
        <f t="shared" si="2662"/>
        <v>4</v>
      </c>
      <c r="X5723">
        <f t="shared" si="2663"/>
        <v>2009</v>
      </c>
    </row>
    <row r="5724" spans="1:24" ht="12" customHeight="1">
      <c r="A5724" s="4">
        <v>4668</v>
      </c>
      <c r="B5724" s="4">
        <v>33220</v>
      </c>
      <c r="C5724" s="5">
        <f t="shared" si="267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  <c r="V5724">
        <f t="shared" si="2664"/>
        <v>18</v>
      </c>
      <c r="W5724">
        <f t="shared" si="2662"/>
        <v>4</v>
      </c>
      <c r="X5724">
        <f t="shared" si="2663"/>
        <v>2009</v>
      </c>
    </row>
    <row r="5725" spans="1:24" ht="12" customHeight="1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  <c r="V5725">
        <f t="shared" si="2664"/>
        <v>3</v>
      </c>
      <c r="W5725">
        <f t="shared" si="2662"/>
        <v>10</v>
      </c>
      <c r="X5725">
        <f t="shared" si="2663"/>
        <v>2009</v>
      </c>
    </row>
    <row r="5726" spans="1:24" ht="12" customHeight="1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679">C5726+1</f>
        <v>41088</v>
      </c>
      <c r="V5726">
        <f t="shared" si="2664"/>
        <v>28</v>
      </c>
      <c r="W5726">
        <f t="shared" si="2662"/>
        <v>6</v>
      </c>
      <c r="X5726">
        <f t="shared" si="2663"/>
        <v>2012</v>
      </c>
    </row>
    <row r="5727" spans="1:24" ht="12" customHeight="1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679"/>
        <v>40378</v>
      </c>
      <c r="V5727">
        <f t="shared" si="2664"/>
        <v>19</v>
      </c>
      <c r="W5727">
        <f t="shared" si="2662"/>
        <v>7</v>
      </c>
      <c r="X5727">
        <f t="shared" si="2663"/>
        <v>2010</v>
      </c>
    </row>
    <row r="5728" spans="1:24" ht="12" customHeight="1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  <c r="V5728">
        <f t="shared" si="2664"/>
        <v>21</v>
      </c>
      <c r="W5728">
        <f t="shared" si="2662"/>
        <v>4</v>
      </c>
      <c r="X5728">
        <f t="shared" si="2663"/>
        <v>2012</v>
      </c>
    </row>
    <row r="5729" spans="1:24" ht="12" customHeight="1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  <c r="V5729">
        <f t="shared" si="2664"/>
        <v>28</v>
      </c>
      <c r="W5729">
        <f t="shared" si="2662"/>
        <v>4</v>
      </c>
      <c r="X5729">
        <f t="shared" si="2663"/>
        <v>2011</v>
      </c>
    </row>
    <row r="5730" spans="1:24" ht="12" customHeight="1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  <c r="V5730">
        <f t="shared" si="2664"/>
        <v>23</v>
      </c>
      <c r="W5730">
        <f t="shared" si="2662"/>
        <v>1</v>
      </c>
      <c r="X5730">
        <f t="shared" si="2663"/>
        <v>2011</v>
      </c>
    </row>
    <row r="5731" spans="1:24" ht="12" customHeight="1">
      <c r="A5731" s="4">
        <v>5039</v>
      </c>
      <c r="B5731" s="4">
        <v>35910</v>
      </c>
      <c r="C5731" s="5">
        <f t="shared" ref="C5731:C5733" si="268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  <c r="V5731">
        <f t="shared" si="2664"/>
        <v>25</v>
      </c>
      <c r="W5731">
        <f t="shared" si="2662"/>
        <v>11</v>
      </c>
      <c r="X5731">
        <f t="shared" si="2663"/>
        <v>2010</v>
      </c>
    </row>
    <row r="5732" spans="1:24" ht="12" customHeight="1">
      <c r="A5732" s="4">
        <v>5040</v>
      </c>
      <c r="B5732" s="4">
        <v>35910</v>
      </c>
      <c r="C5732" s="5">
        <f t="shared" si="268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681">C5732+2</f>
        <v>40508</v>
      </c>
      <c r="V5732">
        <f t="shared" si="2664"/>
        <v>26</v>
      </c>
      <c r="W5732">
        <f t="shared" si="2662"/>
        <v>11</v>
      </c>
      <c r="X5732">
        <f t="shared" si="2663"/>
        <v>2010</v>
      </c>
    </row>
    <row r="5733" spans="1:24" ht="12" customHeight="1">
      <c r="A5733" s="4">
        <v>5041</v>
      </c>
      <c r="B5733" s="4">
        <v>35910</v>
      </c>
      <c r="C5733" s="5">
        <f t="shared" si="268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681"/>
        <v>40508</v>
      </c>
      <c r="V5733">
        <f t="shared" si="2664"/>
        <v>26</v>
      </c>
      <c r="W5733">
        <f t="shared" si="2662"/>
        <v>11</v>
      </c>
      <c r="X5733">
        <f t="shared" si="2663"/>
        <v>2010</v>
      </c>
    </row>
    <row r="5734" spans="1:24" ht="12" customHeight="1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681"/>
        <v>40653</v>
      </c>
      <c r="V5734">
        <f t="shared" si="2664"/>
        <v>20</v>
      </c>
      <c r="W5734">
        <f t="shared" si="2662"/>
        <v>4</v>
      </c>
      <c r="X5734">
        <f t="shared" si="2663"/>
        <v>2011</v>
      </c>
    </row>
    <row r="5735" spans="1:24" ht="12" customHeight="1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681"/>
        <v>40918</v>
      </c>
      <c r="V5735">
        <f t="shared" si="2664"/>
        <v>10</v>
      </c>
      <c r="W5735">
        <f t="shared" si="2662"/>
        <v>1</v>
      </c>
      <c r="X5735">
        <f t="shared" si="2663"/>
        <v>2012</v>
      </c>
    </row>
    <row r="5736" spans="1:24" ht="12" customHeight="1">
      <c r="A5736" s="4">
        <v>6158</v>
      </c>
      <c r="B5736" s="4">
        <v>43620</v>
      </c>
      <c r="C5736" s="5">
        <f t="shared" ref="C5736:C5737" si="268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  <c r="V5736">
        <f t="shared" si="2664"/>
        <v>20</v>
      </c>
      <c r="W5736">
        <f t="shared" si="2662"/>
        <v>1</v>
      </c>
      <c r="X5736">
        <f t="shared" si="2663"/>
        <v>2009</v>
      </c>
    </row>
    <row r="5737" spans="1:24" ht="12" customHeight="1">
      <c r="A5737" s="4">
        <v>6159</v>
      </c>
      <c r="B5737" s="4">
        <v>43620</v>
      </c>
      <c r="C5737" s="5">
        <f t="shared" si="268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  <c r="V5737">
        <f t="shared" si="2664"/>
        <v>19</v>
      </c>
      <c r="W5737">
        <f t="shared" si="2662"/>
        <v>1</v>
      </c>
      <c r="X5737">
        <f t="shared" si="2663"/>
        <v>2009</v>
      </c>
    </row>
    <row r="5738" spans="1:24" ht="12" customHeight="1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683">C5738+1</f>
        <v>40251</v>
      </c>
      <c r="V5738">
        <f t="shared" si="2664"/>
        <v>14</v>
      </c>
      <c r="W5738">
        <f t="shared" si="2662"/>
        <v>3</v>
      </c>
      <c r="X5738">
        <f t="shared" si="2663"/>
        <v>2010</v>
      </c>
    </row>
    <row r="5739" spans="1:24" ht="12" customHeight="1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683"/>
        <v>40037</v>
      </c>
      <c r="V5739">
        <f t="shared" si="2664"/>
        <v>12</v>
      </c>
      <c r="W5739">
        <f t="shared" si="2662"/>
        <v>8</v>
      </c>
      <c r="X5739">
        <f t="shared" si="2663"/>
        <v>2009</v>
      </c>
    </row>
    <row r="5740" spans="1:24" ht="12" customHeight="1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  <c r="V5740">
        <f t="shared" si="2664"/>
        <v>12</v>
      </c>
      <c r="W5740">
        <f t="shared" si="2662"/>
        <v>8</v>
      </c>
      <c r="X5740">
        <f t="shared" si="2663"/>
        <v>2009</v>
      </c>
    </row>
    <row r="5741" spans="1:24" ht="12" customHeight="1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  <c r="V5741">
        <f t="shared" si="2664"/>
        <v>16</v>
      </c>
      <c r="W5741">
        <f t="shared" si="2662"/>
        <v>11</v>
      </c>
      <c r="X5741">
        <f t="shared" si="2663"/>
        <v>2012</v>
      </c>
    </row>
    <row r="5742" spans="1:24" ht="12" customHeight="1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684">C5742+2</f>
        <v>40681</v>
      </c>
      <c r="V5742">
        <f t="shared" si="2664"/>
        <v>18</v>
      </c>
      <c r="W5742">
        <f t="shared" si="2662"/>
        <v>5</v>
      </c>
      <c r="X5742">
        <f t="shared" si="2663"/>
        <v>2011</v>
      </c>
    </row>
    <row r="5743" spans="1:24" ht="12" customHeight="1">
      <c r="A5743" s="4">
        <v>6862</v>
      </c>
      <c r="B5743" s="4">
        <v>48900</v>
      </c>
      <c r="C5743" s="5">
        <f t="shared" ref="C5743:C5744" si="268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684"/>
        <v>39896</v>
      </c>
      <c r="V5743">
        <f t="shared" si="2664"/>
        <v>24</v>
      </c>
      <c r="W5743">
        <f t="shared" si="2662"/>
        <v>3</v>
      </c>
      <c r="X5743">
        <f t="shared" si="2663"/>
        <v>2009</v>
      </c>
    </row>
    <row r="5744" spans="1:24" ht="12" customHeight="1">
      <c r="A5744" s="4">
        <v>6863</v>
      </c>
      <c r="B5744" s="4">
        <v>48900</v>
      </c>
      <c r="C5744" s="5">
        <f t="shared" si="268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  <c r="V5744">
        <f t="shared" si="2664"/>
        <v>23</v>
      </c>
      <c r="W5744">
        <f t="shared" si="2662"/>
        <v>3</v>
      </c>
      <c r="X5744">
        <f t="shared" si="2663"/>
        <v>2009</v>
      </c>
    </row>
    <row r="5745" spans="1:24" ht="12" customHeight="1">
      <c r="A5745" s="4">
        <v>6913</v>
      </c>
      <c r="B5745" s="4">
        <v>49319</v>
      </c>
      <c r="C5745" s="5">
        <f t="shared" ref="C5745:C5746" si="268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687">C5745+2</f>
        <v>40782</v>
      </c>
      <c r="V5745">
        <f t="shared" si="2664"/>
        <v>27</v>
      </c>
      <c r="W5745">
        <f t="shared" si="2662"/>
        <v>8</v>
      </c>
      <c r="X5745">
        <f t="shared" si="2663"/>
        <v>2011</v>
      </c>
    </row>
    <row r="5746" spans="1:24" ht="12" customHeight="1">
      <c r="A5746" s="4">
        <v>6914</v>
      </c>
      <c r="B5746" s="4">
        <v>49319</v>
      </c>
      <c r="C5746" s="5">
        <f t="shared" si="268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687"/>
        <v>40782</v>
      </c>
      <c r="V5746">
        <f t="shared" si="2664"/>
        <v>27</v>
      </c>
      <c r="W5746">
        <f t="shared" si="2662"/>
        <v>8</v>
      </c>
      <c r="X5746">
        <f t="shared" si="2663"/>
        <v>2011</v>
      </c>
    </row>
    <row r="5747" spans="1:24" ht="12" customHeight="1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  <c r="V5747">
        <f t="shared" si="2664"/>
        <v>8</v>
      </c>
      <c r="W5747">
        <f t="shared" si="2662"/>
        <v>8</v>
      </c>
      <c r="X5747">
        <f t="shared" si="2663"/>
        <v>2010</v>
      </c>
    </row>
    <row r="5748" spans="1:24" ht="12" customHeight="1">
      <c r="A5748" s="4">
        <v>7016</v>
      </c>
      <c r="B5748" s="4">
        <v>50055</v>
      </c>
      <c r="C5748" s="5">
        <f t="shared" ref="C5748:C5749" si="268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689">C5748+2</f>
        <v>41202</v>
      </c>
      <c r="V5748">
        <f t="shared" si="2664"/>
        <v>20</v>
      </c>
      <c r="W5748">
        <f t="shared" si="2662"/>
        <v>10</v>
      </c>
      <c r="X5748">
        <f t="shared" si="2663"/>
        <v>2012</v>
      </c>
    </row>
    <row r="5749" spans="1:24" ht="12" customHeight="1">
      <c r="A5749" s="4">
        <v>7017</v>
      </c>
      <c r="B5749" s="4">
        <v>50055</v>
      </c>
      <c r="C5749" s="5">
        <f t="shared" si="268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689"/>
        <v>41202</v>
      </c>
      <c r="V5749">
        <f t="shared" si="2664"/>
        <v>20</v>
      </c>
      <c r="W5749">
        <f t="shared" si="2662"/>
        <v>10</v>
      </c>
      <c r="X5749">
        <f t="shared" si="2663"/>
        <v>2012</v>
      </c>
    </row>
    <row r="5750" spans="1:24" ht="12" customHeight="1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689"/>
        <v>40716</v>
      </c>
      <c r="V5750">
        <f t="shared" si="2664"/>
        <v>22</v>
      </c>
      <c r="W5750">
        <f t="shared" si="2662"/>
        <v>6</v>
      </c>
      <c r="X5750">
        <f t="shared" si="2663"/>
        <v>2011</v>
      </c>
    </row>
    <row r="5751" spans="1:24" ht="12" customHeight="1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  <c r="V5751">
        <f t="shared" si="2664"/>
        <v>13</v>
      </c>
      <c r="W5751">
        <f t="shared" si="2662"/>
        <v>1</v>
      </c>
      <c r="X5751">
        <f t="shared" si="2663"/>
        <v>2011</v>
      </c>
    </row>
    <row r="5752" spans="1:24" ht="12" customHeight="1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690">C5752+1</f>
        <v>40039</v>
      </c>
      <c r="V5752">
        <f t="shared" si="2664"/>
        <v>14</v>
      </c>
      <c r="W5752">
        <f t="shared" si="2662"/>
        <v>8</v>
      </c>
      <c r="X5752">
        <f t="shared" si="2663"/>
        <v>2009</v>
      </c>
    </row>
    <row r="5753" spans="1:24" ht="12" customHeight="1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690"/>
        <v>40722</v>
      </c>
      <c r="V5753">
        <f t="shared" si="2664"/>
        <v>28</v>
      </c>
      <c r="W5753">
        <f t="shared" si="2662"/>
        <v>6</v>
      </c>
      <c r="X5753">
        <f t="shared" si="2663"/>
        <v>2011</v>
      </c>
    </row>
    <row r="5754" spans="1:24" ht="12" customHeight="1">
      <c r="A5754" s="4">
        <v>7695</v>
      </c>
      <c r="B5754" s="4">
        <v>55171</v>
      </c>
      <c r="C5754" s="5">
        <f t="shared" ref="C5754:C5755" si="269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690"/>
        <v>41209</v>
      </c>
      <c r="V5754">
        <f t="shared" si="2664"/>
        <v>27</v>
      </c>
      <c r="W5754">
        <f t="shared" si="2662"/>
        <v>10</v>
      </c>
      <c r="X5754">
        <f t="shared" si="2663"/>
        <v>2012</v>
      </c>
    </row>
    <row r="5755" spans="1:24" ht="12" customHeight="1">
      <c r="A5755" s="4">
        <v>7696</v>
      </c>
      <c r="B5755" s="4">
        <v>55171</v>
      </c>
      <c r="C5755" s="5">
        <f t="shared" si="269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  <c r="V5755">
        <f t="shared" si="2664"/>
        <v>26</v>
      </c>
      <c r="W5755">
        <f t="shared" si="2662"/>
        <v>10</v>
      </c>
      <c r="X5755">
        <f t="shared" si="2663"/>
        <v>2012</v>
      </c>
    </row>
    <row r="5756" spans="1:24" ht="12" customHeight="1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  <c r="V5756">
        <f t="shared" si="2664"/>
        <v>17</v>
      </c>
      <c r="W5756">
        <f t="shared" si="2662"/>
        <v>7</v>
      </c>
      <c r="X5756">
        <f t="shared" si="2663"/>
        <v>2012</v>
      </c>
    </row>
    <row r="5757" spans="1:24" ht="12" customHeight="1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  <c r="V5757">
        <f t="shared" si="2664"/>
        <v>18</v>
      </c>
      <c r="W5757">
        <f t="shared" si="2662"/>
        <v>5</v>
      </c>
      <c r="X5757">
        <f t="shared" si="2663"/>
        <v>2009</v>
      </c>
    </row>
    <row r="5758" spans="1:24" ht="12" customHeight="1">
      <c r="A5758" s="4">
        <v>8220</v>
      </c>
      <c r="B5758" s="4">
        <v>58784</v>
      </c>
      <c r="C5758" s="5">
        <f t="shared" ref="C5758:C5760" si="269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  <c r="V5758">
        <f t="shared" si="2664"/>
        <v>19</v>
      </c>
      <c r="W5758">
        <f t="shared" si="2662"/>
        <v>1</v>
      </c>
      <c r="X5758">
        <f t="shared" si="2663"/>
        <v>2009</v>
      </c>
    </row>
    <row r="5759" spans="1:24" ht="12" customHeight="1">
      <c r="A5759" s="4">
        <v>8221</v>
      </c>
      <c r="B5759" s="4">
        <v>58784</v>
      </c>
      <c r="C5759" s="5">
        <f t="shared" si="269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  <c r="V5759">
        <f t="shared" si="2664"/>
        <v>18</v>
      </c>
      <c r="W5759">
        <f t="shared" si="2662"/>
        <v>1</v>
      </c>
      <c r="X5759">
        <f t="shared" si="2663"/>
        <v>2009</v>
      </c>
    </row>
    <row r="5760" spans="1:24" ht="12" customHeight="1">
      <c r="A5760" s="4">
        <v>8222</v>
      </c>
      <c r="B5760" s="4">
        <v>58784</v>
      </c>
      <c r="C5760" s="5">
        <f t="shared" si="269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  <c r="V5760">
        <f t="shared" si="2664"/>
        <v>19</v>
      </c>
      <c r="W5760">
        <f t="shared" si="2662"/>
        <v>1</v>
      </c>
      <c r="X5760">
        <f t="shared" si="2663"/>
        <v>2009</v>
      </c>
    </row>
    <row r="5761" spans="1:24" ht="12" customHeight="1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  <c r="V5761">
        <f t="shared" si="2664"/>
        <v>8</v>
      </c>
      <c r="W5761">
        <f t="shared" si="2662"/>
        <v>1</v>
      </c>
      <c r="X5761">
        <f t="shared" si="2663"/>
        <v>2012</v>
      </c>
    </row>
    <row r="5762" spans="1:24" ht="12" customHeight="1">
      <c r="A5762" s="4">
        <v>8340</v>
      </c>
      <c r="B5762" s="4">
        <v>59591</v>
      </c>
      <c r="C5762" s="5">
        <f t="shared" ref="C5762:C5763" si="269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  <c r="V5762">
        <f t="shared" si="2664"/>
        <v>10</v>
      </c>
      <c r="W5762">
        <f t="shared" si="2662"/>
        <v>10</v>
      </c>
      <c r="X5762">
        <f t="shared" si="2663"/>
        <v>2009</v>
      </c>
    </row>
    <row r="5763" spans="1:24" ht="12" customHeight="1">
      <c r="A5763" s="4">
        <v>8341</v>
      </c>
      <c r="B5763" s="4">
        <v>59591</v>
      </c>
      <c r="C5763" s="5">
        <f t="shared" si="269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694">C5763+2</f>
        <v>40097</v>
      </c>
      <c r="V5763">
        <f t="shared" si="2664"/>
        <v>11</v>
      </c>
      <c r="W5763">
        <f t="shared" ref="W5763:W5826" si="2695">MONTH(U5763)</f>
        <v>10</v>
      </c>
      <c r="X5763">
        <f t="shared" ref="X5763:X5826" si="2696">YEAR(U5763)</f>
        <v>2009</v>
      </c>
    </row>
    <row r="5764" spans="1:24" ht="12" customHeight="1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694"/>
        <v>39883</v>
      </c>
      <c r="V5764">
        <f t="shared" ref="V5764:V5827" si="2697">DAY(U5764)</f>
        <v>11</v>
      </c>
      <c r="W5764">
        <f t="shared" si="2695"/>
        <v>3</v>
      </c>
      <c r="X5764">
        <f t="shared" si="2696"/>
        <v>2009</v>
      </c>
    </row>
    <row r="5765" spans="1:24" ht="12" customHeight="1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  <c r="V5765">
        <f t="shared" si="2697"/>
        <v>16</v>
      </c>
      <c r="W5765">
        <f t="shared" si="2695"/>
        <v>7</v>
      </c>
      <c r="X5765">
        <f t="shared" si="2696"/>
        <v>2011</v>
      </c>
    </row>
    <row r="5766" spans="1:24" ht="12" customHeight="1">
      <c r="A5766" s="4">
        <v>12</v>
      </c>
      <c r="B5766" s="4">
        <v>69</v>
      </c>
      <c r="C5766" s="5">
        <f t="shared" ref="C5766:C5767" si="2698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699">C5766+2</f>
        <v>39969</v>
      </c>
      <c r="V5766">
        <f t="shared" si="2697"/>
        <v>5</v>
      </c>
      <c r="W5766">
        <f t="shared" si="2695"/>
        <v>6</v>
      </c>
      <c r="X5766">
        <f t="shared" si="2696"/>
        <v>2009</v>
      </c>
    </row>
    <row r="5767" spans="1:24" ht="12" customHeight="1">
      <c r="A5767" s="4">
        <v>13</v>
      </c>
      <c r="B5767" s="4">
        <v>69</v>
      </c>
      <c r="C5767" s="5">
        <f t="shared" si="2698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699"/>
        <v>39969</v>
      </c>
      <c r="V5767">
        <f t="shared" si="2697"/>
        <v>5</v>
      </c>
      <c r="W5767">
        <f t="shared" si="2695"/>
        <v>6</v>
      </c>
      <c r="X5767">
        <f t="shared" si="2696"/>
        <v>2009</v>
      </c>
    </row>
    <row r="5768" spans="1:24" ht="12" customHeight="1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699"/>
        <v>40989</v>
      </c>
      <c r="V5768">
        <f t="shared" si="2697"/>
        <v>21</v>
      </c>
      <c r="W5768">
        <f t="shared" si="2695"/>
        <v>3</v>
      </c>
      <c r="X5768">
        <f t="shared" si="2696"/>
        <v>2012</v>
      </c>
    </row>
    <row r="5769" spans="1:24" ht="12" customHeight="1">
      <c r="A5769" s="4">
        <v>200</v>
      </c>
      <c r="B5769" s="4">
        <v>1317</v>
      </c>
      <c r="C5769" s="5">
        <f t="shared" ref="C5769:C5771" si="2700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699"/>
        <v>40683</v>
      </c>
      <c r="V5769">
        <f t="shared" si="2697"/>
        <v>20</v>
      </c>
      <c r="W5769">
        <f t="shared" si="2695"/>
        <v>5</v>
      </c>
      <c r="X5769">
        <f t="shared" si="2696"/>
        <v>2011</v>
      </c>
    </row>
    <row r="5770" spans="1:24" ht="12" customHeight="1">
      <c r="A5770" s="4">
        <v>201</v>
      </c>
      <c r="B5770" s="4">
        <v>1317</v>
      </c>
      <c r="C5770" s="5">
        <f t="shared" si="2700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  <c r="V5770">
        <f t="shared" si="2697"/>
        <v>19</v>
      </c>
      <c r="W5770">
        <f t="shared" si="2695"/>
        <v>5</v>
      </c>
      <c r="X5770">
        <f t="shared" si="2696"/>
        <v>2011</v>
      </c>
    </row>
    <row r="5771" spans="1:24" ht="12" customHeight="1">
      <c r="A5771" s="4">
        <v>202</v>
      </c>
      <c r="B5771" s="4">
        <v>1317</v>
      </c>
      <c r="C5771" s="5">
        <f t="shared" si="2700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  <c r="V5771">
        <f t="shared" si="2697"/>
        <v>20</v>
      </c>
      <c r="W5771">
        <f t="shared" si="2695"/>
        <v>5</v>
      </c>
      <c r="X5771">
        <f t="shared" si="2696"/>
        <v>2011</v>
      </c>
    </row>
    <row r="5772" spans="1:24" ht="12" customHeight="1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701">C5772+0</f>
        <v>40375</v>
      </c>
      <c r="V5772">
        <f t="shared" si="2697"/>
        <v>16</v>
      </c>
      <c r="W5772">
        <f t="shared" si="2695"/>
        <v>7</v>
      </c>
      <c r="X5772">
        <f t="shared" si="2696"/>
        <v>2010</v>
      </c>
    </row>
    <row r="5773" spans="1:24" ht="12" customHeight="1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701"/>
        <v>39900</v>
      </c>
      <c r="V5773">
        <f t="shared" si="2697"/>
        <v>28</v>
      </c>
      <c r="W5773">
        <f t="shared" si="2695"/>
        <v>3</v>
      </c>
      <c r="X5773">
        <f t="shared" si="2696"/>
        <v>2009</v>
      </c>
    </row>
    <row r="5774" spans="1:24" ht="12" customHeight="1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  <c r="V5774">
        <f t="shared" si="2697"/>
        <v>20</v>
      </c>
      <c r="W5774">
        <f t="shared" si="2695"/>
        <v>7</v>
      </c>
      <c r="X5774">
        <f t="shared" si="2696"/>
        <v>2011</v>
      </c>
    </row>
    <row r="5775" spans="1:24" ht="12" customHeight="1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  <c r="V5775">
        <f t="shared" si="2697"/>
        <v>6</v>
      </c>
      <c r="W5775">
        <f t="shared" si="2695"/>
        <v>5</v>
      </c>
      <c r="X5775">
        <f t="shared" si="2696"/>
        <v>2010</v>
      </c>
    </row>
    <row r="5776" spans="1:24" ht="12" customHeight="1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702">C5776+1</f>
        <v>40533</v>
      </c>
      <c r="V5776">
        <f t="shared" si="2697"/>
        <v>21</v>
      </c>
      <c r="W5776">
        <f t="shared" si="2695"/>
        <v>12</v>
      </c>
      <c r="X5776">
        <f t="shared" si="2696"/>
        <v>2010</v>
      </c>
    </row>
    <row r="5777" spans="1:24" ht="12" customHeight="1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702"/>
        <v>40319</v>
      </c>
      <c r="V5777">
        <f t="shared" si="2697"/>
        <v>21</v>
      </c>
      <c r="W5777">
        <f t="shared" si="2695"/>
        <v>5</v>
      </c>
      <c r="X5777">
        <f t="shared" si="2696"/>
        <v>2010</v>
      </c>
    </row>
    <row r="5778" spans="1:24" ht="12" customHeight="1">
      <c r="A5778" s="4">
        <v>538</v>
      </c>
      <c r="B5778" s="4">
        <v>3650</v>
      </c>
      <c r="C5778" s="5">
        <f t="shared" ref="C5778:C5779" si="2703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704">C5778+2</f>
        <v>41058</v>
      </c>
      <c r="V5778">
        <f t="shared" si="2697"/>
        <v>29</v>
      </c>
      <c r="W5778">
        <f t="shared" si="2695"/>
        <v>5</v>
      </c>
      <c r="X5778">
        <f t="shared" si="2696"/>
        <v>2012</v>
      </c>
    </row>
    <row r="5779" spans="1:24" ht="12" customHeight="1">
      <c r="A5779" s="4">
        <v>539</v>
      </c>
      <c r="B5779" s="4">
        <v>3650</v>
      </c>
      <c r="C5779" s="5">
        <f t="shared" si="2703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704"/>
        <v>41058</v>
      </c>
      <c r="V5779">
        <f t="shared" si="2697"/>
        <v>29</v>
      </c>
      <c r="W5779">
        <f t="shared" si="2695"/>
        <v>5</v>
      </c>
      <c r="X5779">
        <f t="shared" si="2696"/>
        <v>2012</v>
      </c>
    </row>
    <row r="5780" spans="1:24" ht="12" customHeight="1">
      <c r="A5780" s="4">
        <v>560</v>
      </c>
      <c r="B5780" s="4">
        <v>3783</v>
      </c>
      <c r="C5780" s="5">
        <f t="shared" ref="C5780:C5781" si="2705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  <c r="V5780">
        <f t="shared" si="2697"/>
        <v>5</v>
      </c>
      <c r="W5780">
        <f t="shared" si="2695"/>
        <v>12</v>
      </c>
      <c r="X5780">
        <f t="shared" si="2696"/>
        <v>2010</v>
      </c>
    </row>
    <row r="5781" spans="1:24" ht="12" customHeight="1">
      <c r="A5781" s="4">
        <v>561</v>
      </c>
      <c r="B5781" s="4">
        <v>3783</v>
      </c>
      <c r="C5781" s="5">
        <f t="shared" si="2705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706">C5781+2</f>
        <v>40519</v>
      </c>
      <c r="V5781">
        <f t="shared" si="2697"/>
        <v>7</v>
      </c>
      <c r="W5781">
        <f t="shared" si="2695"/>
        <v>12</v>
      </c>
      <c r="X5781">
        <f t="shared" si="2696"/>
        <v>2010</v>
      </c>
    </row>
    <row r="5782" spans="1:24" ht="12" customHeight="1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706"/>
        <v>40082</v>
      </c>
      <c r="V5782">
        <f t="shared" si="2697"/>
        <v>26</v>
      </c>
      <c r="W5782">
        <f t="shared" si="2695"/>
        <v>9</v>
      </c>
      <c r="X5782">
        <f t="shared" si="2696"/>
        <v>2009</v>
      </c>
    </row>
    <row r="5783" spans="1:24" ht="12" customHeight="1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706"/>
        <v>40508</v>
      </c>
      <c r="V5783">
        <f t="shared" si="2697"/>
        <v>26</v>
      </c>
      <c r="W5783">
        <f t="shared" si="2695"/>
        <v>11</v>
      </c>
      <c r="X5783">
        <f t="shared" si="2696"/>
        <v>2010</v>
      </c>
    </row>
    <row r="5784" spans="1:24" ht="12" customHeight="1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  <c r="V5784">
        <f t="shared" si="2697"/>
        <v>14</v>
      </c>
      <c r="W5784">
        <f t="shared" si="2695"/>
        <v>9</v>
      </c>
      <c r="X5784">
        <f t="shared" si="2696"/>
        <v>2009</v>
      </c>
    </row>
    <row r="5785" spans="1:24" ht="12" customHeight="1">
      <c r="A5785" s="4">
        <v>725</v>
      </c>
      <c r="B5785" s="4">
        <v>5217</v>
      </c>
      <c r="C5785" s="5">
        <f t="shared" ref="C5785:C5786" si="2707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  <c r="V5785">
        <f t="shared" si="2697"/>
        <v>12</v>
      </c>
      <c r="W5785">
        <f t="shared" si="2695"/>
        <v>10</v>
      </c>
      <c r="X5785">
        <f t="shared" si="2696"/>
        <v>2011</v>
      </c>
    </row>
    <row r="5786" spans="1:24" ht="12" customHeight="1">
      <c r="A5786" s="4">
        <v>726</v>
      </c>
      <c r="B5786" s="4">
        <v>5217</v>
      </c>
      <c r="C5786" s="5">
        <f t="shared" si="2707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  <c r="V5786">
        <f t="shared" si="2697"/>
        <v>14</v>
      </c>
      <c r="W5786">
        <f t="shared" si="2695"/>
        <v>10</v>
      </c>
      <c r="X5786">
        <f t="shared" si="2696"/>
        <v>2011</v>
      </c>
    </row>
    <row r="5787" spans="1:24" ht="12" customHeight="1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  <c r="V5787">
        <f t="shared" si="2697"/>
        <v>21</v>
      </c>
      <c r="W5787">
        <f t="shared" si="2695"/>
        <v>12</v>
      </c>
      <c r="X5787">
        <f t="shared" si="2696"/>
        <v>2009</v>
      </c>
    </row>
    <row r="5788" spans="1:24" ht="12" customHeight="1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708">C5788+1</f>
        <v>41255</v>
      </c>
      <c r="V5788">
        <f t="shared" si="2697"/>
        <v>12</v>
      </c>
      <c r="W5788">
        <f t="shared" si="2695"/>
        <v>12</v>
      </c>
      <c r="X5788">
        <f t="shared" si="2696"/>
        <v>2012</v>
      </c>
    </row>
    <row r="5789" spans="1:24" ht="12" customHeight="1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708"/>
        <v>40435</v>
      </c>
      <c r="V5789">
        <f t="shared" si="2697"/>
        <v>14</v>
      </c>
      <c r="W5789">
        <f t="shared" si="2695"/>
        <v>9</v>
      </c>
      <c r="X5789">
        <f t="shared" si="2696"/>
        <v>2010</v>
      </c>
    </row>
    <row r="5790" spans="1:24" ht="12" customHeight="1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  <c r="V5790">
        <f t="shared" si="2697"/>
        <v>4</v>
      </c>
      <c r="W5790">
        <f t="shared" si="2695"/>
        <v>7</v>
      </c>
      <c r="X5790">
        <f t="shared" si="2696"/>
        <v>2009</v>
      </c>
    </row>
    <row r="5791" spans="1:24" ht="12" customHeight="1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  <c r="V5791">
        <f t="shared" si="2697"/>
        <v>30</v>
      </c>
      <c r="W5791">
        <f t="shared" si="2695"/>
        <v>3</v>
      </c>
      <c r="X5791">
        <f t="shared" si="2696"/>
        <v>2012</v>
      </c>
    </row>
    <row r="5792" spans="1:24" ht="12" customHeight="1">
      <c r="A5792" s="4">
        <v>1093</v>
      </c>
      <c r="B5792" s="4">
        <v>8034</v>
      </c>
      <c r="C5792" s="5">
        <f t="shared" ref="C5792:C5794" si="2709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  <c r="V5792">
        <f t="shared" si="2697"/>
        <v>19</v>
      </c>
      <c r="W5792">
        <f t="shared" si="2695"/>
        <v>1</v>
      </c>
      <c r="X5792">
        <f t="shared" si="2696"/>
        <v>2012</v>
      </c>
    </row>
    <row r="5793" spans="1:24" ht="12" customHeight="1">
      <c r="A5793" s="4">
        <v>1094</v>
      </c>
      <c r="B5793" s="4">
        <v>8034</v>
      </c>
      <c r="C5793" s="5">
        <f t="shared" si="2709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  <c r="V5793">
        <f t="shared" si="2697"/>
        <v>20</v>
      </c>
      <c r="W5793">
        <f t="shared" si="2695"/>
        <v>1</v>
      </c>
      <c r="X5793">
        <f t="shared" si="2696"/>
        <v>2012</v>
      </c>
    </row>
    <row r="5794" spans="1:24" ht="12" customHeight="1">
      <c r="A5794" s="4">
        <v>1095</v>
      </c>
      <c r="B5794" s="4">
        <v>8034</v>
      </c>
      <c r="C5794" s="5">
        <f t="shared" si="2709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  <c r="V5794">
        <f t="shared" si="2697"/>
        <v>21</v>
      </c>
      <c r="W5794">
        <f t="shared" si="2695"/>
        <v>1</v>
      </c>
      <c r="X5794">
        <f t="shared" si="2696"/>
        <v>2012</v>
      </c>
    </row>
    <row r="5795" spans="1:24" ht="12" customHeight="1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  <c r="V5795">
        <f t="shared" si="2697"/>
        <v>27</v>
      </c>
      <c r="W5795">
        <f t="shared" si="2695"/>
        <v>6</v>
      </c>
      <c r="X5795">
        <f t="shared" si="2696"/>
        <v>2011</v>
      </c>
    </row>
    <row r="5796" spans="1:24" ht="12" customHeight="1">
      <c r="A5796" s="4">
        <v>1290</v>
      </c>
      <c r="B5796" s="4">
        <v>9473</v>
      </c>
      <c r="C5796" s="5">
        <f t="shared" ref="C5796:C5798" si="2710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  <c r="V5796">
        <f t="shared" si="2697"/>
        <v>13</v>
      </c>
      <c r="W5796">
        <f t="shared" si="2695"/>
        <v>10</v>
      </c>
      <c r="X5796">
        <f t="shared" si="2696"/>
        <v>2012</v>
      </c>
    </row>
    <row r="5797" spans="1:24" ht="12" customHeight="1">
      <c r="A5797" s="4">
        <v>1291</v>
      </c>
      <c r="B5797" s="4">
        <v>9473</v>
      </c>
      <c r="C5797" s="5">
        <f t="shared" si="2710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  <c r="V5797">
        <f t="shared" si="2697"/>
        <v>12</v>
      </c>
      <c r="W5797">
        <f t="shared" si="2695"/>
        <v>10</v>
      </c>
      <c r="X5797">
        <f t="shared" si="2696"/>
        <v>2012</v>
      </c>
    </row>
    <row r="5798" spans="1:24" ht="12" customHeight="1">
      <c r="A5798" s="4">
        <v>1292</v>
      </c>
      <c r="B5798" s="4">
        <v>9473</v>
      </c>
      <c r="C5798" s="5">
        <f t="shared" si="2710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  <c r="V5798">
        <f t="shared" si="2697"/>
        <v>13</v>
      </c>
      <c r="W5798">
        <f t="shared" si="2695"/>
        <v>10</v>
      </c>
      <c r="X5798">
        <f t="shared" si="2696"/>
        <v>2012</v>
      </c>
    </row>
    <row r="5799" spans="1:24" ht="12" customHeight="1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  <c r="V5799">
        <f t="shared" si="2697"/>
        <v>24</v>
      </c>
      <c r="W5799">
        <f t="shared" si="2695"/>
        <v>6</v>
      </c>
      <c r="X5799">
        <f t="shared" si="2696"/>
        <v>2011</v>
      </c>
    </row>
    <row r="5800" spans="1:24" ht="12" customHeight="1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  <c r="V5800">
        <f t="shared" si="2697"/>
        <v>22</v>
      </c>
      <c r="W5800">
        <f t="shared" si="2695"/>
        <v>4</v>
      </c>
      <c r="X5800">
        <f t="shared" si="2696"/>
        <v>2011</v>
      </c>
    </row>
    <row r="5801" spans="1:24" ht="12" customHeight="1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  <c r="V5801">
        <f t="shared" si="2697"/>
        <v>6</v>
      </c>
      <c r="W5801">
        <f t="shared" si="2695"/>
        <v>11</v>
      </c>
      <c r="X5801">
        <f t="shared" si="2696"/>
        <v>2012</v>
      </c>
    </row>
    <row r="5802" spans="1:24" ht="12" customHeight="1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  <c r="V5802">
        <f t="shared" si="2697"/>
        <v>2</v>
      </c>
      <c r="W5802">
        <f t="shared" si="2695"/>
        <v>3</v>
      </c>
      <c r="X5802">
        <f t="shared" si="2696"/>
        <v>2011</v>
      </c>
    </row>
    <row r="5803" spans="1:24" ht="12" customHeight="1">
      <c r="A5803" s="4">
        <v>1766</v>
      </c>
      <c r="B5803" s="4">
        <v>12642</v>
      </c>
      <c r="C5803" s="5">
        <f t="shared" ref="C5803:C5804" si="2711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712">C5803+2</f>
        <v>39932</v>
      </c>
      <c r="V5803">
        <f t="shared" si="2697"/>
        <v>29</v>
      </c>
      <c r="W5803">
        <f t="shared" si="2695"/>
        <v>4</v>
      </c>
      <c r="X5803">
        <f t="shared" si="2696"/>
        <v>2009</v>
      </c>
    </row>
    <row r="5804" spans="1:24" ht="12" customHeight="1">
      <c r="A5804" s="4">
        <v>1767</v>
      </c>
      <c r="B5804" s="4">
        <v>12642</v>
      </c>
      <c r="C5804" s="5">
        <f t="shared" si="2711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712"/>
        <v>39932</v>
      </c>
      <c r="V5804">
        <f t="shared" si="2697"/>
        <v>29</v>
      </c>
      <c r="W5804">
        <f t="shared" si="2695"/>
        <v>4</v>
      </c>
      <c r="X5804">
        <f t="shared" si="2696"/>
        <v>2009</v>
      </c>
    </row>
    <row r="5805" spans="1:24" ht="12" customHeight="1">
      <c r="A5805" s="4">
        <v>1884</v>
      </c>
      <c r="B5805" s="4">
        <v>13542</v>
      </c>
      <c r="C5805" s="5">
        <f t="shared" ref="C5805:C5806" si="2713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  <c r="V5805">
        <f t="shared" si="2697"/>
        <v>15</v>
      </c>
      <c r="W5805">
        <f t="shared" si="2695"/>
        <v>3</v>
      </c>
      <c r="X5805">
        <f t="shared" si="2696"/>
        <v>2009</v>
      </c>
    </row>
    <row r="5806" spans="1:24" ht="12" customHeight="1">
      <c r="A5806" s="4">
        <v>1885</v>
      </c>
      <c r="B5806" s="4">
        <v>13542</v>
      </c>
      <c r="C5806" s="5">
        <f t="shared" si="2713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  <c r="V5806">
        <f t="shared" si="2697"/>
        <v>8</v>
      </c>
      <c r="W5806">
        <f t="shared" si="2695"/>
        <v>3</v>
      </c>
      <c r="X5806">
        <f t="shared" si="2696"/>
        <v>2009</v>
      </c>
    </row>
    <row r="5807" spans="1:24" ht="12" customHeight="1">
      <c r="A5807" s="4">
        <v>1954</v>
      </c>
      <c r="B5807" s="4">
        <v>13988</v>
      </c>
      <c r="C5807" s="5">
        <f t="shared" ref="C5807:C5809" si="2714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715">C5807+1</f>
        <v>41123</v>
      </c>
      <c r="V5807">
        <f t="shared" si="2697"/>
        <v>2</v>
      </c>
      <c r="W5807">
        <f t="shared" si="2695"/>
        <v>8</v>
      </c>
      <c r="X5807">
        <f t="shared" si="2696"/>
        <v>2012</v>
      </c>
    </row>
    <row r="5808" spans="1:24" ht="12" customHeight="1">
      <c r="A5808" s="4">
        <v>1955</v>
      </c>
      <c r="B5808" s="4">
        <v>13988</v>
      </c>
      <c r="C5808" s="5">
        <f t="shared" si="2714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715"/>
        <v>41123</v>
      </c>
      <c r="V5808">
        <f t="shared" si="2697"/>
        <v>2</v>
      </c>
      <c r="W5808">
        <f t="shared" si="2695"/>
        <v>8</v>
      </c>
      <c r="X5808">
        <f t="shared" si="2696"/>
        <v>2012</v>
      </c>
    </row>
    <row r="5809" spans="1:24" ht="12" customHeight="1">
      <c r="A5809" s="4">
        <v>1956</v>
      </c>
      <c r="B5809" s="4">
        <v>13988</v>
      </c>
      <c r="C5809" s="5">
        <f t="shared" si="2714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715"/>
        <v>41123</v>
      </c>
      <c r="V5809">
        <f t="shared" si="2697"/>
        <v>2</v>
      </c>
      <c r="W5809">
        <f t="shared" si="2695"/>
        <v>8</v>
      </c>
      <c r="X5809">
        <f t="shared" si="2696"/>
        <v>2012</v>
      </c>
    </row>
    <row r="5810" spans="1:24" ht="12" customHeight="1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715"/>
        <v>41075</v>
      </c>
      <c r="V5810">
        <f t="shared" si="2697"/>
        <v>15</v>
      </c>
      <c r="W5810">
        <f t="shared" si="2695"/>
        <v>6</v>
      </c>
      <c r="X5810">
        <f t="shared" si="2696"/>
        <v>2012</v>
      </c>
    </row>
    <row r="5811" spans="1:24" ht="12" customHeight="1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  <c r="V5811">
        <f t="shared" si="2697"/>
        <v>10</v>
      </c>
      <c r="W5811">
        <f t="shared" si="2695"/>
        <v>5</v>
      </c>
      <c r="X5811">
        <f t="shared" si="2696"/>
        <v>2011</v>
      </c>
    </row>
    <row r="5812" spans="1:24" ht="12" customHeight="1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  <c r="V5812">
        <f t="shared" si="2697"/>
        <v>15</v>
      </c>
      <c r="W5812">
        <f t="shared" si="2695"/>
        <v>2</v>
      </c>
      <c r="X5812">
        <f t="shared" si="2696"/>
        <v>2009</v>
      </c>
    </row>
    <row r="5813" spans="1:24" ht="12" customHeight="1">
      <c r="A5813" s="4">
        <v>2089</v>
      </c>
      <c r="B5813" s="4">
        <v>14951</v>
      </c>
      <c r="C5813" s="5">
        <f t="shared" ref="C5813:C5814" si="2716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  <c r="V5813">
        <f t="shared" si="2697"/>
        <v>19</v>
      </c>
      <c r="W5813">
        <f t="shared" si="2695"/>
        <v>5</v>
      </c>
      <c r="X5813">
        <f t="shared" si="2696"/>
        <v>2011</v>
      </c>
    </row>
    <row r="5814" spans="1:24" ht="12" customHeight="1">
      <c r="A5814" s="4">
        <v>2090</v>
      </c>
      <c r="B5814" s="4">
        <v>14951</v>
      </c>
      <c r="C5814" s="5">
        <f t="shared" si="2716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  <c r="V5814">
        <f t="shared" si="2697"/>
        <v>17</v>
      </c>
      <c r="W5814">
        <f t="shared" si="2695"/>
        <v>5</v>
      </c>
      <c r="X5814">
        <f t="shared" si="2696"/>
        <v>2011</v>
      </c>
    </row>
    <row r="5815" spans="1:24" ht="12" customHeight="1">
      <c r="A5815" s="4">
        <v>2097</v>
      </c>
      <c r="B5815" s="4">
        <v>14983</v>
      </c>
      <c r="C5815" s="5">
        <f t="shared" ref="C5815:C5816" si="2717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718">C5815+1</f>
        <v>39856</v>
      </c>
      <c r="V5815">
        <f t="shared" si="2697"/>
        <v>12</v>
      </c>
      <c r="W5815">
        <f t="shared" si="2695"/>
        <v>2</v>
      </c>
      <c r="X5815">
        <f t="shared" si="2696"/>
        <v>2009</v>
      </c>
    </row>
    <row r="5816" spans="1:24" ht="12" customHeight="1">
      <c r="A5816" s="4">
        <v>2098</v>
      </c>
      <c r="B5816" s="4">
        <v>14983</v>
      </c>
      <c r="C5816" s="5">
        <f t="shared" si="2717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718"/>
        <v>39856</v>
      </c>
      <c r="V5816">
        <f t="shared" si="2697"/>
        <v>12</v>
      </c>
      <c r="W5816">
        <f t="shared" si="2695"/>
        <v>2</v>
      </c>
      <c r="X5816">
        <f t="shared" si="2696"/>
        <v>2009</v>
      </c>
    </row>
    <row r="5817" spans="1:24" ht="12" customHeight="1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718"/>
        <v>41041</v>
      </c>
      <c r="V5817">
        <f t="shared" si="2697"/>
        <v>12</v>
      </c>
      <c r="W5817">
        <f t="shared" si="2695"/>
        <v>5</v>
      </c>
      <c r="X5817">
        <f t="shared" si="2696"/>
        <v>2012</v>
      </c>
    </row>
    <row r="5818" spans="1:24" ht="12" customHeight="1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719">C5818+2</f>
        <v>40731</v>
      </c>
      <c r="V5818">
        <f t="shared" si="2697"/>
        <v>7</v>
      </c>
      <c r="W5818">
        <f t="shared" si="2695"/>
        <v>7</v>
      </c>
      <c r="X5818">
        <f t="shared" si="2696"/>
        <v>2011</v>
      </c>
    </row>
    <row r="5819" spans="1:24" ht="12" customHeight="1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719"/>
        <v>40137</v>
      </c>
      <c r="V5819">
        <f t="shared" si="2697"/>
        <v>20</v>
      </c>
      <c r="W5819">
        <f t="shared" si="2695"/>
        <v>11</v>
      </c>
      <c r="X5819">
        <f t="shared" si="2696"/>
        <v>2009</v>
      </c>
    </row>
    <row r="5820" spans="1:24" ht="12" customHeight="1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720">C5820+1</f>
        <v>40405</v>
      </c>
      <c r="V5820">
        <f t="shared" si="2697"/>
        <v>15</v>
      </c>
      <c r="W5820">
        <f t="shared" si="2695"/>
        <v>8</v>
      </c>
      <c r="X5820">
        <f t="shared" si="2696"/>
        <v>2010</v>
      </c>
    </row>
    <row r="5821" spans="1:24" ht="12" customHeight="1">
      <c r="A5821" s="4">
        <v>2460</v>
      </c>
      <c r="B5821" s="4">
        <v>17862</v>
      </c>
      <c r="C5821" s="5">
        <f t="shared" ref="C5821:C5822" si="2721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720"/>
        <v>41037</v>
      </c>
      <c r="V5821">
        <f t="shared" si="2697"/>
        <v>8</v>
      </c>
      <c r="W5821">
        <f t="shared" si="2695"/>
        <v>5</v>
      </c>
      <c r="X5821">
        <f t="shared" si="2696"/>
        <v>2012</v>
      </c>
    </row>
    <row r="5822" spans="1:24" ht="12" customHeight="1">
      <c r="A5822" s="4">
        <v>2461</v>
      </c>
      <c r="B5822" s="4">
        <v>17862</v>
      </c>
      <c r="C5822" s="5">
        <f t="shared" si="2721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  <c r="V5822">
        <f t="shared" si="2697"/>
        <v>9</v>
      </c>
      <c r="W5822">
        <f t="shared" si="2695"/>
        <v>5</v>
      </c>
      <c r="X5822">
        <f t="shared" si="2696"/>
        <v>2012</v>
      </c>
    </row>
    <row r="5823" spans="1:24" ht="12" customHeight="1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  <c r="V5823">
        <f t="shared" si="2697"/>
        <v>10</v>
      </c>
      <c r="W5823">
        <f t="shared" si="2695"/>
        <v>8</v>
      </c>
      <c r="X5823">
        <f t="shared" si="2696"/>
        <v>2009</v>
      </c>
    </row>
    <row r="5824" spans="1:24" ht="12" customHeight="1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722">C5824+2</f>
        <v>40445</v>
      </c>
      <c r="V5824">
        <f t="shared" si="2697"/>
        <v>24</v>
      </c>
      <c r="W5824">
        <f t="shared" si="2695"/>
        <v>9</v>
      </c>
      <c r="X5824">
        <f t="shared" si="2696"/>
        <v>2010</v>
      </c>
    </row>
    <row r="5825" spans="1:24" ht="12" customHeight="1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722"/>
        <v>40040</v>
      </c>
      <c r="V5825">
        <f t="shared" si="2697"/>
        <v>15</v>
      </c>
      <c r="W5825">
        <f t="shared" si="2695"/>
        <v>8</v>
      </c>
      <c r="X5825">
        <f t="shared" si="2696"/>
        <v>2009</v>
      </c>
    </row>
    <row r="5826" spans="1:24" ht="12" customHeight="1">
      <c r="A5826" s="4">
        <v>2518</v>
      </c>
      <c r="B5826" s="4">
        <v>18307</v>
      </c>
      <c r="C5826" s="5">
        <f t="shared" ref="C5826:C5827" si="2723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  <c r="V5826">
        <f t="shared" si="2697"/>
        <v>6</v>
      </c>
      <c r="W5826">
        <f t="shared" si="2695"/>
        <v>2</v>
      </c>
      <c r="X5826">
        <f t="shared" si="2696"/>
        <v>2010</v>
      </c>
    </row>
    <row r="5827" spans="1:24" ht="12" customHeight="1">
      <c r="A5827" s="4">
        <v>2519</v>
      </c>
      <c r="B5827" s="4">
        <v>18307</v>
      </c>
      <c r="C5827" s="5">
        <f t="shared" si="2723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  <c r="V5827">
        <f t="shared" si="2697"/>
        <v>2</v>
      </c>
      <c r="W5827">
        <f t="shared" ref="W5827:W5890" si="2724">MONTH(U5827)</f>
        <v>2</v>
      </c>
      <c r="X5827">
        <f t="shared" ref="X5827:X5890" si="2725">YEAR(U5827)</f>
        <v>2010</v>
      </c>
    </row>
    <row r="5828" spans="1:24" ht="12" customHeight="1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  <c r="V5828">
        <f t="shared" ref="V5828:V5891" si="2726">DAY(U5828)</f>
        <v>17</v>
      </c>
      <c r="W5828">
        <f t="shared" si="2724"/>
        <v>1</v>
      </c>
      <c r="X5828">
        <f t="shared" si="2725"/>
        <v>2011</v>
      </c>
    </row>
    <row r="5829" spans="1:24" ht="12" customHeight="1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  <c r="V5829">
        <f t="shared" si="2726"/>
        <v>18</v>
      </c>
      <c r="W5829">
        <f t="shared" si="2724"/>
        <v>9</v>
      </c>
      <c r="X5829">
        <f t="shared" si="2725"/>
        <v>2009</v>
      </c>
    </row>
    <row r="5830" spans="1:24" ht="12" customHeight="1">
      <c r="A5830" s="4">
        <v>2720</v>
      </c>
      <c r="B5830" s="4">
        <v>19649</v>
      </c>
      <c r="C5830" s="5">
        <f t="shared" ref="C5830:C5831" si="2727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  <c r="V5830">
        <f t="shared" si="2726"/>
        <v>6</v>
      </c>
      <c r="W5830">
        <f t="shared" si="2724"/>
        <v>5</v>
      </c>
      <c r="X5830">
        <f t="shared" si="2725"/>
        <v>2011</v>
      </c>
    </row>
    <row r="5831" spans="1:24" ht="12" customHeight="1">
      <c r="A5831" s="4">
        <v>2721</v>
      </c>
      <c r="B5831" s="4">
        <v>19649</v>
      </c>
      <c r="C5831" s="5">
        <f t="shared" si="2727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728">C5831+1</f>
        <v>40668</v>
      </c>
      <c r="V5831">
        <f t="shared" si="2726"/>
        <v>5</v>
      </c>
      <c r="W5831">
        <f t="shared" si="2724"/>
        <v>5</v>
      </c>
      <c r="X5831">
        <f t="shared" si="2725"/>
        <v>2011</v>
      </c>
    </row>
    <row r="5832" spans="1:24" ht="12" customHeight="1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728"/>
        <v>40395</v>
      </c>
      <c r="V5832">
        <f t="shared" si="2726"/>
        <v>5</v>
      </c>
      <c r="W5832">
        <f t="shared" si="2724"/>
        <v>8</v>
      </c>
      <c r="X5832">
        <f t="shared" si="2725"/>
        <v>2010</v>
      </c>
    </row>
    <row r="5833" spans="1:24" ht="12" customHeight="1">
      <c r="A5833" s="4">
        <v>2762</v>
      </c>
      <c r="B5833" s="4">
        <v>19974</v>
      </c>
      <c r="C5833" s="5">
        <f t="shared" ref="C5833:C5834" si="2729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730">C5833+2</f>
        <v>40487</v>
      </c>
      <c r="V5833">
        <f t="shared" si="2726"/>
        <v>5</v>
      </c>
      <c r="W5833">
        <f t="shared" si="2724"/>
        <v>11</v>
      </c>
      <c r="X5833">
        <f t="shared" si="2725"/>
        <v>2010</v>
      </c>
    </row>
    <row r="5834" spans="1:24" ht="12" customHeight="1">
      <c r="A5834" s="4">
        <v>2763</v>
      </c>
      <c r="B5834" s="4">
        <v>19974</v>
      </c>
      <c r="C5834" s="5">
        <f t="shared" si="2729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730"/>
        <v>40487</v>
      </c>
      <c r="V5834">
        <f t="shared" si="2726"/>
        <v>5</v>
      </c>
      <c r="W5834">
        <f t="shared" si="2724"/>
        <v>11</v>
      </c>
      <c r="X5834">
        <f t="shared" si="2725"/>
        <v>2010</v>
      </c>
    </row>
    <row r="5835" spans="1:24" ht="12" customHeight="1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730"/>
        <v>41220</v>
      </c>
      <c r="V5835">
        <f t="shared" si="2726"/>
        <v>7</v>
      </c>
      <c r="W5835">
        <f t="shared" si="2724"/>
        <v>11</v>
      </c>
      <c r="X5835">
        <f t="shared" si="2725"/>
        <v>2012</v>
      </c>
    </row>
    <row r="5836" spans="1:24" ht="12" customHeight="1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  <c r="V5836">
        <f t="shared" si="2726"/>
        <v>3</v>
      </c>
      <c r="W5836">
        <f t="shared" si="2724"/>
        <v>7</v>
      </c>
      <c r="X5836">
        <f t="shared" si="2725"/>
        <v>2011</v>
      </c>
    </row>
    <row r="5837" spans="1:24" ht="12" customHeight="1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  <c r="V5837">
        <f t="shared" si="2726"/>
        <v>3</v>
      </c>
      <c r="W5837">
        <f t="shared" si="2724"/>
        <v>4</v>
      </c>
      <c r="X5837">
        <f t="shared" si="2725"/>
        <v>2009</v>
      </c>
    </row>
    <row r="5838" spans="1:24" ht="12" customHeight="1">
      <c r="A5838" s="4">
        <v>3224</v>
      </c>
      <c r="B5838" s="4">
        <v>23140</v>
      </c>
      <c r="C5838" s="5">
        <f t="shared" ref="C5838:C5839" si="2731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  <c r="V5838">
        <f t="shared" si="2726"/>
        <v>10</v>
      </c>
      <c r="W5838">
        <f t="shared" si="2724"/>
        <v>2</v>
      </c>
      <c r="X5838">
        <f t="shared" si="2725"/>
        <v>2012</v>
      </c>
    </row>
    <row r="5839" spans="1:24" ht="12" customHeight="1">
      <c r="A5839" s="4">
        <v>3225</v>
      </c>
      <c r="B5839" s="4">
        <v>23140</v>
      </c>
      <c r="C5839" s="5">
        <f t="shared" si="2731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  <c r="V5839">
        <f t="shared" si="2726"/>
        <v>8</v>
      </c>
      <c r="W5839">
        <f t="shared" si="2724"/>
        <v>2</v>
      </c>
      <c r="X5839">
        <f t="shared" si="2725"/>
        <v>2012</v>
      </c>
    </row>
    <row r="5840" spans="1:24" ht="12" customHeight="1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  <c r="V5840">
        <f t="shared" si="2726"/>
        <v>17</v>
      </c>
      <c r="W5840">
        <f t="shared" si="2724"/>
        <v>1</v>
      </c>
      <c r="X5840">
        <f t="shared" si="2725"/>
        <v>2010</v>
      </c>
    </row>
    <row r="5841" spans="1:24" ht="12" customHeight="1">
      <c r="A5841" s="4">
        <v>3309</v>
      </c>
      <c r="B5841" s="4">
        <v>23648</v>
      </c>
      <c r="C5841" s="5">
        <f t="shared" ref="C5841:C5842" si="2732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733">C5841+1</f>
        <v>41177</v>
      </c>
      <c r="V5841">
        <f t="shared" si="2726"/>
        <v>25</v>
      </c>
      <c r="W5841">
        <f t="shared" si="2724"/>
        <v>9</v>
      </c>
      <c r="X5841">
        <f t="shared" si="2725"/>
        <v>2012</v>
      </c>
    </row>
    <row r="5842" spans="1:24" ht="12" customHeight="1">
      <c r="A5842" s="4">
        <v>3310</v>
      </c>
      <c r="B5842" s="4">
        <v>23648</v>
      </c>
      <c r="C5842" s="5">
        <f t="shared" si="2732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733"/>
        <v>41177</v>
      </c>
      <c r="V5842">
        <f t="shared" si="2726"/>
        <v>25</v>
      </c>
      <c r="W5842">
        <f t="shared" si="2724"/>
        <v>9</v>
      </c>
      <c r="X5842">
        <f t="shared" si="2725"/>
        <v>2012</v>
      </c>
    </row>
    <row r="5843" spans="1:24" ht="12" customHeight="1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  <c r="V5843">
        <f t="shared" si="2726"/>
        <v>11</v>
      </c>
      <c r="W5843">
        <f t="shared" si="2724"/>
        <v>11</v>
      </c>
      <c r="X5843">
        <f t="shared" si="2725"/>
        <v>2011</v>
      </c>
    </row>
    <row r="5844" spans="1:24" ht="12" customHeight="1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  <c r="V5844">
        <f t="shared" si="2726"/>
        <v>22</v>
      </c>
      <c r="W5844">
        <f t="shared" si="2724"/>
        <v>9</v>
      </c>
      <c r="X5844">
        <f t="shared" si="2725"/>
        <v>2012</v>
      </c>
    </row>
    <row r="5845" spans="1:24" ht="12" customHeight="1">
      <c r="A5845" s="4">
        <v>3632</v>
      </c>
      <c r="B5845" s="4">
        <v>25953</v>
      </c>
      <c r="C5845" s="5">
        <f t="shared" ref="C5845:C5846" si="2734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735">C5845+1</f>
        <v>40084</v>
      </c>
      <c r="V5845">
        <f t="shared" si="2726"/>
        <v>28</v>
      </c>
      <c r="W5845">
        <f t="shared" si="2724"/>
        <v>9</v>
      </c>
      <c r="X5845">
        <f t="shared" si="2725"/>
        <v>2009</v>
      </c>
    </row>
    <row r="5846" spans="1:24" ht="12" customHeight="1">
      <c r="A5846" s="4">
        <v>3633</v>
      </c>
      <c r="B5846" s="4">
        <v>25953</v>
      </c>
      <c r="C5846" s="5">
        <f t="shared" si="2734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735"/>
        <v>40084</v>
      </c>
      <c r="V5846">
        <f t="shared" si="2726"/>
        <v>28</v>
      </c>
      <c r="W5846">
        <f t="shared" si="2724"/>
        <v>9</v>
      </c>
      <c r="X5846">
        <f t="shared" si="2725"/>
        <v>2009</v>
      </c>
    </row>
    <row r="5847" spans="1:24" ht="12" customHeight="1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735"/>
        <v>40843</v>
      </c>
      <c r="V5847">
        <f t="shared" si="2726"/>
        <v>27</v>
      </c>
      <c r="W5847">
        <f t="shared" si="2724"/>
        <v>10</v>
      </c>
      <c r="X5847">
        <f t="shared" si="2725"/>
        <v>2011</v>
      </c>
    </row>
    <row r="5848" spans="1:24" ht="12" customHeight="1">
      <c r="A5848" s="4">
        <v>3702</v>
      </c>
      <c r="B5848" s="4">
        <v>26439</v>
      </c>
      <c r="C5848" s="5">
        <f t="shared" ref="C5848:C5850" si="2736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735"/>
        <v>40802</v>
      </c>
      <c r="V5848">
        <f t="shared" si="2726"/>
        <v>16</v>
      </c>
      <c r="W5848">
        <f t="shared" si="2724"/>
        <v>9</v>
      </c>
      <c r="X5848">
        <f t="shared" si="2725"/>
        <v>2011</v>
      </c>
    </row>
    <row r="5849" spans="1:24" ht="12" customHeight="1">
      <c r="A5849" s="4">
        <v>3703</v>
      </c>
      <c r="B5849" s="4">
        <v>26439</v>
      </c>
      <c r="C5849" s="5">
        <f t="shared" si="2736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  <c r="V5849">
        <f t="shared" si="2726"/>
        <v>15</v>
      </c>
      <c r="W5849">
        <f t="shared" si="2724"/>
        <v>9</v>
      </c>
      <c r="X5849">
        <f t="shared" si="2725"/>
        <v>2011</v>
      </c>
    </row>
    <row r="5850" spans="1:24" ht="12" customHeight="1">
      <c r="A5850" s="4">
        <v>3704</v>
      </c>
      <c r="B5850" s="4">
        <v>26439</v>
      </c>
      <c r="C5850" s="5">
        <f t="shared" si="2736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  <c r="V5850">
        <f t="shared" si="2726"/>
        <v>17</v>
      </c>
      <c r="W5850">
        <f t="shared" si="2724"/>
        <v>9</v>
      </c>
      <c r="X5850">
        <f t="shared" si="2725"/>
        <v>2011</v>
      </c>
    </row>
    <row r="5851" spans="1:24" ht="12" customHeight="1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737">C5851+1</f>
        <v>39976</v>
      </c>
      <c r="V5851">
        <f t="shared" si="2726"/>
        <v>12</v>
      </c>
      <c r="W5851">
        <f t="shared" si="2724"/>
        <v>6</v>
      </c>
      <c r="X5851">
        <f t="shared" si="2725"/>
        <v>2009</v>
      </c>
    </row>
    <row r="5852" spans="1:24" ht="12" customHeight="1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737"/>
        <v>40160</v>
      </c>
      <c r="V5852">
        <f t="shared" si="2726"/>
        <v>13</v>
      </c>
      <c r="W5852">
        <f t="shared" si="2724"/>
        <v>12</v>
      </c>
      <c r="X5852">
        <f t="shared" si="2725"/>
        <v>2009</v>
      </c>
    </row>
    <row r="5853" spans="1:24" ht="12" customHeight="1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737"/>
        <v>41052</v>
      </c>
      <c r="V5853">
        <f t="shared" si="2726"/>
        <v>23</v>
      </c>
      <c r="W5853">
        <f t="shared" si="2724"/>
        <v>5</v>
      </c>
      <c r="X5853">
        <f t="shared" si="2725"/>
        <v>2012</v>
      </c>
    </row>
    <row r="5854" spans="1:24" ht="12" customHeight="1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  <c r="V5854">
        <f t="shared" si="2726"/>
        <v>28</v>
      </c>
      <c r="W5854">
        <f t="shared" si="2724"/>
        <v>12</v>
      </c>
      <c r="X5854">
        <f t="shared" si="2725"/>
        <v>2012</v>
      </c>
    </row>
    <row r="5855" spans="1:24" ht="12" customHeight="1">
      <c r="A5855" s="4">
        <v>3993</v>
      </c>
      <c r="B5855" s="4">
        <v>28512</v>
      </c>
      <c r="C5855" s="5">
        <f t="shared" ref="C5855:C5857" si="2738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  <c r="V5855">
        <f t="shared" si="2726"/>
        <v>28</v>
      </c>
      <c r="W5855">
        <f t="shared" si="2724"/>
        <v>4</v>
      </c>
      <c r="X5855">
        <f t="shared" si="2725"/>
        <v>2010</v>
      </c>
    </row>
    <row r="5856" spans="1:24" ht="12" customHeight="1">
      <c r="A5856" s="4">
        <v>3994</v>
      </c>
      <c r="B5856" s="4">
        <v>28512</v>
      </c>
      <c r="C5856" s="5">
        <f t="shared" si="2738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739">C5856+2</f>
        <v>40297</v>
      </c>
      <c r="V5856">
        <f t="shared" si="2726"/>
        <v>29</v>
      </c>
      <c r="W5856">
        <f t="shared" si="2724"/>
        <v>4</v>
      </c>
      <c r="X5856">
        <f t="shared" si="2725"/>
        <v>2010</v>
      </c>
    </row>
    <row r="5857" spans="1:24" ht="12" customHeight="1">
      <c r="A5857" s="4">
        <v>3995</v>
      </c>
      <c r="B5857" s="4">
        <v>28512</v>
      </c>
      <c r="C5857" s="5">
        <f t="shared" si="2738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739"/>
        <v>40297</v>
      </c>
      <c r="V5857">
        <f t="shared" si="2726"/>
        <v>29</v>
      </c>
      <c r="W5857">
        <f t="shared" si="2724"/>
        <v>4</v>
      </c>
      <c r="X5857">
        <f t="shared" si="2725"/>
        <v>2010</v>
      </c>
    </row>
    <row r="5858" spans="1:24" ht="12" customHeight="1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740">C5858+1</f>
        <v>40829</v>
      </c>
      <c r="V5858">
        <f t="shared" si="2726"/>
        <v>13</v>
      </c>
      <c r="W5858">
        <f t="shared" si="2724"/>
        <v>10</v>
      </c>
      <c r="X5858">
        <f t="shared" si="2725"/>
        <v>2011</v>
      </c>
    </row>
    <row r="5859" spans="1:24" ht="12" customHeight="1">
      <c r="A5859" s="4">
        <v>4045</v>
      </c>
      <c r="B5859" s="4">
        <v>28867</v>
      </c>
      <c r="C5859" s="5">
        <f t="shared" ref="C5859:C5861" si="2741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740"/>
        <v>40747</v>
      </c>
      <c r="V5859">
        <f t="shared" si="2726"/>
        <v>23</v>
      </c>
      <c r="W5859">
        <f t="shared" si="2724"/>
        <v>7</v>
      </c>
      <c r="X5859">
        <f t="shared" si="2725"/>
        <v>2011</v>
      </c>
    </row>
    <row r="5860" spans="1:24" ht="12" customHeight="1">
      <c r="A5860" s="4">
        <v>4046</v>
      </c>
      <c r="B5860" s="4">
        <v>28867</v>
      </c>
      <c r="C5860" s="5">
        <f t="shared" si="2741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740"/>
        <v>40747</v>
      </c>
      <c r="V5860">
        <f t="shared" si="2726"/>
        <v>23</v>
      </c>
      <c r="W5860">
        <f t="shared" si="2724"/>
        <v>7</v>
      </c>
      <c r="X5860">
        <f t="shared" si="2725"/>
        <v>2011</v>
      </c>
    </row>
    <row r="5861" spans="1:24" ht="12" customHeight="1">
      <c r="A5861" s="4">
        <v>4047</v>
      </c>
      <c r="B5861" s="4">
        <v>28867</v>
      </c>
      <c r="C5861" s="5">
        <f t="shared" si="2741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742">C5861+2</f>
        <v>40748</v>
      </c>
      <c r="V5861">
        <f t="shared" si="2726"/>
        <v>24</v>
      </c>
      <c r="W5861">
        <f t="shared" si="2724"/>
        <v>7</v>
      </c>
      <c r="X5861">
        <f t="shared" si="2725"/>
        <v>2011</v>
      </c>
    </row>
    <row r="5862" spans="1:24" ht="12" customHeight="1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742"/>
        <v>41076</v>
      </c>
      <c r="V5862">
        <f t="shared" si="2726"/>
        <v>16</v>
      </c>
      <c r="W5862">
        <f t="shared" si="2724"/>
        <v>6</v>
      </c>
      <c r="X5862">
        <f t="shared" si="2725"/>
        <v>2012</v>
      </c>
    </row>
    <row r="5863" spans="1:24" ht="12" customHeight="1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742"/>
        <v>41052</v>
      </c>
      <c r="V5863">
        <f t="shared" si="2726"/>
        <v>23</v>
      </c>
      <c r="W5863">
        <f t="shared" si="2724"/>
        <v>5</v>
      </c>
      <c r="X5863">
        <f t="shared" si="2725"/>
        <v>2012</v>
      </c>
    </row>
    <row r="5864" spans="1:24" ht="12" customHeight="1">
      <c r="A5864" s="4">
        <v>4303</v>
      </c>
      <c r="B5864" s="4">
        <v>30657</v>
      </c>
      <c r="C5864" s="5">
        <f t="shared" ref="C5864:C5865" si="2743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  <c r="V5864">
        <f t="shared" si="2726"/>
        <v>11</v>
      </c>
      <c r="W5864">
        <f t="shared" si="2724"/>
        <v>5</v>
      </c>
      <c r="X5864">
        <f t="shared" si="2725"/>
        <v>2011</v>
      </c>
    </row>
    <row r="5865" spans="1:24" ht="12" customHeight="1">
      <c r="A5865" s="4">
        <v>4304</v>
      </c>
      <c r="B5865" s="4">
        <v>30657</v>
      </c>
      <c r="C5865" s="5">
        <f t="shared" si="2743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  <c r="V5865">
        <f t="shared" si="2726"/>
        <v>12</v>
      </c>
      <c r="W5865">
        <f t="shared" si="2724"/>
        <v>5</v>
      </c>
      <c r="X5865">
        <f t="shared" si="2725"/>
        <v>2011</v>
      </c>
    </row>
    <row r="5866" spans="1:24" ht="12" customHeight="1">
      <c r="A5866" s="4">
        <v>4399</v>
      </c>
      <c r="B5866" s="4">
        <v>31330</v>
      </c>
      <c r="C5866" s="5">
        <f t="shared" ref="C5866:C5867" si="2744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745">C5866+1</f>
        <v>40331</v>
      </c>
      <c r="V5866">
        <f t="shared" si="2726"/>
        <v>2</v>
      </c>
      <c r="W5866">
        <f t="shared" si="2724"/>
        <v>6</v>
      </c>
      <c r="X5866">
        <f t="shared" si="2725"/>
        <v>2010</v>
      </c>
    </row>
    <row r="5867" spans="1:24" ht="12" customHeight="1">
      <c r="A5867" s="4">
        <v>4400</v>
      </c>
      <c r="B5867" s="4">
        <v>31330</v>
      </c>
      <c r="C5867" s="5">
        <f t="shared" si="2744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745"/>
        <v>40331</v>
      </c>
      <c r="V5867">
        <f t="shared" si="2726"/>
        <v>2</v>
      </c>
      <c r="W5867">
        <f t="shared" si="2724"/>
        <v>6</v>
      </c>
      <c r="X5867">
        <f t="shared" si="2725"/>
        <v>2010</v>
      </c>
    </row>
    <row r="5868" spans="1:24" ht="12" customHeight="1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745"/>
        <v>40752</v>
      </c>
      <c r="V5868">
        <f t="shared" si="2726"/>
        <v>28</v>
      </c>
      <c r="W5868">
        <f t="shared" si="2724"/>
        <v>7</v>
      </c>
      <c r="X5868">
        <f t="shared" si="2725"/>
        <v>2011</v>
      </c>
    </row>
    <row r="5869" spans="1:24" ht="12" customHeight="1">
      <c r="A5869" s="4">
        <v>4441</v>
      </c>
      <c r="B5869" s="4">
        <v>31648</v>
      </c>
      <c r="C5869" s="5">
        <f t="shared" ref="C5869:C5870" si="2746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  <c r="V5869">
        <f t="shared" si="2726"/>
        <v>20</v>
      </c>
      <c r="W5869">
        <f t="shared" si="2724"/>
        <v>8</v>
      </c>
      <c r="X5869">
        <f t="shared" si="2725"/>
        <v>2011</v>
      </c>
    </row>
    <row r="5870" spans="1:24" ht="12" customHeight="1">
      <c r="A5870" s="4">
        <v>4442</v>
      </c>
      <c r="B5870" s="4">
        <v>31648</v>
      </c>
      <c r="C5870" s="5">
        <f t="shared" si="2746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747">C5870+2</f>
        <v>40777</v>
      </c>
      <c r="V5870">
        <f t="shared" si="2726"/>
        <v>22</v>
      </c>
      <c r="W5870">
        <f t="shared" si="2724"/>
        <v>8</v>
      </c>
      <c r="X5870">
        <f t="shared" si="2725"/>
        <v>2011</v>
      </c>
    </row>
    <row r="5871" spans="1:24" ht="12" customHeight="1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747"/>
        <v>41054</v>
      </c>
      <c r="V5871">
        <f t="shared" si="2726"/>
        <v>25</v>
      </c>
      <c r="W5871">
        <f t="shared" si="2724"/>
        <v>5</v>
      </c>
      <c r="X5871">
        <f t="shared" si="2725"/>
        <v>2012</v>
      </c>
    </row>
    <row r="5872" spans="1:24" ht="12" customHeight="1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748">C5872+1</f>
        <v>40121</v>
      </c>
      <c r="V5872">
        <f t="shared" si="2726"/>
        <v>4</v>
      </c>
      <c r="W5872">
        <f t="shared" si="2724"/>
        <v>11</v>
      </c>
      <c r="X5872">
        <f t="shared" si="2725"/>
        <v>2009</v>
      </c>
    </row>
    <row r="5873" spans="1:24" ht="12" customHeight="1">
      <c r="A5873" s="4">
        <v>4605</v>
      </c>
      <c r="B5873" s="4">
        <v>32804</v>
      </c>
      <c r="C5873" s="5">
        <f t="shared" ref="C5873:C5874" si="2749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748"/>
        <v>41162</v>
      </c>
      <c r="V5873">
        <f t="shared" si="2726"/>
        <v>10</v>
      </c>
      <c r="W5873">
        <f t="shared" si="2724"/>
        <v>9</v>
      </c>
      <c r="X5873">
        <f t="shared" si="2725"/>
        <v>2012</v>
      </c>
    </row>
    <row r="5874" spans="1:24" ht="12" customHeight="1">
      <c r="A5874" s="4">
        <v>4606</v>
      </c>
      <c r="B5874" s="4">
        <v>32804</v>
      </c>
      <c r="C5874" s="5">
        <f t="shared" si="2749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  <c r="V5874">
        <f t="shared" si="2726"/>
        <v>11</v>
      </c>
      <c r="W5874">
        <f t="shared" si="2724"/>
        <v>9</v>
      </c>
      <c r="X5874">
        <f t="shared" si="2725"/>
        <v>2012</v>
      </c>
    </row>
    <row r="5875" spans="1:24" ht="12" customHeight="1">
      <c r="A5875" s="4">
        <v>4608</v>
      </c>
      <c r="B5875" s="4">
        <v>32806</v>
      </c>
      <c r="C5875" s="5">
        <f t="shared" ref="C5875:C5876" si="2750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  <c r="V5875">
        <f t="shared" si="2726"/>
        <v>22</v>
      </c>
      <c r="W5875">
        <f t="shared" si="2724"/>
        <v>6</v>
      </c>
      <c r="X5875">
        <f t="shared" si="2725"/>
        <v>2011</v>
      </c>
    </row>
    <row r="5876" spans="1:24" ht="12" customHeight="1">
      <c r="A5876" s="4">
        <v>4609</v>
      </c>
      <c r="B5876" s="4">
        <v>32806</v>
      </c>
      <c r="C5876" s="5">
        <f t="shared" si="2750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  <c r="V5876">
        <f t="shared" si="2726"/>
        <v>23</v>
      </c>
      <c r="W5876">
        <f t="shared" si="2724"/>
        <v>6</v>
      </c>
      <c r="X5876">
        <f t="shared" si="2725"/>
        <v>2011</v>
      </c>
    </row>
    <row r="5877" spans="1:24" ht="12" customHeight="1">
      <c r="A5877" s="4">
        <v>4635</v>
      </c>
      <c r="B5877" s="4">
        <v>32996</v>
      </c>
      <c r="C5877" s="5">
        <f t="shared" ref="C5877:C5878" si="2751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  <c r="V5877">
        <f t="shared" si="2726"/>
        <v>20</v>
      </c>
      <c r="W5877">
        <f t="shared" si="2724"/>
        <v>12</v>
      </c>
      <c r="X5877">
        <f t="shared" si="2725"/>
        <v>2010</v>
      </c>
    </row>
    <row r="5878" spans="1:24" ht="12" customHeight="1">
      <c r="A5878" s="4">
        <v>4636</v>
      </c>
      <c r="B5878" s="4">
        <v>32996</v>
      </c>
      <c r="C5878" s="5">
        <f t="shared" si="2751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752">C5878+2</f>
        <v>40531</v>
      </c>
      <c r="V5878">
        <f t="shared" si="2726"/>
        <v>19</v>
      </c>
      <c r="W5878">
        <f t="shared" si="2724"/>
        <v>12</v>
      </c>
      <c r="X5878">
        <f t="shared" si="2725"/>
        <v>2010</v>
      </c>
    </row>
    <row r="5879" spans="1:24" ht="12" customHeight="1">
      <c r="A5879" s="4">
        <v>4657</v>
      </c>
      <c r="B5879" s="4">
        <v>33184</v>
      </c>
      <c r="C5879" s="5">
        <f t="shared" ref="C5879:C5880" si="2753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752"/>
        <v>40954</v>
      </c>
      <c r="V5879">
        <f t="shared" si="2726"/>
        <v>15</v>
      </c>
      <c r="W5879">
        <f t="shared" si="2724"/>
        <v>2</v>
      </c>
      <c r="X5879">
        <f t="shared" si="2725"/>
        <v>2012</v>
      </c>
    </row>
    <row r="5880" spans="1:24" ht="12" customHeight="1">
      <c r="A5880" s="4">
        <v>4658</v>
      </c>
      <c r="B5880" s="4">
        <v>33184</v>
      </c>
      <c r="C5880" s="5">
        <f t="shared" si="2753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752"/>
        <v>40954</v>
      </c>
      <c r="V5880">
        <f t="shared" si="2726"/>
        <v>15</v>
      </c>
      <c r="W5880">
        <f t="shared" si="2724"/>
        <v>2</v>
      </c>
      <c r="X5880">
        <f t="shared" si="2725"/>
        <v>2012</v>
      </c>
    </row>
    <row r="5881" spans="1:24" ht="12" customHeight="1">
      <c r="A5881" s="4">
        <v>4742</v>
      </c>
      <c r="B5881" s="4">
        <v>33731</v>
      </c>
      <c r="C5881" s="5">
        <f t="shared" ref="C5881:C5883" si="2754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  <c r="V5881">
        <f t="shared" si="2726"/>
        <v>9</v>
      </c>
      <c r="W5881">
        <f t="shared" si="2724"/>
        <v>10</v>
      </c>
      <c r="X5881">
        <f t="shared" si="2725"/>
        <v>2012</v>
      </c>
    </row>
    <row r="5882" spans="1:24" ht="12" customHeight="1">
      <c r="A5882" s="4">
        <v>4743</v>
      </c>
      <c r="B5882" s="4">
        <v>33731</v>
      </c>
      <c r="C5882" s="5">
        <f t="shared" si="2754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  <c r="V5882">
        <f t="shared" si="2726"/>
        <v>8</v>
      </c>
      <c r="W5882">
        <f t="shared" si="2724"/>
        <v>10</v>
      </c>
      <c r="X5882">
        <f t="shared" si="2725"/>
        <v>2012</v>
      </c>
    </row>
    <row r="5883" spans="1:24" ht="12" customHeight="1">
      <c r="A5883" s="4">
        <v>4744</v>
      </c>
      <c r="B5883" s="4">
        <v>33731</v>
      </c>
      <c r="C5883" s="5">
        <f t="shared" si="2754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755">C5883+2</f>
        <v>41192</v>
      </c>
      <c r="V5883">
        <f t="shared" si="2726"/>
        <v>10</v>
      </c>
      <c r="W5883">
        <f t="shared" si="2724"/>
        <v>10</v>
      </c>
      <c r="X5883">
        <f t="shared" si="2725"/>
        <v>2012</v>
      </c>
    </row>
    <row r="5884" spans="1:24" ht="12" customHeight="1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755"/>
        <v>40789</v>
      </c>
      <c r="V5884">
        <f t="shared" si="2726"/>
        <v>3</v>
      </c>
      <c r="W5884">
        <f t="shared" si="2724"/>
        <v>9</v>
      </c>
      <c r="X5884">
        <f t="shared" si="2725"/>
        <v>2011</v>
      </c>
    </row>
    <row r="5885" spans="1:24" ht="12" customHeight="1">
      <c r="A5885" s="4">
        <v>4896</v>
      </c>
      <c r="B5885" s="4">
        <v>34849</v>
      </c>
      <c r="C5885" s="5">
        <f t="shared" ref="C5885:C5887" si="2756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755"/>
        <v>40465</v>
      </c>
      <c r="V5885">
        <f t="shared" si="2726"/>
        <v>14</v>
      </c>
      <c r="W5885">
        <f t="shared" si="2724"/>
        <v>10</v>
      </c>
      <c r="X5885">
        <f t="shared" si="2725"/>
        <v>2010</v>
      </c>
    </row>
    <row r="5886" spans="1:24" ht="12" customHeight="1">
      <c r="A5886" s="4">
        <v>4897</v>
      </c>
      <c r="B5886" s="4">
        <v>34849</v>
      </c>
      <c r="C5886" s="5">
        <f t="shared" si="2756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757">C5886+1</f>
        <v>40464</v>
      </c>
      <c r="V5886">
        <f t="shared" si="2726"/>
        <v>13</v>
      </c>
      <c r="W5886">
        <f t="shared" si="2724"/>
        <v>10</v>
      </c>
      <c r="X5886">
        <f t="shared" si="2725"/>
        <v>2010</v>
      </c>
    </row>
    <row r="5887" spans="1:24" ht="12" customHeight="1">
      <c r="A5887" s="4">
        <v>4898</v>
      </c>
      <c r="B5887" s="4">
        <v>34849</v>
      </c>
      <c r="C5887" s="5">
        <f t="shared" si="2756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757"/>
        <v>40464</v>
      </c>
      <c r="V5887">
        <f t="shared" si="2726"/>
        <v>13</v>
      </c>
      <c r="W5887">
        <f t="shared" si="2724"/>
        <v>10</v>
      </c>
      <c r="X5887">
        <f t="shared" si="2725"/>
        <v>2010</v>
      </c>
    </row>
    <row r="5888" spans="1:24" ht="12" customHeight="1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757"/>
        <v>40265</v>
      </c>
      <c r="V5888">
        <f t="shared" si="2726"/>
        <v>28</v>
      </c>
      <c r="W5888">
        <f t="shared" si="2724"/>
        <v>3</v>
      </c>
      <c r="X5888">
        <f t="shared" si="2725"/>
        <v>2010</v>
      </c>
    </row>
    <row r="5889" spans="1:24" ht="12" customHeight="1">
      <c r="A5889" s="4">
        <v>5376</v>
      </c>
      <c r="B5889" s="4">
        <v>38215</v>
      </c>
      <c r="C5889" s="5">
        <f t="shared" ref="C5889:C5890" si="2758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757"/>
        <v>40181</v>
      </c>
      <c r="V5889">
        <f t="shared" si="2726"/>
        <v>3</v>
      </c>
      <c r="W5889">
        <f t="shared" si="2724"/>
        <v>1</v>
      </c>
      <c r="X5889">
        <f t="shared" si="2725"/>
        <v>2010</v>
      </c>
    </row>
    <row r="5890" spans="1:24" ht="12" customHeight="1">
      <c r="A5890" s="4">
        <v>5377</v>
      </c>
      <c r="B5890" s="4">
        <v>38215</v>
      </c>
      <c r="C5890" s="5">
        <f t="shared" si="2758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  <c r="V5890">
        <f t="shared" si="2726"/>
        <v>4</v>
      </c>
      <c r="W5890">
        <f t="shared" si="2724"/>
        <v>1</v>
      </c>
      <c r="X5890">
        <f t="shared" si="2725"/>
        <v>2010</v>
      </c>
    </row>
    <row r="5891" spans="1:24" ht="12" customHeight="1">
      <c r="A5891" s="4">
        <v>5445</v>
      </c>
      <c r="B5891" s="4">
        <v>38659</v>
      </c>
      <c r="C5891" s="5">
        <f t="shared" ref="C5891:C5892" si="2759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  <c r="V5891">
        <f t="shared" si="2726"/>
        <v>3</v>
      </c>
      <c r="W5891">
        <f t="shared" ref="W5891:W5954" si="2760">MONTH(U5891)</f>
        <v>4</v>
      </c>
      <c r="X5891">
        <f t="shared" ref="X5891:X5954" si="2761">YEAR(U5891)</f>
        <v>2010</v>
      </c>
    </row>
    <row r="5892" spans="1:24" ht="12" customHeight="1">
      <c r="A5892" s="4">
        <v>5446</v>
      </c>
      <c r="B5892" s="4">
        <v>38659</v>
      </c>
      <c r="C5892" s="5">
        <f t="shared" si="2759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  <c r="V5892">
        <f t="shared" ref="V5892:V5955" si="2762">DAY(U5892)</f>
        <v>6</v>
      </c>
      <c r="W5892">
        <f t="shared" si="2760"/>
        <v>4</v>
      </c>
      <c r="X5892">
        <f t="shared" si="2761"/>
        <v>2010</v>
      </c>
    </row>
    <row r="5893" spans="1:24" ht="12" customHeight="1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  <c r="V5893">
        <f t="shared" si="2762"/>
        <v>18</v>
      </c>
      <c r="W5893">
        <f t="shared" si="2760"/>
        <v>7</v>
      </c>
      <c r="X5893">
        <f t="shared" si="2761"/>
        <v>2009</v>
      </c>
    </row>
    <row r="5894" spans="1:24" ht="12" customHeight="1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  <c r="V5894">
        <f t="shared" si="2762"/>
        <v>12</v>
      </c>
      <c r="W5894">
        <f t="shared" si="2760"/>
        <v>5</v>
      </c>
      <c r="X5894">
        <f t="shared" si="2761"/>
        <v>2009</v>
      </c>
    </row>
    <row r="5895" spans="1:24" ht="12" customHeight="1">
      <c r="A5895" s="4">
        <v>5690</v>
      </c>
      <c r="B5895" s="4">
        <v>40225</v>
      </c>
      <c r="C5895" s="5">
        <f t="shared" ref="C5895:C5896" si="2763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  <c r="V5895">
        <f t="shared" si="2762"/>
        <v>16</v>
      </c>
      <c r="W5895">
        <f t="shared" si="2760"/>
        <v>1</v>
      </c>
      <c r="X5895">
        <f t="shared" si="2761"/>
        <v>2011</v>
      </c>
    </row>
    <row r="5896" spans="1:24" ht="12" customHeight="1">
      <c r="A5896" s="4">
        <v>5691</v>
      </c>
      <c r="B5896" s="4">
        <v>40225</v>
      </c>
      <c r="C5896" s="5">
        <f t="shared" si="2763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  <c r="V5896">
        <f t="shared" si="2762"/>
        <v>11</v>
      </c>
      <c r="W5896">
        <f t="shared" si="2760"/>
        <v>1</v>
      </c>
      <c r="X5896">
        <f t="shared" si="2761"/>
        <v>2011</v>
      </c>
    </row>
    <row r="5897" spans="1:24" ht="12" customHeight="1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764">C5897+1</f>
        <v>40439</v>
      </c>
      <c r="V5897">
        <f t="shared" si="2762"/>
        <v>18</v>
      </c>
      <c r="W5897">
        <f t="shared" si="2760"/>
        <v>9</v>
      </c>
      <c r="X5897">
        <f t="shared" si="2761"/>
        <v>2010</v>
      </c>
    </row>
    <row r="5898" spans="1:24" ht="12" customHeight="1">
      <c r="A5898" s="4">
        <v>5869</v>
      </c>
      <c r="B5898" s="4">
        <v>41636</v>
      </c>
      <c r="C5898" s="5">
        <f t="shared" ref="C5898:C5900" si="2765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764"/>
        <v>40040</v>
      </c>
      <c r="V5898">
        <f t="shared" si="2762"/>
        <v>15</v>
      </c>
      <c r="W5898">
        <f t="shared" si="2760"/>
        <v>8</v>
      </c>
      <c r="X5898">
        <f t="shared" si="2761"/>
        <v>2009</v>
      </c>
    </row>
    <row r="5899" spans="1:24" ht="12" customHeight="1">
      <c r="A5899" s="4">
        <v>5870</v>
      </c>
      <c r="B5899" s="4">
        <v>41636</v>
      </c>
      <c r="C5899" s="5">
        <f t="shared" si="2765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766">C5899+2</f>
        <v>40041</v>
      </c>
      <c r="V5899">
        <f t="shared" si="2762"/>
        <v>16</v>
      </c>
      <c r="W5899">
        <f t="shared" si="2760"/>
        <v>8</v>
      </c>
      <c r="X5899">
        <f t="shared" si="2761"/>
        <v>2009</v>
      </c>
    </row>
    <row r="5900" spans="1:24" ht="12" customHeight="1">
      <c r="A5900" s="4">
        <v>5871</v>
      </c>
      <c r="B5900" s="4">
        <v>41636</v>
      </c>
      <c r="C5900" s="5">
        <f t="shared" si="2765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766"/>
        <v>40041</v>
      </c>
      <c r="V5900">
        <f t="shared" si="2762"/>
        <v>16</v>
      </c>
      <c r="W5900">
        <f t="shared" si="2760"/>
        <v>8</v>
      </c>
      <c r="X5900">
        <f t="shared" si="2761"/>
        <v>2009</v>
      </c>
    </row>
    <row r="5901" spans="1:24" ht="12" customHeight="1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  <c r="V5901">
        <f t="shared" si="2762"/>
        <v>24</v>
      </c>
      <c r="W5901">
        <f t="shared" si="2760"/>
        <v>6</v>
      </c>
      <c r="X5901">
        <f t="shared" si="2761"/>
        <v>2009</v>
      </c>
    </row>
    <row r="5902" spans="1:24" ht="12" customHeight="1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  <c r="V5902">
        <f t="shared" si="2762"/>
        <v>11</v>
      </c>
      <c r="W5902">
        <f t="shared" si="2760"/>
        <v>5</v>
      </c>
      <c r="X5902">
        <f t="shared" si="2761"/>
        <v>2011</v>
      </c>
    </row>
    <row r="5903" spans="1:24" ht="12" customHeight="1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  <c r="V5903">
        <f t="shared" si="2762"/>
        <v>6</v>
      </c>
      <c r="W5903">
        <f t="shared" si="2760"/>
        <v>9</v>
      </c>
      <c r="X5903">
        <f t="shared" si="2761"/>
        <v>2009</v>
      </c>
    </row>
    <row r="5904" spans="1:24" ht="12" customHeight="1">
      <c r="A5904" s="4">
        <v>5977</v>
      </c>
      <c r="B5904" s="4">
        <v>42374</v>
      </c>
      <c r="C5904" s="5">
        <f t="shared" ref="C5904:C5906" si="2767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  <c r="V5904">
        <f t="shared" si="2762"/>
        <v>17</v>
      </c>
      <c r="W5904">
        <f t="shared" si="2760"/>
        <v>7</v>
      </c>
      <c r="X5904">
        <f t="shared" si="2761"/>
        <v>2012</v>
      </c>
    </row>
    <row r="5905" spans="1:24" ht="12" customHeight="1">
      <c r="A5905" s="4">
        <v>5978</v>
      </c>
      <c r="B5905" s="4">
        <v>42374</v>
      </c>
      <c r="C5905" s="5">
        <f t="shared" si="2767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  <c r="V5905">
        <f t="shared" si="2762"/>
        <v>18</v>
      </c>
      <c r="W5905">
        <f t="shared" si="2760"/>
        <v>7</v>
      </c>
      <c r="X5905">
        <f t="shared" si="2761"/>
        <v>2012</v>
      </c>
    </row>
    <row r="5906" spans="1:24" ht="12" customHeight="1">
      <c r="A5906" s="4">
        <v>5979</v>
      </c>
      <c r="B5906" s="4">
        <v>42374</v>
      </c>
      <c r="C5906" s="5">
        <f t="shared" si="2767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  <c r="V5906">
        <f t="shared" si="2762"/>
        <v>19</v>
      </c>
      <c r="W5906">
        <f t="shared" si="2760"/>
        <v>7</v>
      </c>
      <c r="X5906">
        <f t="shared" si="2761"/>
        <v>2012</v>
      </c>
    </row>
    <row r="5907" spans="1:24" ht="12" customHeight="1">
      <c r="A5907" s="4">
        <v>6016</v>
      </c>
      <c r="B5907" s="4">
        <v>42631</v>
      </c>
      <c r="C5907" s="5">
        <f t="shared" ref="C5907:C5910" si="2768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  <c r="V5907">
        <f t="shared" si="2762"/>
        <v>9</v>
      </c>
      <c r="W5907">
        <f t="shared" si="2760"/>
        <v>5</v>
      </c>
      <c r="X5907">
        <f t="shared" si="2761"/>
        <v>2009</v>
      </c>
    </row>
    <row r="5908" spans="1:24" ht="12" customHeight="1">
      <c r="A5908" s="4">
        <v>6017</v>
      </c>
      <c r="B5908" s="4">
        <v>42631</v>
      </c>
      <c r="C5908" s="5">
        <f t="shared" si="2768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769">C5908+1</f>
        <v>39943</v>
      </c>
      <c r="V5908">
        <f t="shared" si="2762"/>
        <v>10</v>
      </c>
      <c r="W5908">
        <f t="shared" si="2760"/>
        <v>5</v>
      </c>
      <c r="X5908">
        <f t="shared" si="2761"/>
        <v>2009</v>
      </c>
    </row>
    <row r="5909" spans="1:24" ht="12" customHeight="1">
      <c r="A5909" s="4">
        <v>6018</v>
      </c>
      <c r="B5909" s="4">
        <v>42631</v>
      </c>
      <c r="C5909" s="5">
        <f t="shared" si="2768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769"/>
        <v>39943</v>
      </c>
      <c r="V5909">
        <f t="shared" si="2762"/>
        <v>10</v>
      </c>
      <c r="W5909">
        <f t="shared" si="2760"/>
        <v>5</v>
      </c>
      <c r="X5909">
        <f t="shared" si="2761"/>
        <v>2009</v>
      </c>
    </row>
    <row r="5910" spans="1:24" ht="12" customHeight="1">
      <c r="A5910" s="4">
        <v>6019</v>
      </c>
      <c r="B5910" s="4">
        <v>42631</v>
      </c>
      <c r="C5910" s="5">
        <f t="shared" si="2768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770">C5910+2</f>
        <v>39944</v>
      </c>
      <c r="V5910">
        <f t="shared" si="2762"/>
        <v>11</v>
      </c>
      <c r="W5910">
        <f t="shared" si="2760"/>
        <v>5</v>
      </c>
      <c r="X5910">
        <f t="shared" si="2761"/>
        <v>2009</v>
      </c>
    </row>
    <row r="5911" spans="1:24" ht="12" customHeight="1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770"/>
        <v>40666</v>
      </c>
      <c r="V5911">
        <f t="shared" si="2762"/>
        <v>3</v>
      </c>
      <c r="W5911">
        <f t="shared" si="2760"/>
        <v>5</v>
      </c>
      <c r="X5911">
        <f t="shared" si="2761"/>
        <v>2011</v>
      </c>
    </row>
    <row r="5912" spans="1:24" ht="12" customHeight="1">
      <c r="A5912" s="4">
        <v>6077</v>
      </c>
      <c r="B5912" s="4">
        <v>43045</v>
      </c>
      <c r="C5912" s="5">
        <f t="shared" ref="C5912:C5913" si="2771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770"/>
        <v>41076</v>
      </c>
      <c r="V5912">
        <f t="shared" si="2762"/>
        <v>16</v>
      </c>
      <c r="W5912">
        <f t="shared" si="2760"/>
        <v>6</v>
      </c>
      <c r="X5912">
        <f t="shared" si="2761"/>
        <v>2012</v>
      </c>
    </row>
    <row r="5913" spans="1:24" ht="12" customHeight="1">
      <c r="A5913" s="4">
        <v>6078</v>
      </c>
      <c r="B5913" s="4">
        <v>43045</v>
      </c>
      <c r="C5913" s="5">
        <f t="shared" si="2771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772">C5913+0</f>
        <v>41074</v>
      </c>
      <c r="V5913">
        <f t="shared" si="2762"/>
        <v>14</v>
      </c>
      <c r="W5913">
        <f t="shared" si="2760"/>
        <v>6</v>
      </c>
      <c r="X5913">
        <f t="shared" si="2761"/>
        <v>2012</v>
      </c>
    </row>
    <row r="5914" spans="1:24" ht="12" customHeight="1">
      <c r="A5914" s="4">
        <v>6085</v>
      </c>
      <c r="B5914" s="4">
        <v>43110</v>
      </c>
      <c r="C5914" s="5">
        <f t="shared" ref="C5914:C5915" si="2773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772"/>
        <v>40580</v>
      </c>
      <c r="V5914">
        <f t="shared" si="2762"/>
        <v>6</v>
      </c>
      <c r="W5914">
        <f t="shared" si="2760"/>
        <v>2</v>
      </c>
      <c r="X5914">
        <f t="shared" si="2761"/>
        <v>2011</v>
      </c>
    </row>
    <row r="5915" spans="1:24" ht="12" customHeight="1">
      <c r="A5915" s="4">
        <v>6086</v>
      </c>
      <c r="B5915" s="4">
        <v>43110</v>
      </c>
      <c r="C5915" s="5">
        <f t="shared" si="2773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774">C5915+2</f>
        <v>40582</v>
      </c>
      <c r="V5915">
        <f t="shared" si="2762"/>
        <v>8</v>
      </c>
      <c r="W5915">
        <f t="shared" si="2760"/>
        <v>2</v>
      </c>
      <c r="X5915">
        <f t="shared" si="2761"/>
        <v>2011</v>
      </c>
    </row>
    <row r="5916" spans="1:24" ht="12" customHeight="1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774"/>
        <v>40620</v>
      </c>
      <c r="V5916">
        <f t="shared" si="2762"/>
        <v>18</v>
      </c>
      <c r="W5916">
        <f t="shared" si="2760"/>
        <v>3</v>
      </c>
      <c r="X5916">
        <f t="shared" si="2761"/>
        <v>2011</v>
      </c>
    </row>
    <row r="5917" spans="1:24" ht="12" customHeight="1">
      <c r="A5917" s="4">
        <v>6313</v>
      </c>
      <c r="B5917" s="4">
        <v>44678</v>
      </c>
      <c r="C5917" s="5">
        <f t="shared" ref="C5917:C5918" si="2775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  <c r="V5917">
        <f t="shared" si="2762"/>
        <v>13</v>
      </c>
      <c r="W5917">
        <f t="shared" si="2760"/>
        <v>10</v>
      </c>
      <c r="X5917">
        <f t="shared" si="2761"/>
        <v>2012</v>
      </c>
    </row>
    <row r="5918" spans="1:24" ht="12" customHeight="1">
      <c r="A5918" s="4">
        <v>6314</v>
      </c>
      <c r="B5918" s="4">
        <v>44678</v>
      </c>
      <c r="C5918" s="5">
        <f t="shared" si="2775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  <c r="V5918">
        <f t="shared" si="2762"/>
        <v>15</v>
      </c>
      <c r="W5918">
        <f t="shared" si="2760"/>
        <v>10</v>
      </c>
      <c r="X5918">
        <f t="shared" si="2761"/>
        <v>2012</v>
      </c>
    </row>
    <row r="5919" spans="1:24" ht="12" customHeight="1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  <c r="V5919">
        <f t="shared" si="2762"/>
        <v>15</v>
      </c>
      <c r="W5919">
        <f t="shared" si="2760"/>
        <v>9</v>
      </c>
      <c r="X5919">
        <f t="shared" si="2761"/>
        <v>2012</v>
      </c>
    </row>
    <row r="5920" spans="1:24" ht="12" customHeight="1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  <c r="V5920">
        <f t="shared" si="2762"/>
        <v>11</v>
      </c>
      <c r="W5920">
        <f t="shared" si="2760"/>
        <v>3</v>
      </c>
      <c r="X5920">
        <f t="shared" si="2761"/>
        <v>2010</v>
      </c>
    </row>
    <row r="5921" spans="1:24" ht="12" customHeight="1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776">C5921+1</f>
        <v>40588</v>
      </c>
      <c r="V5921">
        <f t="shared" si="2762"/>
        <v>14</v>
      </c>
      <c r="W5921">
        <f t="shared" si="2760"/>
        <v>2</v>
      </c>
      <c r="X5921">
        <f t="shared" si="2761"/>
        <v>2011</v>
      </c>
    </row>
    <row r="5922" spans="1:24" ht="12" customHeight="1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776"/>
        <v>40294</v>
      </c>
      <c r="V5922">
        <f t="shared" si="2762"/>
        <v>26</v>
      </c>
      <c r="W5922">
        <f t="shared" si="2760"/>
        <v>4</v>
      </c>
      <c r="X5922">
        <f t="shared" si="2761"/>
        <v>2010</v>
      </c>
    </row>
    <row r="5923" spans="1:24" ht="12" customHeight="1">
      <c r="A5923" s="4">
        <v>6638</v>
      </c>
      <c r="B5923" s="4">
        <v>47203</v>
      </c>
      <c r="C5923" s="5">
        <f t="shared" ref="C5923:C5924" si="2777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776"/>
        <v>40166</v>
      </c>
      <c r="V5923">
        <f t="shared" si="2762"/>
        <v>19</v>
      </c>
      <c r="W5923">
        <f t="shared" si="2760"/>
        <v>12</v>
      </c>
      <c r="X5923">
        <f t="shared" si="2761"/>
        <v>2009</v>
      </c>
    </row>
    <row r="5924" spans="1:24" ht="12" customHeight="1">
      <c r="A5924" s="4">
        <v>6639</v>
      </c>
      <c r="B5924" s="4">
        <v>47203</v>
      </c>
      <c r="C5924" s="5">
        <f t="shared" si="2777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  <c r="V5924">
        <f t="shared" si="2762"/>
        <v>20</v>
      </c>
      <c r="W5924">
        <f t="shared" si="2760"/>
        <v>12</v>
      </c>
      <c r="X5924">
        <f t="shared" si="2761"/>
        <v>2009</v>
      </c>
    </row>
    <row r="5925" spans="1:24" ht="12" customHeight="1">
      <c r="A5925" s="4">
        <v>6646</v>
      </c>
      <c r="B5925" s="4">
        <v>47270</v>
      </c>
      <c r="C5925" s="5">
        <f t="shared" ref="C5925:C5927" si="2778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  <c r="V5925">
        <f t="shared" si="2762"/>
        <v>5</v>
      </c>
      <c r="W5925">
        <f t="shared" si="2760"/>
        <v>8</v>
      </c>
      <c r="X5925">
        <f t="shared" si="2761"/>
        <v>2010</v>
      </c>
    </row>
    <row r="5926" spans="1:24" ht="12" customHeight="1">
      <c r="A5926" s="4">
        <v>6647</v>
      </c>
      <c r="B5926" s="4">
        <v>47270</v>
      </c>
      <c r="C5926" s="5">
        <f t="shared" si="2778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779">C5926+2</f>
        <v>40394</v>
      </c>
      <c r="V5926">
        <f t="shared" si="2762"/>
        <v>4</v>
      </c>
      <c r="W5926">
        <f t="shared" si="2760"/>
        <v>8</v>
      </c>
      <c r="X5926">
        <f t="shared" si="2761"/>
        <v>2010</v>
      </c>
    </row>
    <row r="5927" spans="1:24" ht="12" customHeight="1">
      <c r="A5927" s="4">
        <v>6648</v>
      </c>
      <c r="B5927" s="4">
        <v>47270</v>
      </c>
      <c r="C5927" s="5">
        <f t="shared" si="2778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779"/>
        <v>40394</v>
      </c>
      <c r="V5927">
        <f t="shared" si="2762"/>
        <v>4</v>
      </c>
      <c r="W5927">
        <f t="shared" si="2760"/>
        <v>8</v>
      </c>
      <c r="X5927">
        <f t="shared" si="2761"/>
        <v>2010</v>
      </c>
    </row>
    <row r="5928" spans="1:24" ht="12" customHeight="1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  <c r="V5928">
        <f t="shared" si="2762"/>
        <v>15</v>
      </c>
      <c r="W5928">
        <f t="shared" si="2760"/>
        <v>4</v>
      </c>
      <c r="X5928">
        <f t="shared" si="2761"/>
        <v>2010</v>
      </c>
    </row>
    <row r="5929" spans="1:24" ht="12" customHeight="1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780">C5929+1</f>
        <v>39904</v>
      </c>
      <c r="V5929">
        <f t="shared" si="2762"/>
        <v>1</v>
      </c>
      <c r="W5929">
        <f t="shared" si="2760"/>
        <v>4</v>
      </c>
      <c r="X5929">
        <f t="shared" si="2761"/>
        <v>2009</v>
      </c>
    </row>
    <row r="5930" spans="1:24" ht="12" customHeight="1">
      <c r="A5930" s="4">
        <v>6752</v>
      </c>
      <c r="B5930" s="4">
        <v>48096</v>
      </c>
      <c r="C5930" s="5">
        <f t="shared" ref="C5930:C5931" si="2781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780"/>
        <v>39977</v>
      </c>
      <c r="V5930">
        <f t="shared" si="2762"/>
        <v>13</v>
      </c>
      <c r="W5930">
        <f t="shared" si="2760"/>
        <v>6</v>
      </c>
      <c r="X5930">
        <f t="shared" si="2761"/>
        <v>2009</v>
      </c>
    </row>
    <row r="5931" spans="1:24" ht="12" customHeight="1">
      <c r="A5931" s="4">
        <v>6753</v>
      </c>
      <c r="B5931" s="4">
        <v>48096</v>
      </c>
      <c r="C5931" s="5">
        <f t="shared" si="2781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782">C5931+2</f>
        <v>39978</v>
      </c>
      <c r="V5931">
        <f t="shared" si="2762"/>
        <v>14</v>
      </c>
      <c r="W5931">
        <f t="shared" si="2760"/>
        <v>6</v>
      </c>
      <c r="X5931">
        <f t="shared" si="2761"/>
        <v>2009</v>
      </c>
    </row>
    <row r="5932" spans="1:24" ht="12" customHeight="1">
      <c r="A5932" s="4">
        <v>6859</v>
      </c>
      <c r="B5932" s="4">
        <v>48868</v>
      </c>
      <c r="C5932" s="5">
        <f t="shared" ref="C5932:C5933" si="2783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782"/>
        <v>41075</v>
      </c>
      <c r="V5932">
        <f t="shared" si="2762"/>
        <v>15</v>
      </c>
      <c r="W5932">
        <f t="shared" si="2760"/>
        <v>6</v>
      </c>
      <c r="X5932">
        <f t="shared" si="2761"/>
        <v>2012</v>
      </c>
    </row>
    <row r="5933" spans="1:24" ht="12" customHeight="1">
      <c r="A5933" s="4">
        <v>6860</v>
      </c>
      <c r="B5933" s="4">
        <v>48868</v>
      </c>
      <c r="C5933" s="5">
        <f t="shared" si="2783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784">C5933+1</f>
        <v>41074</v>
      </c>
      <c r="V5933">
        <f t="shared" si="2762"/>
        <v>14</v>
      </c>
      <c r="W5933">
        <f t="shared" si="2760"/>
        <v>6</v>
      </c>
      <c r="X5933">
        <f t="shared" si="2761"/>
        <v>2012</v>
      </c>
    </row>
    <row r="5934" spans="1:24" ht="12" customHeight="1">
      <c r="A5934" s="4">
        <v>6955</v>
      </c>
      <c r="B5934" s="4">
        <v>49760</v>
      </c>
      <c r="C5934" s="5">
        <f t="shared" ref="C5934:C5936" si="2785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784"/>
        <v>40818</v>
      </c>
      <c r="V5934">
        <f t="shared" si="2762"/>
        <v>2</v>
      </c>
      <c r="W5934">
        <f t="shared" si="2760"/>
        <v>10</v>
      </c>
      <c r="X5934">
        <f t="shared" si="2761"/>
        <v>2011</v>
      </c>
    </row>
    <row r="5935" spans="1:24" ht="12" customHeight="1">
      <c r="A5935" s="4">
        <v>6956</v>
      </c>
      <c r="B5935" s="4">
        <v>49760</v>
      </c>
      <c r="C5935" s="5">
        <f t="shared" si="2785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786">C5935+2</f>
        <v>40819</v>
      </c>
      <c r="V5935">
        <f t="shared" si="2762"/>
        <v>3</v>
      </c>
      <c r="W5935">
        <f t="shared" si="2760"/>
        <v>10</v>
      </c>
      <c r="X5935">
        <f t="shared" si="2761"/>
        <v>2011</v>
      </c>
    </row>
    <row r="5936" spans="1:24" ht="12" customHeight="1">
      <c r="A5936" s="4">
        <v>6957</v>
      </c>
      <c r="B5936" s="4">
        <v>49760</v>
      </c>
      <c r="C5936" s="5">
        <f t="shared" si="2785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786"/>
        <v>40819</v>
      </c>
      <c r="V5936">
        <f t="shared" si="2762"/>
        <v>3</v>
      </c>
      <c r="W5936">
        <f t="shared" si="2760"/>
        <v>10</v>
      </c>
      <c r="X5936">
        <f t="shared" si="2761"/>
        <v>2011</v>
      </c>
    </row>
    <row r="5937" spans="1:24" ht="12" customHeight="1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786"/>
        <v>40005</v>
      </c>
      <c r="V5937">
        <f t="shared" si="2762"/>
        <v>11</v>
      </c>
      <c r="W5937">
        <f t="shared" si="2760"/>
        <v>7</v>
      </c>
      <c r="X5937">
        <f t="shared" si="2761"/>
        <v>2009</v>
      </c>
    </row>
    <row r="5938" spans="1:24" ht="12" customHeight="1">
      <c r="A5938" s="4">
        <v>7027</v>
      </c>
      <c r="B5938" s="4">
        <v>50147</v>
      </c>
      <c r="C5938" s="5">
        <f t="shared" ref="C5938:C5939" si="2787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  <c r="V5938">
        <f t="shared" si="2762"/>
        <v>9</v>
      </c>
      <c r="W5938">
        <f t="shared" si="2760"/>
        <v>10</v>
      </c>
      <c r="X5938">
        <f t="shared" si="2761"/>
        <v>2009</v>
      </c>
    </row>
    <row r="5939" spans="1:24" ht="12" customHeight="1">
      <c r="A5939" s="4">
        <v>7028</v>
      </c>
      <c r="B5939" s="4">
        <v>50147</v>
      </c>
      <c r="C5939" s="5">
        <f t="shared" si="2787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  <c r="V5939">
        <f t="shared" si="2762"/>
        <v>8</v>
      </c>
      <c r="W5939">
        <f t="shared" si="2760"/>
        <v>10</v>
      </c>
      <c r="X5939">
        <f t="shared" si="2761"/>
        <v>2009</v>
      </c>
    </row>
    <row r="5940" spans="1:24" ht="12" customHeight="1">
      <c r="A5940" s="4">
        <v>7044</v>
      </c>
      <c r="B5940" s="4">
        <v>50304</v>
      </c>
      <c r="C5940" s="5">
        <f t="shared" ref="C5940:C5941" si="2788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789">C5940+2</f>
        <v>40211</v>
      </c>
      <c r="V5940">
        <f t="shared" si="2762"/>
        <v>2</v>
      </c>
      <c r="W5940">
        <f t="shared" si="2760"/>
        <v>2</v>
      </c>
      <c r="X5940">
        <f t="shared" si="2761"/>
        <v>2010</v>
      </c>
    </row>
    <row r="5941" spans="1:24" ht="12" customHeight="1">
      <c r="A5941" s="4">
        <v>7045</v>
      </c>
      <c r="B5941" s="4">
        <v>50304</v>
      </c>
      <c r="C5941" s="5">
        <f t="shared" si="2788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789"/>
        <v>40211</v>
      </c>
      <c r="V5941">
        <f t="shared" si="2762"/>
        <v>2</v>
      </c>
      <c r="W5941">
        <f t="shared" si="2760"/>
        <v>2</v>
      </c>
      <c r="X5941">
        <f t="shared" si="2761"/>
        <v>2010</v>
      </c>
    </row>
    <row r="5942" spans="1:24" ht="12" customHeight="1">
      <c r="A5942" s="4">
        <v>7112</v>
      </c>
      <c r="B5942" s="4">
        <v>50756</v>
      </c>
      <c r="C5942" s="5">
        <f t="shared" ref="C5942:C5943" si="2790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  <c r="V5942">
        <f t="shared" si="2762"/>
        <v>10</v>
      </c>
      <c r="W5942">
        <f t="shared" si="2760"/>
        <v>9</v>
      </c>
      <c r="X5942">
        <f t="shared" si="2761"/>
        <v>2010</v>
      </c>
    </row>
    <row r="5943" spans="1:24" ht="12" customHeight="1">
      <c r="A5943" s="4">
        <v>7113</v>
      </c>
      <c r="B5943" s="4">
        <v>50756</v>
      </c>
      <c r="C5943" s="5">
        <f t="shared" si="2790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791">C5943+0</f>
        <v>40430</v>
      </c>
      <c r="V5943">
        <f t="shared" si="2762"/>
        <v>9</v>
      </c>
      <c r="W5943">
        <f t="shared" si="2760"/>
        <v>9</v>
      </c>
      <c r="X5943">
        <f t="shared" si="2761"/>
        <v>2010</v>
      </c>
    </row>
    <row r="5944" spans="1:24" ht="12" customHeight="1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791"/>
        <v>40893</v>
      </c>
      <c r="V5944">
        <f t="shared" si="2762"/>
        <v>16</v>
      </c>
      <c r="W5944">
        <f t="shared" si="2760"/>
        <v>12</v>
      </c>
      <c r="X5944">
        <f t="shared" si="2761"/>
        <v>2011</v>
      </c>
    </row>
    <row r="5945" spans="1:24" ht="12" customHeight="1">
      <c r="A5945" s="4">
        <v>7227</v>
      </c>
      <c r="B5945" s="4">
        <v>51554</v>
      </c>
      <c r="C5945" s="5">
        <f t="shared" ref="C5945:C5946" si="2792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  <c r="V5945">
        <f t="shared" si="2762"/>
        <v>28</v>
      </c>
      <c r="W5945">
        <f t="shared" si="2760"/>
        <v>3</v>
      </c>
      <c r="X5945">
        <f t="shared" si="2761"/>
        <v>2009</v>
      </c>
    </row>
    <row r="5946" spans="1:24" ht="12" customHeight="1">
      <c r="A5946" s="4">
        <v>7228</v>
      </c>
      <c r="B5946" s="4">
        <v>51554</v>
      </c>
      <c r="C5946" s="5">
        <f t="shared" si="2792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793">C5946+1</f>
        <v>39899</v>
      </c>
      <c r="V5946">
        <f t="shared" si="2762"/>
        <v>27</v>
      </c>
      <c r="W5946">
        <f t="shared" si="2760"/>
        <v>3</v>
      </c>
      <c r="X5946">
        <f t="shared" si="2761"/>
        <v>2009</v>
      </c>
    </row>
    <row r="5947" spans="1:24" ht="12" customHeight="1">
      <c r="A5947" s="4">
        <v>7325</v>
      </c>
      <c r="B5947" s="4">
        <v>52197</v>
      </c>
      <c r="C5947" s="5">
        <f t="shared" ref="C5947:C5948" si="2794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793"/>
        <v>41126</v>
      </c>
      <c r="V5947">
        <f t="shared" si="2762"/>
        <v>5</v>
      </c>
      <c r="W5947">
        <f t="shared" si="2760"/>
        <v>8</v>
      </c>
      <c r="X5947">
        <f t="shared" si="2761"/>
        <v>2012</v>
      </c>
    </row>
    <row r="5948" spans="1:24" ht="12" customHeight="1">
      <c r="A5948" s="4">
        <v>7326</v>
      </c>
      <c r="B5948" s="4">
        <v>52197</v>
      </c>
      <c r="C5948" s="5">
        <f t="shared" si="2794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  <c r="V5948">
        <f t="shared" si="2762"/>
        <v>6</v>
      </c>
      <c r="W5948">
        <f t="shared" si="2760"/>
        <v>8</v>
      </c>
      <c r="X5948">
        <f t="shared" si="2761"/>
        <v>2012</v>
      </c>
    </row>
    <row r="5949" spans="1:24" ht="12" customHeight="1">
      <c r="A5949" s="4">
        <v>7380</v>
      </c>
      <c r="B5949" s="4">
        <v>52615</v>
      </c>
      <c r="C5949" s="5">
        <f t="shared" ref="C5949:C5950" si="2795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796">C5949+4</f>
        <v>40109</v>
      </c>
      <c r="V5949">
        <f t="shared" si="2762"/>
        <v>23</v>
      </c>
      <c r="W5949">
        <f t="shared" si="2760"/>
        <v>10</v>
      </c>
      <c r="X5949">
        <f t="shared" si="2761"/>
        <v>2009</v>
      </c>
    </row>
    <row r="5950" spans="1:24" ht="12" customHeight="1">
      <c r="A5950" s="4">
        <v>7381</v>
      </c>
      <c r="B5950" s="4">
        <v>52615</v>
      </c>
      <c r="C5950" s="5">
        <f t="shared" si="2795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796"/>
        <v>40109</v>
      </c>
      <c r="V5950">
        <f t="shared" si="2762"/>
        <v>23</v>
      </c>
      <c r="W5950">
        <f t="shared" si="2760"/>
        <v>10</v>
      </c>
      <c r="X5950">
        <f t="shared" si="2761"/>
        <v>2009</v>
      </c>
    </row>
    <row r="5951" spans="1:24" ht="12" customHeight="1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797">C5951+2</f>
        <v>41121</v>
      </c>
      <c r="V5951">
        <f t="shared" si="2762"/>
        <v>31</v>
      </c>
      <c r="W5951">
        <f t="shared" si="2760"/>
        <v>7</v>
      </c>
      <c r="X5951">
        <f t="shared" si="2761"/>
        <v>2012</v>
      </c>
    </row>
    <row r="5952" spans="1:24" ht="12" customHeight="1">
      <c r="A5952" s="4">
        <v>7770</v>
      </c>
      <c r="B5952" s="4">
        <v>55621</v>
      </c>
      <c r="C5952" s="5">
        <f t="shared" ref="C5952:C5953" si="2798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797"/>
        <v>40619</v>
      </c>
      <c r="V5952">
        <f t="shared" si="2762"/>
        <v>17</v>
      </c>
      <c r="W5952">
        <f t="shared" si="2760"/>
        <v>3</v>
      </c>
      <c r="X5952">
        <f t="shared" si="2761"/>
        <v>2011</v>
      </c>
    </row>
    <row r="5953" spans="1:24" ht="12" customHeight="1">
      <c r="A5953" s="4">
        <v>7771</v>
      </c>
      <c r="B5953" s="4">
        <v>55621</v>
      </c>
      <c r="C5953" s="5">
        <f t="shared" si="2798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  <c r="V5953">
        <f t="shared" si="2762"/>
        <v>22</v>
      </c>
      <c r="W5953">
        <f t="shared" si="2760"/>
        <v>3</v>
      </c>
      <c r="X5953">
        <f t="shared" si="2761"/>
        <v>2011</v>
      </c>
    </row>
    <row r="5954" spans="1:24" ht="12" customHeight="1">
      <c r="A5954" s="4">
        <v>7891</v>
      </c>
      <c r="B5954" s="4">
        <v>56423</v>
      </c>
      <c r="C5954" s="5">
        <f t="shared" ref="C5954:C5955" si="2799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800">C5954+1</f>
        <v>40903</v>
      </c>
      <c r="V5954">
        <f t="shared" si="2762"/>
        <v>26</v>
      </c>
      <c r="W5954">
        <f t="shared" si="2760"/>
        <v>12</v>
      </c>
      <c r="X5954">
        <f t="shared" si="2761"/>
        <v>2011</v>
      </c>
    </row>
    <row r="5955" spans="1:24" ht="12" customHeight="1">
      <c r="A5955" s="4">
        <v>7892</v>
      </c>
      <c r="B5955" s="4">
        <v>56423</v>
      </c>
      <c r="C5955" s="5">
        <f t="shared" si="2799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800"/>
        <v>40903</v>
      </c>
      <c r="V5955">
        <f t="shared" si="2762"/>
        <v>26</v>
      </c>
      <c r="W5955">
        <f t="shared" ref="W5955:W6018" si="2801">MONTH(U5955)</f>
        <v>12</v>
      </c>
      <c r="X5955">
        <f t="shared" ref="X5955:X6018" si="2802">YEAR(U5955)</f>
        <v>2011</v>
      </c>
    </row>
    <row r="5956" spans="1:24" ht="12" customHeight="1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  <c r="V5956">
        <f t="shared" ref="V5956:V6019" si="2803">DAY(U5956)</f>
        <v>30</v>
      </c>
      <c r="W5956">
        <f t="shared" si="2801"/>
        <v>11</v>
      </c>
      <c r="X5956">
        <f t="shared" si="2802"/>
        <v>2012</v>
      </c>
    </row>
    <row r="5957" spans="1:24" ht="12" customHeight="1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804">C5957+1</f>
        <v>40940</v>
      </c>
      <c r="V5957">
        <f t="shared" si="2803"/>
        <v>1</v>
      </c>
      <c r="W5957">
        <f t="shared" si="2801"/>
        <v>2</v>
      </c>
      <c r="X5957">
        <f t="shared" si="2802"/>
        <v>2012</v>
      </c>
    </row>
    <row r="5958" spans="1:24" ht="12" customHeight="1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804"/>
        <v>40455</v>
      </c>
      <c r="V5958">
        <f t="shared" si="2803"/>
        <v>4</v>
      </c>
      <c r="W5958">
        <f t="shared" si="2801"/>
        <v>10</v>
      </c>
      <c r="X5958">
        <f t="shared" si="2802"/>
        <v>2010</v>
      </c>
    </row>
    <row r="5959" spans="1:24" ht="12" customHeight="1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  <c r="V5959">
        <f t="shared" si="2803"/>
        <v>10</v>
      </c>
      <c r="W5959">
        <f t="shared" si="2801"/>
        <v>12</v>
      </c>
      <c r="X5959">
        <f t="shared" si="2802"/>
        <v>2011</v>
      </c>
    </row>
    <row r="5960" spans="1:24" ht="12" customHeight="1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805">C5960+2</f>
        <v>41012</v>
      </c>
      <c r="V5960">
        <f t="shared" si="2803"/>
        <v>13</v>
      </c>
      <c r="W5960">
        <f t="shared" si="2801"/>
        <v>4</v>
      </c>
      <c r="X5960">
        <f t="shared" si="2802"/>
        <v>2012</v>
      </c>
    </row>
    <row r="5961" spans="1:24" ht="12" customHeight="1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805"/>
        <v>40788</v>
      </c>
      <c r="V5961">
        <f t="shared" si="2803"/>
        <v>2</v>
      </c>
      <c r="W5961">
        <f t="shared" si="2801"/>
        <v>9</v>
      </c>
      <c r="X5961">
        <f t="shared" si="2802"/>
        <v>2011</v>
      </c>
    </row>
    <row r="5962" spans="1:24" ht="12" customHeight="1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  <c r="V5962">
        <f t="shared" si="2803"/>
        <v>30</v>
      </c>
      <c r="W5962">
        <f t="shared" si="2801"/>
        <v>8</v>
      </c>
      <c r="X5962">
        <f t="shared" si="2802"/>
        <v>2010</v>
      </c>
    </row>
    <row r="5963" spans="1:24" ht="12" customHeight="1">
      <c r="A5963" s="4">
        <v>8217</v>
      </c>
      <c r="B5963" s="4">
        <v>58755</v>
      </c>
      <c r="C5963" s="5">
        <f t="shared" ref="C5963:C5964" si="2806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  <c r="V5963">
        <f t="shared" si="2803"/>
        <v>5</v>
      </c>
      <c r="W5963">
        <f t="shared" si="2801"/>
        <v>12</v>
      </c>
      <c r="X5963">
        <f t="shared" si="2802"/>
        <v>2011</v>
      </c>
    </row>
    <row r="5964" spans="1:24" ht="12" customHeight="1">
      <c r="A5964" s="4">
        <v>8218</v>
      </c>
      <c r="B5964" s="4">
        <v>58755</v>
      </c>
      <c r="C5964" s="5">
        <f t="shared" si="2806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  <c r="V5964">
        <f t="shared" si="2803"/>
        <v>12</v>
      </c>
      <c r="W5964">
        <f t="shared" si="2801"/>
        <v>12</v>
      </c>
      <c r="X5964">
        <f t="shared" si="2802"/>
        <v>2011</v>
      </c>
    </row>
    <row r="5965" spans="1:24" ht="12" customHeight="1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  <c r="V5965">
        <f t="shared" si="2803"/>
        <v>29</v>
      </c>
      <c r="W5965">
        <f t="shared" si="2801"/>
        <v>9</v>
      </c>
      <c r="X5965">
        <f t="shared" si="2802"/>
        <v>2010</v>
      </c>
    </row>
    <row r="5966" spans="1:24" ht="12" customHeight="1">
      <c r="A5966" s="4">
        <v>8287</v>
      </c>
      <c r="B5966" s="4">
        <v>59205</v>
      </c>
      <c r="C5966" s="5">
        <f t="shared" ref="C5966:C5967" si="2807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808">C5966+2</f>
        <v>40849</v>
      </c>
      <c r="V5966">
        <f t="shared" si="2803"/>
        <v>2</v>
      </c>
      <c r="W5966">
        <f t="shared" si="2801"/>
        <v>11</v>
      </c>
      <c r="X5966">
        <f t="shared" si="2802"/>
        <v>2011</v>
      </c>
    </row>
    <row r="5967" spans="1:24" ht="12" customHeight="1">
      <c r="A5967" s="4">
        <v>8288</v>
      </c>
      <c r="B5967" s="4">
        <v>59205</v>
      </c>
      <c r="C5967" s="5">
        <f t="shared" si="2807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808"/>
        <v>40849</v>
      </c>
      <c r="V5967">
        <f t="shared" si="2803"/>
        <v>2</v>
      </c>
      <c r="W5967">
        <f t="shared" si="2801"/>
        <v>11</v>
      </c>
      <c r="X5967">
        <f t="shared" si="2802"/>
        <v>2011</v>
      </c>
    </row>
    <row r="5968" spans="1:24" ht="12" customHeight="1">
      <c r="A5968" s="4">
        <v>8322</v>
      </c>
      <c r="B5968" s="4">
        <v>59491</v>
      </c>
      <c r="C5968" s="5">
        <f t="shared" ref="C5968:C5970" si="2809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  <c r="V5968">
        <f t="shared" si="2803"/>
        <v>25</v>
      </c>
      <c r="W5968">
        <f t="shared" si="2801"/>
        <v>3</v>
      </c>
      <c r="X5968">
        <f t="shared" si="2802"/>
        <v>2012</v>
      </c>
    </row>
    <row r="5969" spans="1:24" ht="12" customHeight="1">
      <c r="A5969" s="4">
        <v>8323</v>
      </c>
      <c r="B5969" s="4">
        <v>59491</v>
      </c>
      <c r="C5969" s="5">
        <f t="shared" si="2809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  <c r="V5969">
        <f t="shared" si="2803"/>
        <v>24</v>
      </c>
      <c r="W5969">
        <f t="shared" si="2801"/>
        <v>3</v>
      </c>
      <c r="X5969">
        <f t="shared" si="2802"/>
        <v>2012</v>
      </c>
    </row>
    <row r="5970" spans="1:24" ht="12" customHeight="1">
      <c r="A5970" s="4">
        <v>8324</v>
      </c>
      <c r="B5970" s="4">
        <v>59491</v>
      </c>
      <c r="C5970" s="5">
        <f t="shared" si="2809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  <c r="V5970">
        <f t="shared" si="2803"/>
        <v>26</v>
      </c>
      <c r="W5970">
        <f t="shared" si="2801"/>
        <v>3</v>
      </c>
      <c r="X5970">
        <f t="shared" si="2802"/>
        <v>2012</v>
      </c>
    </row>
    <row r="5971" spans="1:24" ht="12" customHeight="1">
      <c r="A5971" s="4">
        <v>8361</v>
      </c>
      <c r="B5971" s="4">
        <v>59776</v>
      </c>
      <c r="C5971" s="5">
        <f t="shared" ref="C5971:C5972" si="2810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811">C5971+4</f>
        <v>39885</v>
      </c>
      <c r="V5971">
        <f t="shared" si="2803"/>
        <v>13</v>
      </c>
      <c r="W5971">
        <f t="shared" si="2801"/>
        <v>3</v>
      </c>
      <c r="X5971">
        <f t="shared" si="2802"/>
        <v>2009</v>
      </c>
    </row>
    <row r="5972" spans="1:24" ht="12" customHeight="1">
      <c r="A5972" s="4">
        <v>8362</v>
      </c>
      <c r="B5972" s="4">
        <v>59776</v>
      </c>
      <c r="C5972" s="5">
        <f t="shared" si="2810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811"/>
        <v>39885</v>
      </c>
      <c r="V5972">
        <f t="shared" si="2803"/>
        <v>13</v>
      </c>
      <c r="W5972">
        <f t="shared" si="2801"/>
        <v>3</v>
      </c>
      <c r="X5972">
        <f t="shared" si="2802"/>
        <v>2009</v>
      </c>
    </row>
    <row r="5973" spans="1:24" ht="12" customHeight="1">
      <c r="A5973" s="4">
        <v>8372</v>
      </c>
      <c r="B5973" s="4">
        <v>59809</v>
      </c>
      <c r="C5973" s="5">
        <f t="shared" ref="C5973:C5974" si="2812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  <c r="V5973">
        <f t="shared" si="2803"/>
        <v>10</v>
      </c>
      <c r="W5973">
        <f t="shared" si="2801"/>
        <v>3</v>
      </c>
      <c r="X5973">
        <f t="shared" si="2802"/>
        <v>2011</v>
      </c>
    </row>
    <row r="5974" spans="1:24" ht="12" customHeight="1">
      <c r="A5974" s="4">
        <v>8373</v>
      </c>
      <c r="B5974" s="4">
        <v>59809</v>
      </c>
      <c r="C5974" s="5">
        <f t="shared" si="2812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813">C5974+1</f>
        <v>40611</v>
      </c>
      <c r="V5974">
        <f t="shared" si="2803"/>
        <v>9</v>
      </c>
      <c r="W5974">
        <f t="shared" si="2801"/>
        <v>3</v>
      </c>
      <c r="X5974">
        <f t="shared" si="2802"/>
        <v>2011</v>
      </c>
    </row>
    <row r="5975" spans="1:24" ht="12" customHeight="1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813"/>
        <v>40339</v>
      </c>
      <c r="V5975">
        <f t="shared" si="2803"/>
        <v>10</v>
      </c>
      <c r="W5975">
        <f t="shared" si="2801"/>
        <v>6</v>
      </c>
      <c r="X5975">
        <f t="shared" si="2802"/>
        <v>2010</v>
      </c>
    </row>
    <row r="5976" spans="1:24" ht="12" customHeight="1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813"/>
        <v>40921</v>
      </c>
      <c r="V5976">
        <f t="shared" si="2803"/>
        <v>13</v>
      </c>
      <c r="W5976">
        <f t="shared" si="2801"/>
        <v>1</v>
      </c>
      <c r="X5976">
        <f t="shared" si="2802"/>
        <v>2012</v>
      </c>
    </row>
    <row r="5977" spans="1:24" ht="12" customHeight="1">
      <c r="A5977" s="4">
        <v>417</v>
      </c>
      <c r="B5977" s="4">
        <v>2817</v>
      </c>
      <c r="C5977" s="5">
        <f t="shared" ref="C5977:C5978" si="2814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813"/>
        <v>39922</v>
      </c>
      <c r="V5977">
        <f t="shared" si="2803"/>
        <v>19</v>
      </c>
      <c r="W5977">
        <f t="shared" si="2801"/>
        <v>4</v>
      </c>
      <c r="X5977">
        <f t="shared" si="2802"/>
        <v>2009</v>
      </c>
    </row>
    <row r="5978" spans="1:24" ht="12" customHeight="1">
      <c r="A5978" s="4">
        <v>418</v>
      </c>
      <c r="B5978" s="4">
        <v>2817</v>
      </c>
      <c r="C5978" s="5">
        <f t="shared" si="2814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  <c r="V5978">
        <f t="shared" si="2803"/>
        <v>20</v>
      </c>
      <c r="W5978">
        <f t="shared" si="2801"/>
        <v>4</v>
      </c>
      <c r="X5978">
        <f t="shared" si="2802"/>
        <v>2009</v>
      </c>
    </row>
    <row r="5979" spans="1:24" ht="12" customHeight="1">
      <c r="A5979" s="4">
        <v>426</v>
      </c>
      <c r="B5979" s="4">
        <v>2852</v>
      </c>
      <c r="C5979" s="5">
        <f t="shared" ref="C5979:C5980" si="2815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  <c r="V5979">
        <f t="shared" si="2803"/>
        <v>15</v>
      </c>
      <c r="W5979">
        <f t="shared" si="2801"/>
        <v>1</v>
      </c>
      <c r="X5979">
        <f t="shared" si="2802"/>
        <v>2010</v>
      </c>
    </row>
    <row r="5980" spans="1:24" ht="12" customHeight="1">
      <c r="A5980" s="4">
        <v>427</v>
      </c>
      <c r="B5980" s="4">
        <v>2852</v>
      </c>
      <c r="C5980" s="5">
        <f t="shared" si="2815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  <c r="V5980">
        <f t="shared" si="2803"/>
        <v>16</v>
      </c>
      <c r="W5980">
        <f t="shared" si="2801"/>
        <v>1</v>
      </c>
      <c r="X5980">
        <f t="shared" si="2802"/>
        <v>2010</v>
      </c>
    </row>
    <row r="5981" spans="1:24" ht="12" customHeight="1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  <c r="V5981">
        <f t="shared" si="2803"/>
        <v>4</v>
      </c>
      <c r="W5981">
        <f t="shared" si="2801"/>
        <v>3</v>
      </c>
      <c r="X5981">
        <f t="shared" si="2802"/>
        <v>2010</v>
      </c>
    </row>
    <row r="5982" spans="1:24" ht="12" customHeight="1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  <c r="V5982">
        <f t="shared" si="2803"/>
        <v>14</v>
      </c>
      <c r="W5982">
        <f t="shared" si="2801"/>
        <v>8</v>
      </c>
      <c r="X5982">
        <f t="shared" si="2802"/>
        <v>2012</v>
      </c>
    </row>
    <row r="5983" spans="1:24" ht="12" customHeight="1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816">C5983+2</f>
        <v>40706</v>
      </c>
      <c r="V5983">
        <f t="shared" si="2803"/>
        <v>12</v>
      </c>
      <c r="W5983">
        <f t="shared" si="2801"/>
        <v>6</v>
      </c>
      <c r="X5983">
        <f t="shared" si="2802"/>
        <v>2011</v>
      </c>
    </row>
    <row r="5984" spans="1:24" ht="12" customHeight="1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816"/>
        <v>40314</v>
      </c>
      <c r="V5984">
        <f t="shared" si="2803"/>
        <v>16</v>
      </c>
      <c r="W5984">
        <f t="shared" si="2801"/>
        <v>5</v>
      </c>
      <c r="X5984">
        <f t="shared" si="2802"/>
        <v>2010</v>
      </c>
    </row>
    <row r="5985" spans="1:24" ht="12" customHeight="1">
      <c r="A5985" s="4">
        <v>1346</v>
      </c>
      <c r="B5985" s="4">
        <v>9829</v>
      </c>
      <c r="C5985" s="5">
        <f t="shared" ref="C5985:C5986" si="2817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  <c r="V5985">
        <f t="shared" si="2803"/>
        <v>9</v>
      </c>
      <c r="W5985">
        <f t="shared" si="2801"/>
        <v>12</v>
      </c>
      <c r="X5985">
        <f t="shared" si="2802"/>
        <v>2011</v>
      </c>
    </row>
    <row r="5986" spans="1:24" ht="12" customHeight="1">
      <c r="A5986" s="4">
        <v>1347</v>
      </c>
      <c r="B5986" s="4">
        <v>9829</v>
      </c>
      <c r="C5986" s="5">
        <f t="shared" si="2817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818">C5986+2</f>
        <v>40887</v>
      </c>
      <c r="V5986">
        <f t="shared" si="2803"/>
        <v>10</v>
      </c>
      <c r="W5986">
        <f t="shared" si="2801"/>
        <v>12</v>
      </c>
      <c r="X5986">
        <f t="shared" si="2802"/>
        <v>2011</v>
      </c>
    </row>
    <row r="5987" spans="1:24" ht="12" customHeight="1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818"/>
        <v>40071</v>
      </c>
      <c r="V5987">
        <f t="shared" si="2803"/>
        <v>15</v>
      </c>
      <c r="W5987">
        <f t="shared" si="2801"/>
        <v>9</v>
      </c>
      <c r="X5987">
        <f t="shared" si="2802"/>
        <v>2009</v>
      </c>
    </row>
    <row r="5988" spans="1:24" ht="12" customHeight="1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818"/>
        <v>40256</v>
      </c>
      <c r="V5988">
        <f t="shared" si="2803"/>
        <v>19</v>
      </c>
      <c r="W5988">
        <f t="shared" si="2801"/>
        <v>3</v>
      </c>
      <c r="X5988">
        <f t="shared" si="2802"/>
        <v>2010</v>
      </c>
    </row>
    <row r="5989" spans="1:24" ht="12" customHeight="1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819">C5989+1</f>
        <v>40618</v>
      </c>
      <c r="V5989">
        <f t="shared" si="2803"/>
        <v>16</v>
      </c>
      <c r="W5989">
        <f t="shared" si="2801"/>
        <v>3</v>
      </c>
      <c r="X5989">
        <f t="shared" si="2802"/>
        <v>2011</v>
      </c>
    </row>
    <row r="5990" spans="1:24" ht="12" customHeight="1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819"/>
        <v>39941</v>
      </c>
      <c r="V5990">
        <f t="shared" si="2803"/>
        <v>8</v>
      </c>
      <c r="W5990">
        <f t="shared" si="2801"/>
        <v>5</v>
      </c>
      <c r="X5990">
        <f t="shared" si="2802"/>
        <v>2009</v>
      </c>
    </row>
    <row r="5991" spans="1:24" ht="12" customHeight="1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  <c r="V5991">
        <f t="shared" si="2803"/>
        <v>28</v>
      </c>
      <c r="W5991">
        <f t="shared" si="2801"/>
        <v>1</v>
      </c>
      <c r="X5991">
        <f t="shared" si="2802"/>
        <v>2009</v>
      </c>
    </row>
    <row r="5992" spans="1:24" ht="12" customHeight="1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  <c r="V5992">
        <f t="shared" si="2803"/>
        <v>19</v>
      </c>
      <c r="W5992">
        <f t="shared" si="2801"/>
        <v>8</v>
      </c>
      <c r="X5992">
        <f t="shared" si="2802"/>
        <v>2010</v>
      </c>
    </row>
    <row r="5993" spans="1:24" ht="12" customHeight="1">
      <c r="A5993" s="4">
        <v>2001</v>
      </c>
      <c r="B5993" s="4">
        <v>14274</v>
      </c>
      <c r="C5993" s="5">
        <f t="shared" ref="C5993:C5995" si="2820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821">C5993+2</f>
        <v>39821</v>
      </c>
      <c r="V5993">
        <f t="shared" si="2803"/>
        <v>8</v>
      </c>
      <c r="W5993">
        <f t="shared" si="2801"/>
        <v>1</v>
      </c>
      <c r="X5993">
        <f t="shared" si="2802"/>
        <v>2009</v>
      </c>
    </row>
    <row r="5994" spans="1:24" ht="12" customHeight="1">
      <c r="A5994" s="4">
        <v>2002</v>
      </c>
      <c r="B5994" s="4">
        <v>14274</v>
      </c>
      <c r="C5994" s="5">
        <f t="shared" si="2820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821"/>
        <v>39821</v>
      </c>
      <c r="V5994">
        <f t="shared" si="2803"/>
        <v>8</v>
      </c>
      <c r="W5994">
        <f t="shared" si="2801"/>
        <v>1</v>
      </c>
      <c r="X5994">
        <f t="shared" si="2802"/>
        <v>2009</v>
      </c>
    </row>
    <row r="5995" spans="1:24" ht="12" customHeight="1">
      <c r="A5995" s="4">
        <v>2003</v>
      </c>
      <c r="B5995" s="4">
        <v>14274</v>
      </c>
      <c r="C5995" s="5">
        <f t="shared" si="2820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  <c r="V5995">
        <f t="shared" si="2803"/>
        <v>7</v>
      </c>
      <c r="W5995">
        <f t="shared" si="2801"/>
        <v>1</v>
      </c>
      <c r="X5995">
        <f t="shared" si="2802"/>
        <v>2009</v>
      </c>
    </row>
    <row r="5996" spans="1:24" ht="12" customHeight="1">
      <c r="A5996" s="4">
        <v>2039</v>
      </c>
      <c r="B5996" s="4">
        <v>14530</v>
      </c>
      <c r="C5996" s="5">
        <f t="shared" ref="C5996:C5998" si="2822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823">C5996+2</f>
        <v>39911</v>
      </c>
      <c r="V5996">
        <f t="shared" si="2803"/>
        <v>8</v>
      </c>
      <c r="W5996">
        <f t="shared" si="2801"/>
        <v>4</v>
      </c>
      <c r="X5996">
        <f t="shared" si="2802"/>
        <v>2009</v>
      </c>
    </row>
    <row r="5997" spans="1:24" ht="12" customHeight="1">
      <c r="A5997" s="4">
        <v>2040</v>
      </c>
      <c r="B5997" s="4">
        <v>14530</v>
      </c>
      <c r="C5997" s="5">
        <f t="shared" si="2822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823"/>
        <v>39911</v>
      </c>
      <c r="V5997">
        <f t="shared" si="2803"/>
        <v>8</v>
      </c>
      <c r="W5997">
        <f t="shared" si="2801"/>
        <v>4</v>
      </c>
      <c r="X5997">
        <f t="shared" si="2802"/>
        <v>2009</v>
      </c>
    </row>
    <row r="5998" spans="1:24" ht="12" customHeight="1">
      <c r="A5998" s="4">
        <v>2041</v>
      </c>
      <c r="B5998" s="4">
        <v>14530</v>
      </c>
      <c r="C5998" s="5">
        <f t="shared" si="2822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  <c r="V5998">
        <f t="shared" si="2803"/>
        <v>6</v>
      </c>
      <c r="W5998">
        <f t="shared" si="2801"/>
        <v>4</v>
      </c>
      <c r="X5998">
        <f t="shared" si="2802"/>
        <v>2009</v>
      </c>
    </row>
    <row r="5999" spans="1:24" ht="12" customHeight="1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  <c r="V5999">
        <f t="shared" si="2803"/>
        <v>27</v>
      </c>
      <c r="W5999">
        <f t="shared" si="2801"/>
        <v>2</v>
      </c>
      <c r="X5999">
        <f t="shared" si="2802"/>
        <v>2011</v>
      </c>
    </row>
    <row r="6000" spans="1:24" ht="12" customHeight="1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  <c r="V6000">
        <f t="shared" si="2803"/>
        <v>18</v>
      </c>
      <c r="W6000">
        <f t="shared" si="2801"/>
        <v>10</v>
      </c>
      <c r="X6000">
        <f t="shared" si="2802"/>
        <v>2012</v>
      </c>
    </row>
    <row r="6001" spans="1:24" ht="12" customHeight="1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  <c r="V6001">
        <f t="shared" si="2803"/>
        <v>8</v>
      </c>
      <c r="W6001">
        <f t="shared" si="2801"/>
        <v>5</v>
      </c>
      <c r="X6001">
        <f t="shared" si="2802"/>
        <v>2011</v>
      </c>
    </row>
    <row r="6002" spans="1:24" ht="12" customHeight="1">
      <c r="A6002" s="4">
        <v>2300</v>
      </c>
      <c r="B6002" s="4">
        <v>16579</v>
      </c>
      <c r="C6002" s="5">
        <f t="shared" ref="C6002:C6003" si="2824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825">C6002+1</f>
        <v>40525</v>
      </c>
      <c r="V6002">
        <f t="shared" si="2803"/>
        <v>13</v>
      </c>
      <c r="W6002">
        <f t="shared" si="2801"/>
        <v>12</v>
      </c>
      <c r="X6002">
        <f t="shared" si="2802"/>
        <v>2010</v>
      </c>
    </row>
    <row r="6003" spans="1:24" ht="12" customHeight="1">
      <c r="A6003" s="4">
        <v>2301</v>
      </c>
      <c r="B6003" s="4">
        <v>16579</v>
      </c>
      <c r="C6003" s="5">
        <f t="shared" si="2824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825"/>
        <v>40525</v>
      </c>
      <c r="V6003">
        <f t="shared" si="2803"/>
        <v>13</v>
      </c>
      <c r="W6003">
        <f t="shared" si="2801"/>
        <v>12</v>
      </c>
      <c r="X6003">
        <f t="shared" si="2802"/>
        <v>2010</v>
      </c>
    </row>
    <row r="6004" spans="1:24" ht="12" customHeight="1">
      <c r="A6004" s="4">
        <v>2348</v>
      </c>
      <c r="B6004" s="4">
        <v>16935</v>
      </c>
      <c r="C6004" s="5">
        <f t="shared" ref="C6004:C6005" si="2826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825"/>
        <v>41259</v>
      </c>
      <c r="V6004">
        <f t="shared" si="2803"/>
        <v>16</v>
      </c>
      <c r="W6004">
        <f t="shared" si="2801"/>
        <v>12</v>
      </c>
      <c r="X6004">
        <f t="shared" si="2802"/>
        <v>2012</v>
      </c>
    </row>
    <row r="6005" spans="1:24" ht="12" customHeight="1">
      <c r="A6005" s="4">
        <v>2349</v>
      </c>
      <c r="B6005" s="4">
        <v>16935</v>
      </c>
      <c r="C6005" s="5">
        <f t="shared" si="2826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  <c r="V6005">
        <f t="shared" si="2803"/>
        <v>17</v>
      </c>
      <c r="W6005">
        <f t="shared" si="2801"/>
        <v>12</v>
      </c>
      <c r="X6005">
        <f t="shared" si="2802"/>
        <v>2012</v>
      </c>
    </row>
    <row r="6006" spans="1:24" ht="12" customHeight="1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  <c r="V6006">
        <f t="shared" si="2803"/>
        <v>4</v>
      </c>
      <c r="W6006">
        <f t="shared" si="2801"/>
        <v>5</v>
      </c>
      <c r="X6006">
        <f t="shared" si="2802"/>
        <v>2010</v>
      </c>
    </row>
    <row r="6007" spans="1:24" ht="12" customHeight="1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  <c r="V6007">
        <f t="shared" si="2803"/>
        <v>25</v>
      </c>
      <c r="W6007">
        <f t="shared" si="2801"/>
        <v>9</v>
      </c>
      <c r="X6007">
        <f t="shared" si="2802"/>
        <v>2012</v>
      </c>
    </row>
    <row r="6008" spans="1:24" ht="12" customHeight="1">
      <c r="A6008" s="4">
        <v>2813</v>
      </c>
      <c r="B6008" s="4">
        <v>20292</v>
      </c>
      <c r="C6008" s="5">
        <f t="shared" ref="C6008:C6009" si="2827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  <c r="V6008">
        <f t="shared" si="2803"/>
        <v>8</v>
      </c>
      <c r="W6008">
        <f t="shared" si="2801"/>
        <v>11</v>
      </c>
      <c r="X6008">
        <f t="shared" si="2802"/>
        <v>2012</v>
      </c>
    </row>
    <row r="6009" spans="1:24" ht="12" customHeight="1">
      <c r="A6009" s="4">
        <v>2814</v>
      </c>
      <c r="B6009" s="4">
        <v>20292</v>
      </c>
      <c r="C6009" s="5">
        <f t="shared" si="2827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  <c r="V6009">
        <f t="shared" si="2803"/>
        <v>9</v>
      </c>
      <c r="W6009">
        <f t="shared" si="2801"/>
        <v>11</v>
      </c>
      <c r="X6009">
        <f t="shared" si="2802"/>
        <v>2012</v>
      </c>
    </row>
    <row r="6010" spans="1:24" ht="12" customHeight="1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  <c r="V6010">
        <f t="shared" si="2803"/>
        <v>2</v>
      </c>
      <c r="W6010">
        <f t="shared" si="2801"/>
        <v>12</v>
      </c>
      <c r="X6010">
        <f t="shared" si="2802"/>
        <v>2009</v>
      </c>
    </row>
    <row r="6011" spans="1:24" ht="12" customHeight="1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  <c r="V6011">
        <f t="shared" si="2803"/>
        <v>29</v>
      </c>
      <c r="W6011">
        <f t="shared" si="2801"/>
        <v>4</v>
      </c>
      <c r="X6011">
        <f t="shared" si="2802"/>
        <v>2012</v>
      </c>
    </row>
    <row r="6012" spans="1:24" ht="12" customHeight="1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828">C6012+2</f>
        <v>40436</v>
      </c>
      <c r="V6012">
        <f t="shared" si="2803"/>
        <v>15</v>
      </c>
      <c r="W6012">
        <f t="shared" si="2801"/>
        <v>9</v>
      </c>
      <c r="X6012">
        <f t="shared" si="2802"/>
        <v>2010</v>
      </c>
    </row>
    <row r="6013" spans="1:24" ht="12" customHeight="1">
      <c r="A6013" s="4">
        <v>3480</v>
      </c>
      <c r="B6013" s="4">
        <v>24775</v>
      </c>
      <c r="C6013" s="5">
        <f t="shared" ref="C6013:C6014" si="2829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828"/>
        <v>40958</v>
      </c>
      <c r="V6013">
        <f t="shared" si="2803"/>
        <v>19</v>
      </c>
      <c r="W6013">
        <f t="shared" si="2801"/>
        <v>2</v>
      </c>
      <c r="X6013">
        <f t="shared" si="2802"/>
        <v>2012</v>
      </c>
    </row>
    <row r="6014" spans="1:24" ht="12" customHeight="1">
      <c r="A6014" s="4">
        <v>3481</v>
      </c>
      <c r="B6014" s="4">
        <v>24775</v>
      </c>
      <c r="C6014" s="5">
        <f t="shared" si="2829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  <c r="V6014">
        <f t="shared" si="2803"/>
        <v>18</v>
      </c>
      <c r="W6014">
        <f t="shared" si="2801"/>
        <v>2</v>
      </c>
      <c r="X6014">
        <f t="shared" si="2802"/>
        <v>2012</v>
      </c>
    </row>
    <row r="6015" spans="1:24" ht="12" customHeight="1">
      <c r="A6015" s="4">
        <v>3529</v>
      </c>
      <c r="B6015" s="4">
        <v>25120</v>
      </c>
      <c r="C6015" s="5">
        <f t="shared" ref="C6015:C6017" si="2830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  <c r="V6015">
        <f t="shared" si="2803"/>
        <v>6</v>
      </c>
      <c r="W6015">
        <f t="shared" si="2801"/>
        <v>2</v>
      </c>
      <c r="X6015">
        <f t="shared" si="2802"/>
        <v>2009</v>
      </c>
    </row>
    <row r="6016" spans="1:24" ht="12" customHeight="1">
      <c r="A6016" s="4">
        <v>3530</v>
      </c>
      <c r="B6016" s="4">
        <v>25120</v>
      </c>
      <c r="C6016" s="5">
        <f t="shared" si="2830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  <c r="V6016">
        <f t="shared" si="2803"/>
        <v>5</v>
      </c>
      <c r="W6016">
        <f t="shared" si="2801"/>
        <v>2</v>
      </c>
      <c r="X6016">
        <f t="shared" si="2802"/>
        <v>2009</v>
      </c>
    </row>
    <row r="6017" spans="1:24" ht="12" customHeight="1">
      <c r="A6017" s="4">
        <v>3531</v>
      </c>
      <c r="B6017" s="4">
        <v>25120</v>
      </c>
      <c r="C6017" s="5">
        <f t="shared" si="2830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  <c r="V6017">
        <f t="shared" si="2803"/>
        <v>7</v>
      </c>
      <c r="W6017">
        <f t="shared" si="2801"/>
        <v>2</v>
      </c>
      <c r="X6017">
        <f t="shared" si="2802"/>
        <v>2009</v>
      </c>
    </row>
    <row r="6018" spans="1:24" ht="12" customHeight="1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  <c r="V6018">
        <f t="shared" si="2803"/>
        <v>6</v>
      </c>
      <c r="W6018">
        <f t="shared" si="2801"/>
        <v>2</v>
      </c>
      <c r="X6018">
        <f t="shared" si="2802"/>
        <v>2009</v>
      </c>
    </row>
    <row r="6019" spans="1:24" ht="12" customHeight="1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  <c r="V6019">
        <f t="shared" si="2803"/>
        <v>27</v>
      </c>
      <c r="W6019">
        <f t="shared" ref="W6019:W6082" si="2831">MONTH(U6019)</f>
        <v>2</v>
      </c>
      <c r="X6019">
        <f t="shared" ref="X6019:X6082" si="2832">YEAR(U6019)</f>
        <v>2011</v>
      </c>
    </row>
    <row r="6020" spans="1:24" ht="12" customHeight="1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  <c r="V6020">
        <f t="shared" ref="V6020:V6083" si="2833">DAY(U6020)</f>
        <v>16</v>
      </c>
      <c r="W6020">
        <f t="shared" si="2831"/>
        <v>9</v>
      </c>
      <c r="X6020">
        <f t="shared" si="2832"/>
        <v>2009</v>
      </c>
    </row>
    <row r="6021" spans="1:24" ht="12" customHeight="1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834">C6021+1</f>
        <v>40779</v>
      </c>
      <c r="V6021">
        <f t="shared" si="2833"/>
        <v>24</v>
      </c>
      <c r="W6021">
        <f t="shared" si="2831"/>
        <v>8</v>
      </c>
      <c r="X6021">
        <f t="shared" si="2832"/>
        <v>2011</v>
      </c>
    </row>
    <row r="6022" spans="1:24" ht="12" customHeight="1">
      <c r="A6022" s="4">
        <v>4060</v>
      </c>
      <c r="B6022" s="4">
        <v>28929</v>
      </c>
      <c r="C6022" s="5">
        <f t="shared" ref="C6022:C6023" si="2835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834"/>
        <v>41192</v>
      </c>
      <c r="V6022">
        <f t="shared" si="2833"/>
        <v>10</v>
      </c>
      <c r="W6022">
        <f t="shared" si="2831"/>
        <v>10</v>
      </c>
      <c r="X6022">
        <f t="shared" si="2832"/>
        <v>2012</v>
      </c>
    </row>
    <row r="6023" spans="1:24" ht="12" customHeight="1">
      <c r="A6023" s="4">
        <v>4061</v>
      </c>
      <c r="B6023" s="4">
        <v>28929</v>
      </c>
      <c r="C6023" s="5">
        <f t="shared" si="2835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  <c r="V6023">
        <f t="shared" si="2833"/>
        <v>11</v>
      </c>
      <c r="W6023">
        <f t="shared" si="2831"/>
        <v>10</v>
      </c>
      <c r="X6023">
        <f t="shared" si="2832"/>
        <v>2012</v>
      </c>
    </row>
    <row r="6024" spans="1:24" ht="12" customHeight="1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  <c r="V6024">
        <f t="shared" si="2833"/>
        <v>9</v>
      </c>
      <c r="W6024">
        <f t="shared" si="2831"/>
        <v>1</v>
      </c>
      <c r="X6024">
        <f t="shared" si="2832"/>
        <v>2009</v>
      </c>
    </row>
    <row r="6025" spans="1:24" ht="12" customHeight="1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  <c r="V6025">
        <f t="shared" si="2833"/>
        <v>30</v>
      </c>
      <c r="W6025">
        <f t="shared" si="2831"/>
        <v>7</v>
      </c>
      <c r="X6025">
        <f t="shared" si="2832"/>
        <v>2011</v>
      </c>
    </row>
    <row r="6026" spans="1:24" ht="12" customHeight="1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  <c r="V6026">
        <f t="shared" si="2833"/>
        <v>23</v>
      </c>
      <c r="W6026">
        <f t="shared" si="2831"/>
        <v>6</v>
      </c>
      <c r="X6026">
        <f t="shared" si="2832"/>
        <v>2011</v>
      </c>
    </row>
    <row r="6027" spans="1:24" ht="12" customHeight="1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  <c r="V6027">
        <f t="shared" si="2833"/>
        <v>21</v>
      </c>
      <c r="W6027">
        <f t="shared" si="2831"/>
        <v>7</v>
      </c>
      <c r="X6027">
        <f t="shared" si="2832"/>
        <v>2009</v>
      </c>
    </row>
    <row r="6028" spans="1:24" ht="12" customHeight="1">
      <c r="A6028" s="4">
        <v>4869</v>
      </c>
      <c r="B6028" s="4">
        <v>34660</v>
      </c>
      <c r="C6028" s="5">
        <f t="shared" ref="C6028:C6029" si="2836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  <c r="V6028">
        <f t="shared" si="2833"/>
        <v>4</v>
      </c>
      <c r="W6028">
        <f t="shared" si="2831"/>
        <v>9</v>
      </c>
      <c r="X6028">
        <f t="shared" si="2832"/>
        <v>2011</v>
      </c>
    </row>
    <row r="6029" spans="1:24" ht="12" customHeight="1">
      <c r="A6029" s="4">
        <v>4870</v>
      </c>
      <c r="B6029" s="4">
        <v>34660</v>
      </c>
      <c r="C6029" s="5">
        <f t="shared" si="2836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837">C6029+2</f>
        <v>40791</v>
      </c>
      <c r="V6029">
        <f t="shared" si="2833"/>
        <v>5</v>
      </c>
      <c r="W6029">
        <f t="shared" si="2831"/>
        <v>9</v>
      </c>
      <c r="X6029">
        <f t="shared" si="2832"/>
        <v>2011</v>
      </c>
    </row>
    <row r="6030" spans="1:24" ht="12" customHeight="1">
      <c r="A6030" s="4">
        <v>4977</v>
      </c>
      <c r="B6030" s="4">
        <v>35425</v>
      </c>
      <c r="C6030" s="5">
        <f t="shared" ref="C6030:C6031" si="2838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837"/>
        <v>40267</v>
      </c>
      <c r="V6030">
        <f t="shared" si="2833"/>
        <v>30</v>
      </c>
      <c r="W6030">
        <f t="shared" si="2831"/>
        <v>3</v>
      </c>
      <c r="X6030">
        <f t="shared" si="2832"/>
        <v>2010</v>
      </c>
    </row>
    <row r="6031" spans="1:24" ht="12" customHeight="1">
      <c r="A6031" s="4">
        <v>4978</v>
      </c>
      <c r="B6031" s="4">
        <v>35425</v>
      </c>
      <c r="C6031" s="5">
        <f t="shared" si="2838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837"/>
        <v>40267</v>
      </c>
      <c r="V6031">
        <f t="shared" si="2833"/>
        <v>30</v>
      </c>
      <c r="W6031">
        <f t="shared" si="2831"/>
        <v>3</v>
      </c>
      <c r="X6031">
        <f t="shared" si="2832"/>
        <v>2010</v>
      </c>
    </row>
    <row r="6032" spans="1:24" ht="12" customHeight="1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  <c r="V6032">
        <f t="shared" si="2833"/>
        <v>21</v>
      </c>
      <c r="W6032">
        <f t="shared" si="2831"/>
        <v>5</v>
      </c>
      <c r="X6032">
        <f t="shared" si="2832"/>
        <v>2012</v>
      </c>
    </row>
    <row r="6033" spans="1:24" ht="12" customHeight="1">
      <c r="A6033" s="4">
        <v>5307</v>
      </c>
      <c r="B6033" s="4">
        <v>37765</v>
      </c>
      <c r="C6033" s="5">
        <f t="shared" ref="C6033:C6035" si="2839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  <c r="V6033">
        <f t="shared" si="2833"/>
        <v>29</v>
      </c>
      <c r="W6033">
        <f t="shared" si="2831"/>
        <v>11</v>
      </c>
      <c r="X6033">
        <f t="shared" si="2832"/>
        <v>2012</v>
      </c>
    </row>
    <row r="6034" spans="1:24" ht="12" customHeight="1">
      <c r="A6034" s="4">
        <v>5308</v>
      </c>
      <c r="B6034" s="4">
        <v>37765</v>
      </c>
      <c r="C6034" s="5">
        <f t="shared" si="2839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  <c r="V6034">
        <f t="shared" si="2833"/>
        <v>28</v>
      </c>
      <c r="W6034">
        <f t="shared" si="2831"/>
        <v>11</v>
      </c>
      <c r="X6034">
        <f t="shared" si="2832"/>
        <v>2012</v>
      </c>
    </row>
    <row r="6035" spans="1:24" ht="12" customHeight="1">
      <c r="A6035" s="4">
        <v>5309</v>
      </c>
      <c r="B6035" s="4">
        <v>37765</v>
      </c>
      <c r="C6035" s="5">
        <f t="shared" si="2839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  <c r="V6035">
        <f t="shared" si="2833"/>
        <v>29</v>
      </c>
      <c r="W6035">
        <f t="shared" si="2831"/>
        <v>11</v>
      </c>
      <c r="X6035">
        <f t="shared" si="2832"/>
        <v>2012</v>
      </c>
    </row>
    <row r="6036" spans="1:24" ht="12" customHeight="1">
      <c r="A6036" s="4">
        <v>5354</v>
      </c>
      <c r="B6036" s="4">
        <v>38050</v>
      </c>
      <c r="C6036" s="5">
        <f t="shared" ref="C6036:C6038" si="2840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  <c r="V6036">
        <f t="shared" si="2833"/>
        <v>27</v>
      </c>
      <c r="W6036">
        <f t="shared" si="2831"/>
        <v>10</v>
      </c>
      <c r="X6036">
        <f t="shared" si="2832"/>
        <v>2010</v>
      </c>
    </row>
    <row r="6037" spans="1:24" ht="12" customHeight="1">
      <c r="A6037" s="4">
        <v>5355</v>
      </c>
      <c r="B6037" s="4">
        <v>38050</v>
      </c>
      <c r="C6037" s="5">
        <f t="shared" si="2840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841">C6037+2</f>
        <v>40479</v>
      </c>
      <c r="V6037">
        <f t="shared" si="2833"/>
        <v>28</v>
      </c>
      <c r="W6037">
        <f t="shared" si="2831"/>
        <v>10</v>
      </c>
      <c r="X6037">
        <f t="shared" si="2832"/>
        <v>2010</v>
      </c>
    </row>
    <row r="6038" spans="1:24" ht="12" customHeight="1">
      <c r="A6038" s="4">
        <v>5356</v>
      </c>
      <c r="B6038" s="4">
        <v>38050</v>
      </c>
      <c r="C6038" s="5">
        <f t="shared" si="2840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841"/>
        <v>40479</v>
      </c>
      <c r="V6038">
        <f t="shared" si="2833"/>
        <v>28</v>
      </c>
      <c r="W6038">
        <f t="shared" si="2831"/>
        <v>10</v>
      </c>
      <c r="X6038">
        <f t="shared" si="2832"/>
        <v>2010</v>
      </c>
    </row>
    <row r="6039" spans="1:24" ht="12" customHeight="1">
      <c r="A6039" s="4">
        <v>5507</v>
      </c>
      <c r="B6039" s="4">
        <v>39043</v>
      </c>
      <c r="C6039" s="5">
        <f t="shared" ref="C6039:C6040" si="2842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843">C6039+1</f>
        <v>40535</v>
      </c>
      <c r="V6039">
        <f t="shared" si="2833"/>
        <v>23</v>
      </c>
      <c r="W6039">
        <f t="shared" si="2831"/>
        <v>12</v>
      </c>
      <c r="X6039">
        <f t="shared" si="2832"/>
        <v>2010</v>
      </c>
    </row>
    <row r="6040" spans="1:24" ht="12" customHeight="1">
      <c r="A6040" s="4">
        <v>5508</v>
      </c>
      <c r="B6040" s="4">
        <v>39043</v>
      </c>
      <c r="C6040" s="5">
        <f t="shared" si="2842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843"/>
        <v>40535</v>
      </c>
      <c r="V6040">
        <f t="shared" si="2833"/>
        <v>23</v>
      </c>
      <c r="W6040">
        <f t="shared" si="2831"/>
        <v>12</v>
      </c>
      <c r="X6040">
        <f t="shared" si="2832"/>
        <v>2010</v>
      </c>
    </row>
    <row r="6041" spans="1:24" ht="12" customHeight="1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844">C6041+2</f>
        <v>41116</v>
      </c>
      <c r="V6041">
        <f t="shared" si="2833"/>
        <v>26</v>
      </c>
      <c r="W6041">
        <f t="shared" si="2831"/>
        <v>7</v>
      </c>
      <c r="X6041">
        <f t="shared" si="2832"/>
        <v>2012</v>
      </c>
    </row>
    <row r="6042" spans="1:24" ht="12" customHeight="1">
      <c r="A6042" s="4">
        <v>5963</v>
      </c>
      <c r="B6042" s="4">
        <v>42309</v>
      </c>
      <c r="C6042" s="5">
        <f t="shared" ref="C6042:C6044" si="2845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844"/>
        <v>40033</v>
      </c>
      <c r="V6042">
        <f t="shared" si="2833"/>
        <v>8</v>
      </c>
      <c r="W6042">
        <f t="shared" si="2831"/>
        <v>8</v>
      </c>
      <c r="X6042">
        <f t="shared" si="2832"/>
        <v>2009</v>
      </c>
    </row>
    <row r="6043" spans="1:24" ht="12" customHeight="1">
      <c r="A6043" s="4">
        <v>5964</v>
      </c>
      <c r="B6043" s="4">
        <v>42309</v>
      </c>
      <c r="C6043" s="5">
        <f t="shared" si="2845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846">C6043+5</f>
        <v>40036</v>
      </c>
      <c r="V6043">
        <f t="shared" si="2833"/>
        <v>11</v>
      </c>
      <c r="W6043">
        <f t="shared" si="2831"/>
        <v>8</v>
      </c>
      <c r="X6043">
        <f t="shared" si="2832"/>
        <v>2009</v>
      </c>
    </row>
    <row r="6044" spans="1:24" ht="12" customHeight="1">
      <c r="A6044" s="4">
        <v>5965</v>
      </c>
      <c r="B6044" s="4">
        <v>42309</v>
      </c>
      <c r="C6044" s="5">
        <f t="shared" si="2845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846"/>
        <v>40036</v>
      </c>
      <c r="V6044">
        <f t="shared" si="2833"/>
        <v>11</v>
      </c>
      <c r="W6044">
        <f t="shared" si="2831"/>
        <v>8</v>
      </c>
      <c r="X6044">
        <f t="shared" si="2832"/>
        <v>2009</v>
      </c>
    </row>
    <row r="6045" spans="1:24" ht="12" customHeight="1">
      <c r="A6045" s="4">
        <v>6033</v>
      </c>
      <c r="B6045" s="4">
        <v>42727</v>
      </c>
      <c r="C6045" s="5">
        <f t="shared" ref="C6045:C6046" si="2847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848">C6045+1</f>
        <v>40663</v>
      </c>
      <c r="V6045">
        <f t="shared" si="2833"/>
        <v>30</v>
      </c>
      <c r="W6045">
        <f t="shared" si="2831"/>
        <v>4</v>
      </c>
      <c r="X6045">
        <f t="shared" si="2832"/>
        <v>2011</v>
      </c>
    </row>
    <row r="6046" spans="1:24" ht="12" customHeight="1">
      <c r="A6046" s="4">
        <v>6034</v>
      </c>
      <c r="B6046" s="4">
        <v>42727</v>
      </c>
      <c r="C6046" s="5">
        <f t="shared" si="2847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848"/>
        <v>40663</v>
      </c>
      <c r="V6046">
        <f t="shared" si="2833"/>
        <v>30</v>
      </c>
      <c r="W6046">
        <f t="shared" si="2831"/>
        <v>4</v>
      </c>
      <c r="X6046">
        <f t="shared" si="2832"/>
        <v>2011</v>
      </c>
    </row>
    <row r="6047" spans="1:24" ht="12" customHeight="1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  <c r="V6047">
        <f t="shared" si="2833"/>
        <v>7</v>
      </c>
      <c r="W6047">
        <f t="shared" si="2831"/>
        <v>9</v>
      </c>
      <c r="X6047">
        <f t="shared" si="2832"/>
        <v>2011</v>
      </c>
    </row>
    <row r="6048" spans="1:24" ht="12" customHeight="1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  <c r="V6048">
        <f t="shared" si="2833"/>
        <v>27</v>
      </c>
      <c r="W6048">
        <f t="shared" si="2831"/>
        <v>7</v>
      </c>
      <c r="X6048">
        <f t="shared" si="2832"/>
        <v>2012</v>
      </c>
    </row>
    <row r="6049" spans="1:24" ht="12" customHeight="1">
      <c r="A6049" s="4">
        <v>6364</v>
      </c>
      <c r="B6049" s="4">
        <v>45156</v>
      </c>
      <c r="C6049" s="5">
        <f t="shared" ref="C6049:C6051" si="2849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  <c r="V6049">
        <f t="shared" si="2833"/>
        <v>12</v>
      </c>
      <c r="W6049">
        <f t="shared" si="2831"/>
        <v>2</v>
      </c>
      <c r="X6049">
        <f t="shared" si="2832"/>
        <v>2011</v>
      </c>
    </row>
    <row r="6050" spans="1:24" ht="12" customHeight="1">
      <c r="A6050" s="4">
        <v>6365</v>
      </c>
      <c r="B6050" s="4">
        <v>45156</v>
      </c>
      <c r="C6050" s="5">
        <f t="shared" si="2849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  <c r="V6050">
        <f t="shared" si="2833"/>
        <v>19</v>
      </c>
      <c r="W6050">
        <f t="shared" si="2831"/>
        <v>2</v>
      </c>
      <c r="X6050">
        <f t="shared" si="2832"/>
        <v>2011</v>
      </c>
    </row>
    <row r="6051" spans="1:24" ht="12" customHeight="1">
      <c r="A6051" s="4">
        <v>6366</v>
      </c>
      <c r="B6051" s="4">
        <v>45156</v>
      </c>
      <c r="C6051" s="5">
        <f t="shared" si="2849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850">C6051+5</f>
        <v>40591</v>
      </c>
      <c r="V6051">
        <f t="shared" si="2833"/>
        <v>17</v>
      </c>
      <c r="W6051">
        <f t="shared" si="2831"/>
        <v>2</v>
      </c>
      <c r="X6051">
        <f t="shared" si="2832"/>
        <v>2011</v>
      </c>
    </row>
    <row r="6052" spans="1:24" ht="12" customHeight="1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850"/>
        <v>40049</v>
      </c>
      <c r="V6052">
        <f t="shared" si="2833"/>
        <v>24</v>
      </c>
      <c r="W6052">
        <f t="shared" si="2831"/>
        <v>8</v>
      </c>
      <c r="X6052">
        <f t="shared" si="2832"/>
        <v>2009</v>
      </c>
    </row>
    <row r="6053" spans="1:24" ht="12" customHeight="1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851">C6053+2</f>
        <v>41044</v>
      </c>
      <c r="V6053">
        <f t="shared" si="2833"/>
        <v>15</v>
      </c>
      <c r="W6053">
        <f t="shared" si="2831"/>
        <v>5</v>
      </c>
      <c r="X6053">
        <f t="shared" si="2832"/>
        <v>2012</v>
      </c>
    </row>
    <row r="6054" spans="1:24" ht="12" customHeight="1">
      <c r="A6054" s="4">
        <v>6733</v>
      </c>
      <c r="B6054" s="4">
        <v>47942</v>
      </c>
      <c r="C6054" s="5">
        <f t="shared" ref="C6054:C6056" si="2852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851"/>
        <v>40238</v>
      </c>
      <c r="V6054">
        <f t="shared" si="2833"/>
        <v>1</v>
      </c>
      <c r="W6054">
        <f t="shared" si="2831"/>
        <v>3</v>
      </c>
      <c r="X6054">
        <f t="shared" si="2832"/>
        <v>2010</v>
      </c>
    </row>
    <row r="6055" spans="1:24" ht="12" customHeight="1">
      <c r="A6055" s="4">
        <v>6734</v>
      </c>
      <c r="B6055" s="4">
        <v>47942</v>
      </c>
      <c r="C6055" s="5">
        <f t="shared" si="2852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851"/>
        <v>40238</v>
      </c>
      <c r="V6055">
        <f t="shared" si="2833"/>
        <v>1</v>
      </c>
      <c r="W6055">
        <f t="shared" si="2831"/>
        <v>3</v>
      </c>
      <c r="X6055">
        <f t="shared" si="2832"/>
        <v>2010</v>
      </c>
    </row>
    <row r="6056" spans="1:24" ht="12" customHeight="1">
      <c r="A6056" s="4">
        <v>6735</v>
      </c>
      <c r="B6056" s="4">
        <v>47942</v>
      </c>
      <c r="C6056" s="5">
        <f t="shared" si="2852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853">C6056+1</f>
        <v>40237</v>
      </c>
      <c r="V6056">
        <f t="shared" si="2833"/>
        <v>28</v>
      </c>
      <c r="W6056">
        <f t="shared" si="2831"/>
        <v>2</v>
      </c>
      <c r="X6056">
        <f t="shared" si="2832"/>
        <v>2010</v>
      </c>
    </row>
    <row r="6057" spans="1:24" ht="12" customHeight="1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853"/>
        <v>41011</v>
      </c>
      <c r="V6057">
        <f t="shared" si="2833"/>
        <v>12</v>
      </c>
      <c r="W6057">
        <f t="shared" si="2831"/>
        <v>4</v>
      </c>
      <c r="X6057">
        <f t="shared" si="2832"/>
        <v>2012</v>
      </c>
    </row>
    <row r="6058" spans="1:24" ht="12" customHeight="1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853"/>
        <v>40918</v>
      </c>
      <c r="V6058">
        <f t="shared" si="2833"/>
        <v>10</v>
      </c>
      <c r="W6058">
        <f t="shared" si="2831"/>
        <v>1</v>
      </c>
      <c r="X6058">
        <f t="shared" si="2832"/>
        <v>2012</v>
      </c>
    </row>
    <row r="6059" spans="1:24" ht="12" customHeight="1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  <c r="V6059">
        <f t="shared" si="2833"/>
        <v>23</v>
      </c>
      <c r="W6059">
        <f t="shared" si="2831"/>
        <v>9</v>
      </c>
      <c r="X6059">
        <f t="shared" si="2832"/>
        <v>2010</v>
      </c>
    </row>
    <row r="6060" spans="1:24" ht="12" customHeight="1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  <c r="V6060">
        <f t="shared" si="2833"/>
        <v>16</v>
      </c>
      <c r="W6060">
        <f t="shared" si="2831"/>
        <v>11</v>
      </c>
      <c r="X6060">
        <f t="shared" si="2832"/>
        <v>2009</v>
      </c>
    </row>
    <row r="6061" spans="1:24" ht="12" customHeight="1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  <c r="V6061">
        <f t="shared" si="2833"/>
        <v>7</v>
      </c>
      <c r="W6061">
        <f t="shared" si="2831"/>
        <v>4</v>
      </c>
      <c r="X6061">
        <f t="shared" si="2832"/>
        <v>2009</v>
      </c>
    </row>
    <row r="6062" spans="1:24" ht="12" customHeight="1">
      <c r="A6062" s="4">
        <v>7024</v>
      </c>
      <c r="B6062" s="4">
        <v>50145</v>
      </c>
      <c r="C6062" s="5">
        <f t="shared" ref="C6062:C6063" si="2854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  <c r="V6062">
        <f t="shared" si="2833"/>
        <v>27</v>
      </c>
      <c r="W6062">
        <f t="shared" si="2831"/>
        <v>2</v>
      </c>
      <c r="X6062">
        <f t="shared" si="2832"/>
        <v>2011</v>
      </c>
    </row>
    <row r="6063" spans="1:24" ht="12" customHeight="1">
      <c r="A6063" s="4">
        <v>7025</v>
      </c>
      <c r="B6063" s="4">
        <v>50145</v>
      </c>
      <c r="C6063" s="5">
        <f t="shared" si="2854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  <c r="V6063">
        <f t="shared" si="2833"/>
        <v>26</v>
      </c>
      <c r="W6063">
        <f t="shared" si="2831"/>
        <v>2</v>
      </c>
      <c r="X6063">
        <f t="shared" si="2832"/>
        <v>2011</v>
      </c>
    </row>
    <row r="6064" spans="1:24" ht="12" customHeight="1">
      <c r="A6064" s="4">
        <v>7080</v>
      </c>
      <c r="B6064" s="4">
        <v>50532</v>
      </c>
      <c r="C6064" s="5">
        <f t="shared" ref="C6064:C6065" si="2855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  <c r="V6064">
        <f t="shared" si="2833"/>
        <v>16</v>
      </c>
      <c r="W6064">
        <f t="shared" si="2831"/>
        <v>8</v>
      </c>
      <c r="X6064">
        <f t="shared" si="2832"/>
        <v>2012</v>
      </c>
    </row>
    <row r="6065" spans="1:24" ht="12" customHeight="1">
      <c r="A6065" s="4">
        <v>7081</v>
      </c>
      <c r="B6065" s="4">
        <v>50532</v>
      </c>
      <c r="C6065" s="5">
        <f t="shared" si="2855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  <c r="V6065">
        <f t="shared" si="2833"/>
        <v>15</v>
      </c>
      <c r="W6065">
        <f t="shared" si="2831"/>
        <v>8</v>
      </c>
      <c r="X6065">
        <f t="shared" si="2832"/>
        <v>2012</v>
      </c>
    </row>
    <row r="6066" spans="1:24" ht="12" customHeight="1">
      <c r="A6066" s="4">
        <v>7182</v>
      </c>
      <c r="B6066" s="4">
        <v>51266</v>
      </c>
      <c r="C6066" s="5">
        <f t="shared" ref="C6066:C6069" si="2856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  <c r="V6066">
        <f t="shared" si="2833"/>
        <v>27</v>
      </c>
      <c r="W6066">
        <f t="shared" si="2831"/>
        <v>3</v>
      </c>
      <c r="X6066">
        <f t="shared" si="2832"/>
        <v>2009</v>
      </c>
    </row>
    <row r="6067" spans="1:24" ht="12" customHeight="1">
      <c r="A6067" s="4">
        <v>7183</v>
      </c>
      <c r="B6067" s="4">
        <v>51266</v>
      </c>
      <c r="C6067" s="5">
        <f t="shared" si="2856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  <c r="V6067">
        <f t="shared" si="2833"/>
        <v>25</v>
      </c>
      <c r="W6067">
        <f t="shared" si="2831"/>
        <v>3</v>
      </c>
      <c r="X6067">
        <f t="shared" si="2832"/>
        <v>2009</v>
      </c>
    </row>
    <row r="6068" spans="1:24" ht="12" customHeight="1">
      <c r="A6068" s="4">
        <v>7184</v>
      </c>
      <c r="B6068" s="4">
        <v>51266</v>
      </c>
      <c r="C6068" s="5">
        <f t="shared" si="2856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  <c r="V6068">
        <f t="shared" si="2833"/>
        <v>26</v>
      </c>
      <c r="W6068">
        <f t="shared" si="2831"/>
        <v>3</v>
      </c>
      <c r="X6068">
        <f t="shared" si="2832"/>
        <v>2009</v>
      </c>
    </row>
    <row r="6069" spans="1:24" ht="12" customHeight="1">
      <c r="A6069" s="4">
        <v>7185</v>
      </c>
      <c r="B6069" s="4">
        <v>51266</v>
      </c>
      <c r="C6069" s="5">
        <f t="shared" si="2856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  <c r="V6069">
        <f t="shared" si="2833"/>
        <v>27</v>
      </c>
      <c r="W6069">
        <f t="shared" si="2831"/>
        <v>3</v>
      </c>
      <c r="X6069">
        <f t="shared" si="2832"/>
        <v>2009</v>
      </c>
    </row>
    <row r="6070" spans="1:24" ht="12" customHeight="1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  <c r="V6070">
        <f t="shared" si="2833"/>
        <v>2</v>
      </c>
      <c r="W6070">
        <f t="shared" si="2831"/>
        <v>12</v>
      </c>
      <c r="X6070">
        <f t="shared" si="2832"/>
        <v>2010</v>
      </c>
    </row>
    <row r="6071" spans="1:24" ht="12" customHeight="1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  <c r="V6071">
        <f t="shared" si="2833"/>
        <v>22</v>
      </c>
      <c r="W6071">
        <f t="shared" si="2831"/>
        <v>11</v>
      </c>
      <c r="X6071">
        <f t="shared" si="2832"/>
        <v>2009</v>
      </c>
    </row>
    <row r="6072" spans="1:24" ht="12" customHeight="1">
      <c r="A6072" s="4">
        <v>7704</v>
      </c>
      <c r="B6072" s="4">
        <v>55234</v>
      </c>
      <c r="C6072" s="5">
        <f t="shared" ref="C6072:C6073" si="2857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  <c r="V6072">
        <f t="shared" si="2833"/>
        <v>1</v>
      </c>
      <c r="W6072">
        <f t="shared" si="2831"/>
        <v>8</v>
      </c>
      <c r="X6072">
        <f t="shared" si="2832"/>
        <v>2010</v>
      </c>
    </row>
    <row r="6073" spans="1:24" ht="12" customHeight="1">
      <c r="A6073" s="4">
        <v>7705</v>
      </c>
      <c r="B6073" s="4">
        <v>55234</v>
      </c>
      <c r="C6073" s="5">
        <f t="shared" si="2857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  <c r="V6073">
        <f t="shared" si="2833"/>
        <v>30</v>
      </c>
      <c r="W6073">
        <f t="shared" si="2831"/>
        <v>7</v>
      </c>
      <c r="X6073">
        <f t="shared" si="2832"/>
        <v>2010</v>
      </c>
    </row>
    <row r="6074" spans="1:24" ht="12" customHeight="1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  <c r="V6074">
        <f t="shared" si="2833"/>
        <v>16</v>
      </c>
      <c r="W6074">
        <f t="shared" si="2831"/>
        <v>7</v>
      </c>
      <c r="X6074">
        <f t="shared" si="2832"/>
        <v>2012</v>
      </c>
    </row>
    <row r="6075" spans="1:24" ht="12" customHeight="1">
      <c r="A6075" s="4">
        <v>7817</v>
      </c>
      <c r="B6075" s="4">
        <v>55906</v>
      </c>
      <c r="C6075" s="5">
        <f t="shared" ref="C6075:C6077" si="2858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  <c r="V6075">
        <f t="shared" si="2833"/>
        <v>28</v>
      </c>
      <c r="W6075">
        <f t="shared" si="2831"/>
        <v>11</v>
      </c>
      <c r="X6075">
        <f t="shared" si="2832"/>
        <v>2009</v>
      </c>
    </row>
    <row r="6076" spans="1:24" ht="12" customHeight="1">
      <c r="A6076" s="4">
        <v>7818</v>
      </c>
      <c r="B6076" s="4">
        <v>55906</v>
      </c>
      <c r="C6076" s="5">
        <f t="shared" si="2858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859">C6076+1</f>
        <v>40144</v>
      </c>
      <c r="V6076">
        <f t="shared" si="2833"/>
        <v>27</v>
      </c>
      <c r="W6076">
        <f t="shared" si="2831"/>
        <v>11</v>
      </c>
      <c r="X6076">
        <f t="shared" si="2832"/>
        <v>2009</v>
      </c>
    </row>
    <row r="6077" spans="1:24" ht="12" customHeight="1">
      <c r="A6077" s="4">
        <v>7819</v>
      </c>
      <c r="B6077" s="4">
        <v>55906</v>
      </c>
      <c r="C6077" s="5">
        <f t="shared" si="2858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859"/>
        <v>40144</v>
      </c>
      <c r="V6077">
        <f t="shared" si="2833"/>
        <v>27</v>
      </c>
      <c r="W6077">
        <f t="shared" si="2831"/>
        <v>11</v>
      </c>
      <c r="X6077">
        <f t="shared" si="2832"/>
        <v>2009</v>
      </c>
    </row>
    <row r="6078" spans="1:24" ht="12" customHeight="1">
      <c r="A6078" s="4">
        <v>7838</v>
      </c>
      <c r="B6078" s="4">
        <v>56032</v>
      </c>
      <c r="C6078" s="5">
        <f t="shared" ref="C6078:C6079" si="2860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  <c r="V6078">
        <f t="shared" si="2833"/>
        <v>19</v>
      </c>
      <c r="W6078">
        <f t="shared" si="2831"/>
        <v>12</v>
      </c>
      <c r="X6078">
        <f t="shared" si="2832"/>
        <v>2011</v>
      </c>
    </row>
    <row r="6079" spans="1:24" ht="12" customHeight="1">
      <c r="A6079" s="4">
        <v>7839</v>
      </c>
      <c r="B6079" s="4">
        <v>56032</v>
      </c>
      <c r="C6079" s="5">
        <f t="shared" si="2860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861">C6079+2</f>
        <v>40898</v>
      </c>
      <c r="V6079">
        <f t="shared" si="2833"/>
        <v>21</v>
      </c>
      <c r="W6079">
        <f t="shared" si="2831"/>
        <v>12</v>
      </c>
      <c r="X6079">
        <f t="shared" si="2832"/>
        <v>2011</v>
      </c>
    </row>
    <row r="6080" spans="1:24" ht="12" customHeight="1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861"/>
        <v>40540</v>
      </c>
      <c r="V6080">
        <f t="shared" si="2833"/>
        <v>28</v>
      </c>
      <c r="W6080">
        <f t="shared" si="2831"/>
        <v>12</v>
      </c>
      <c r="X6080">
        <f t="shared" si="2832"/>
        <v>2010</v>
      </c>
    </row>
    <row r="6081" spans="1:24" ht="12" customHeight="1">
      <c r="A6081" s="4">
        <v>19</v>
      </c>
      <c r="B6081" s="4">
        <v>130</v>
      </c>
      <c r="C6081" s="5">
        <f t="shared" ref="C6081:C6083" si="2862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861"/>
        <v>41038</v>
      </c>
      <c r="V6081">
        <f t="shared" si="2833"/>
        <v>9</v>
      </c>
      <c r="W6081">
        <f t="shared" si="2831"/>
        <v>5</v>
      </c>
      <c r="X6081">
        <f t="shared" si="2832"/>
        <v>2012</v>
      </c>
    </row>
    <row r="6082" spans="1:24" ht="12" customHeight="1">
      <c r="A6082" s="4">
        <v>20</v>
      </c>
      <c r="B6082" s="4">
        <v>130</v>
      </c>
      <c r="C6082" s="5">
        <f t="shared" si="2862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  <c r="V6082">
        <f t="shared" si="2833"/>
        <v>8</v>
      </c>
      <c r="W6082">
        <f t="shared" si="2831"/>
        <v>5</v>
      </c>
      <c r="X6082">
        <f t="shared" si="2832"/>
        <v>2012</v>
      </c>
    </row>
    <row r="6083" spans="1:24" ht="12" customHeight="1">
      <c r="A6083" s="4">
        <v>21</v>
      </c>
      <c r="B6083" s="4">
        <v>130</v>
      </c>
      <c r="C6083" s="5">
        <f t="shared" si="2862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  <c r="V6083">
        <f t="shared" si="2833"/>
        <v>10</v>
      </c>
      <c r="W6083">
        <f t="shared" ref="W6083:W6146" si="2863">MONTH(U6083)</f>
        <v>5</v>
      </c>
      <c r="X6083">
        <f t="shared" ref="X6083:X6146" si="2864">YEAR(U6083)</f>
        <v>2012</v>
      </c>
    </row>
    <row r="6084" spans="1:24" ht="12" customHeight="1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  <c r="V6084">
        <f t="shared" ref="V6084:V6147" si="2865">DAY(U6084)</f>
        <v>6</v>
      </c>
      <c r="W6084">
        <f t="shared" si="2863"/>
        <v>7</v>
      </c>
      <c r="X6084">
        <f t="shared" si="2864"/>
        <v>2011</v>
      </c>
    </row>
    <row r="6085" spans="1:24" ht="12" customHeight="1">
      <c r="A6085" s="4">
        <v>324</v>
      </c>
      <c r="B6085" s="4">
        <v>2240</v>
      </c>
      <c r="C6085" s="5">
        <f t="shared" ref="C6085:C6086" si="2866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867">C6085+1</f>
        <v>40974</v>
      </c>
      <c r="V6085">
        <f t="shared" si="2865"/>
        <v>6</v>
      </c>
      <c r="W6085">
        <f t="shared" si="2863"/>
        <v>3</v>
      </c>
      <c r="X6085">
        <f t="shared" si="2864"/>
        <v>2012</v>
      </c>
    </row>
    <row r="6086" spans="1:24" ht="12" customHeight="1">
      <c r="A6086" s="4">
        <v>325</v>
      </c>
      <c r="B6086" s="4">
        <v>2240</v>
      </c>
      <c r="C6086" s="5">
        <f t="shared" si="2866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867"/>
        <v>40974</v>
      </c>
      <c r="V6086">
        <f t="shared" si="2865"/>
        <v>6</v>
      </c>
      <c r="W6086">
        <f t="shared" si="2863"/>
        <v>3</v>
      </c>
      <c r="X6086">
        <f t="shared" si="2864"/>
        <v>2012</v>
      </c>
    </row>
    <row r="6087" spans="1:24" ht="12" customHeight="1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  <c r="V6087">
        <f t="shared" si="2865"/>
        <v>12</v>
      </c>
      <c r="W6087">
        <f t="shared" si="2863"/>
        <v>5</v>
      </c>
      <c r="X6087">
        <f t="shared" si="2864"/>
        <v>2010</v>
      </c>
    </row>
    <row r="6088" spans="1:24" ht="12" customHeight="1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868">C6088+1</f>
        <v>39922</v>
      </c>
      <c r="V6088">
        <f t="shared" si="2865"/>
        <v>19</v>
      </c>
      <c r="W6088">
        <f t="shared" si="2863"/>
        <v>4</v>
      </c>
      <c r="X6088">
        <f t="shared" si="2864"/>
        <v>2009</v>
      </c>
    </row>
    <row r="6089" spans="1:24" ht="12" customHeight="1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868"/>
        <v>40248</v>
      </c>
      <c r="V6089">
        <f t="shared" si="2865"/>
        <v>11</v>
      </c>
      <c r="W6089">
        <f t="shared" si="2863"/>
        <v>3</v>
      </c>
      <c r="X6089">
        <f t="shared" si="2864"/>
        <v>2010</v>
      </c>
    </row>
    <row r="6090" spans="1:24" ht="12" customHeight="1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  <c r="V6090">
        <f t="shared" si="2865"/>
        <v>10</v>
      </c>
      <c r="W6090">
        <f t="shared" si="2863"/>
        <v>6</v>
      </c>
      <c r="X6090">
        <f t="shared" si="2864"/>
        <v>2011</v>
      </c>
    </row>
    <row r="6091" spans="1:24" ht="12" customHeight="1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  <c r="V6091">
        <f t="shared" si="2865"/>
        <v>7</v>
      </c>
      <c r="W6091">
        <f t="shared" si="2863"/>
        <v>6</v>
      </c>
      <c r="X6091">
        <f t="shared" si="2864"/>
        <v>2011</v>
      </c>
    </row>
    <row r="6092" spans="1:24" ht="12" customHeight="1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  <c r="V6092">
        <f t="shared" si="2865"/>
        <v>23</v>
      </c>
      <c r="W6092">
        <f t="shared" si="2863"/>
        <v>9</v>
      </c>
      <c r="X6092">
        <f t="shared" si="2864"/>
        <v>2009</v>
      </c>
    </row>
    <row r="6093" spans="1:24" ht="12" customHeight="1">
      <c r="A6093" s="4">
        <v>849</v>
      </c>
      <c r="B6093" s="4">
        <v>6112</v>
      </c>
      <c r="C6093" s="5">
        <f t="shared" ref="C6093:C6094" si="2869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  <c r="V6093">
        <f t="shared" si="2865"/>
        <v>23</v>
      </c>
      <c r="W6093">
        <f t="shared" si="2863"/>
        <v>8</v>
      </c>
      <c r="X6093">
        <f t="shared" si="2864"/>
        <v>2009</v>
      </c>
    </row>
    <row r="6094" spans="1:24" ht="12" customHeight="1">
      <c r="A6094" s="4">
        <v>850</v>
      </c>
      <c r="B6094" s="4">
        <v>6112</v>
      </c>
      <c r="C6094" s="5">
        <f t="shared" si="2869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  <c r="V6094">
        <f t="shared" si="2865"/>
        <v>24</v>
      </c>
      <c r="W6094">
        <f t="shared" si="2863"/>
        <v>8</v>
      </c>
      <c r="X6094">
        <f t="shared" si="2864"/>
        <v>2009</v>
      </c>
    </row>
    <row r="6095" spans="1:24" ht="12" customHeight="1">
      <c r="A6095" s="4">
        <v>871</v>
      </c>
      <c r="B6095" s="4">
        <v>6272</v>
      </c>
      <c r="C6095" s="5">
        <f t="shared" ref="C6095:C6098" si="2870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871">C6095+2</f>
        <v>40238</v>
      </c>
      <c r="V6095">
        <f t="shared" si="2865"/>
        <v>1</v>
      </c>
      <c r="W6095">
        <f t="shared" si="2863"/>
        <v>3</v>
      </c>
      <c r="X6095">
        <f t="shared" si="2864"/>
        <v>2010</v>
      </c>
    </row>
    <row r="6096" spans="1:24" ht="12" customHeight="1">
      <c r="A6096" s="4">
        <v>872</v>
      </c>
      <c r="B6096" s="4">
        <v>6272</v>
      </c>
      <c r="C6096" s="5">
        <f t="shared" si="2870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871"/>
        <v>40238</v>
      </c>
      <c r="V6096">
        <f t="shared" si="2865"/>
        <v>1</v>
      </c>
      <c r="W6096">
        <f t="shared" si="2863"/>
        <v>3</v>
      </c>
      <c r="X6096">
        <f t="shared" si="2864"/>
        <v>2010</v>
      </c>
    </row>
    <row r="6097" spans="1:24" ht="12" customHeight="1">
      <c r="A6097" s="4">
        <v>873</v>
      </c>
      <c r="B6097" s="4">
        <v>6272</v>
      </c>
      <c r="C6097" s="5">
        <f t="shared" si="2870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871"/>
        <v>40238</v>
      </c>
      <c r="V6097">
        <f t="shared" si="2865"/>
        <v>1</v>
      </c>
      <c r="W6097">
        <f t="shared" si="2863"/>
        <v>3</v>
      </c>
      <c r="X6097">
        <f t="shared" si="2864"/>
        <v>2010</v>
      </c>
    </row>
    <row r="6098" spans="1:24" ht="12" customHeight="1">
      <c r="A6098" s="4">
        <v>874</v>
      </c>
      <c r="B6098" s="4">
        <v>6272</v>
      </c>
      <c r="C6098" s="5">
        <f t="shared" si="2870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871"/>
        <v>40238</v>
      </c>
      <c r="V6098">
        <f t="shared" si="2865"/>
        <v>1</v>
      </c>
      <c r="W6098">
        <f t="shared" si="2863"/>
        <v>3</v>
      </c>
      <c r="X6098">
        <f t="shared" si="2864"/>
        <v>2010</v>
      </c>
    </row>
    <row r="6099" spans="1:24" ht="12" customHeight="1">
      <c r="A6099" s="4">
        <v>904</v>
      </c>
      <c r="B6099" s="4">
        <v>6501</v>
      </c>
      <c r="C6099" s="5">
        <f t="shared" ref="C6099:C6100" si="2872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871"/>
        <v>40923</v>
      </c>
      <c r="V6099">
        <f t="shared" si="2865"/>
        <v>15</v>
      </c>
      <c r="W6099">
        <f t="shared" si="2863"/>
        <v>1</v>
      </c>
      <c r="X6099">
        <f t="shared" si="2864"/>
        <v>2012</v>
      </c>
    </row>
    <row r="6100" spans="1:24" ht="12" customHeight="1">
      <c r="A6100" s="4">
        <v>905</v>
      </c>
      <c r="B6100" s="4">
        <v>6501</v>
      </c>
      <c r="C6100" s="5">
        <f t="shared" si="2872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871"/>
        <v>40923</v>
      </c>
      <c r="V6100">
        <f t="shared" si="2865"/>
        <v>15</v>
      </c>
      <c r="W6100">
        <f t="shared" si="2863"/>
        <v>1</v>
      </c>
      <c r="X6100">
        <f t="shared" si="2864"/>
        <v>2012</v>
      </c>
    </row>
    <row r="6101" spans="1:24" ht="12" customHeight="1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871"/>
        <v>41241</v>
      </c>
      <c r="V6101">
        <f t="shared" si="2865"/>
        <v>28</v>
      </c>
      <c r="W6101">
        <f t="shared" si="2863"/>
        <v>11</v>
      </c>
      <c r="X6101">
        <f t="shared" si="2864"/>
        <v>2012</v>
      </c>
    </row>
    <row r="6102" spans="1:24" ht="12" customHeight="1">
      <c r="A6102" s="4">
        <v>994</v>
      </c>
      <c r="B6102" s="4">
        <v>7171</v>
      </c>
      <c r="C6102" s="5">
        <f t="shared" ref="C6102:C6103" si="2873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871"/>
        <v>40589</v>
      </c>
      <c r="V6102">
        <f t="shared" si="2865"/>
        <v>15</v>
      </c>
      <c r="W6102">
        <f t="shared" si="2863"/>
        <v>2</v>
      </c>
      <c r="X6102">
        <f t="shared" si="2864"/>
        <v>2011</v>
      </c>
    </row>
    <row r="6103" spans="1:24" ht="12" customHeight="1">
      <c r="A6103" s="4">
        <v>995</v>
      </c>
      <c r="B6103" s="4">
        <v>7171</v>
      </c>
      <c r="C6103" s="5">
        <f t="shared" si="2873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871"/>
        <v>40589</v>
      </c>
      <c r="V6103">
        <f t="shared" si="2865"/>
        <v>15</v>
      </c>
      <c r="W6103">
        <f t="shared" si="2863"/>
        <v>2</v>
      </c>
      <c r="X6103">
        <f t="shared" si="2864"/>
        <v>2011</v>
      </c>
    </row>
    <row r="6104" spans="1:24" ht="12" customHeight="1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  <c r="V6104">
        <f t="shared" si="2865"/>
        <v>23</v>
      </c>
      <c r="W6104">
        <f t="shared" si="2863"/>
        <v>1</v>
      </c>
      <c r="X6104">
        <f t="shared" si="2864"/>
        <v>2009</v>
      </c>
    </row>
    <row r="6105" spans="1:24" ht="12" customHeight="1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  <c r="V6105">
        <f t="shared" si="2865"/>
        <v>14</v>
      </c>
      <c r="W6105">
        <f t="shared" si="2863"/>
        <v>5</v>
      </c>
      <c r="X6105">
        <f t="shared" si="2864"/>
        <v>2011</v>
      </c>
    </row>
    <row r="6106" spans="1:24" ht="12" customHeight="1">
      <c r="A6106" s="4">
        <v>1386</v>
      </c>
      <c r="B6106" s="4">
        <v>10053</v>
      </c>
      <c r="C6106" s="5">
        <f t="shared" ref="C6106:C6107" si="2874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  <c r="V6106">
        <f t="shared" si="2865"/>
        <v>13</v>
      </c>
      <c r="W6106">
        <f t="shared" si="2863"/>
        <v>1</v>
      </c>
      <c r="X6106">
        <f t="shared" si="2864"/>
        <v>2012</v>
      </c>
    </row>
    <row r="6107" spans="1:24" ht="12" customHeight="1">
      <c r="A6107" s="4">
        <v>1387</v>
      </c>
      <c r="B6107" s="4">
        <v>10053</v>
      </c>
      <c r="C6107" s="5">
        <f t="shared" si="2874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  <c r="V6107">
        <f t="shared" si="2865"/>
        <v>12</v>
      </c>
      <c r="W6107">
        <f t="shared" si="2863"/>
        <v>1</v>
      </c>
      <c r="X6107">
        <f t="shared" si="2864"/>
        <v>2012</v>
      </c>
    </row>
    <row r="6108" spans="1:24" ht="12" customHeight="1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  <c r="V6108">
        <f t="shared" si="2865"/>
        <v>21</v>
      </c>
      <c r="W6108">
        <f t="shared" si="2863"/>
        <v>11</v>
      </c>
      <c r="X6108">
        <f t="shared" si="2864"/>
        <v>2009</v>
      </c>
    </row>
    <row r="6109" spans="1:24" ht="12" customHeight="1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  <c r="V6109">
        <f t="shared" si="2865"/>
        <v>2</v>
      </c>
      <c r="W6109">
        <f t="shared" si="2863"/>
        <v>4</v>
      </c>
      <c r="X6109">
        <f t="shared" si="2864"/>
        <v>2009</v>
      </c>
    </row>
    <row r="6110" spans="1:24" ht="12" customHeight="1">
      <c r="A6110" s="4">
        <v>1518</v>
      </c>
      <c r="B6110" s="4">
        <v>10979</v>
      </c>
      <c r="C6110" s="5">
        <f t="shared" ref="C6110:C6111" si="2875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876">C6110+2</f>
        <v>40822</v>
      </c>
      <c r="V6110">
        <f t="shared" si="2865"/>
        <v>6</v>
      </c>
      <c r="W6110">
        <f t="shared" si="2863"/>
        <v>10</v>
      </c>
      <c r="X6110">
        <f t="shared" si="2864"/>
        <v>2011</v>
      </c>
    </row>
    <row r="6111" spans="1:24" ht="12" customHeight="1">
      <c r="A6111" s="4">
        <v>1519</v>
      </c>
      <c r="B6111" s="4">
        <v>10979</v>
      </c>
      <c r="C6111" s="5">
        <f t="shared" si="2875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876"/>
        <v>40822</v>
      </c>
      <c r="V6111">
        <f t="shared" si="2865"/>
        <v>6</v>
      </c>
      <c r="W6111">
        <f t="shared" si="2863"/>
        <v>10</v>
      </c>
      <c r="X6111">
        <f t="shared" si="2864"/>
        <v>2011</v>
      </c>
    </row>
    <row r="6112" spans="1:24" ht="12" customHeight="1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876"/>
        <v>41139</v>
      </c>
      <c r="V6112">
        <f t="shared" si="2865"/>
        <v>18</v>
      </c>
      <c r="W6112">
        <f t="shared" si="2863"/>
        <v>8</v>
      </c>
      <c r="X6112">
        <f t="shared" si="2864"/>
        <v>2012</v>
      </c>
    </row>
    <row r="6113" spans="1:24" ht="12" customHeight="1">
      <c r="A6113" s="4">
        <v>1670</v>
      </c>
      <c r="B6113" s="4">
        <v>12067</v>
      </c>
      <c r="C6113" s="5">
        <f t="shared" ref="C6113:C6117" si="2877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  <c r="V6113">
        <f t="shared" si="2865"/>
        <v>4</v>
      </c>
      <c r="W6113">
        <f t="shared" si="2863"/>
        <v>2</v>
      </c>
      <c r="X6113">
        <f t="shared" si="2864"/>
        <v>2010</v>
      </c>
    </row>
    <row r="6114" spans="1:24" ht="12" customHeight="1">
      <c r="A6114" s="4">
        <v>1671</v>
      </c>
      <c r="B6114" s="4">
        <v>12067</v>
      </c>
      <c r="C6114" s="5">
        <f t="shared" si="2877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878">C6114+1</f>
        <v>40214</v>
      </c>
      <c r="V6114">
        <f t="shared" si="2865"/>
        <v>5</v>
      </c>
      <c r="W6114">
        <f t="shared" si="2863"/>
        <v>2</v>
      </c>
      <c r="X6114">
        <f t="shared" si="2864"/>
        <v>2010</v>
      </c>
    </row>
    <row r="6115" spans="1:24" ht="12" customHeight="1">
      <c r="A6115" s="4">
        <v>1672</v>
      </c>
      <c r="B6115" s="4">
        <v>12067</v>
      </c>
      <c r="C6115" s="5">
        <f t="shared" si="2877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878"/>
        <v>40214</v>
      </c>
      <c r="V6115">
        <f t="shared" si="2865"/>
        <v>5</v>
      </c>
      <c r="W6115">
        <f t="shared" si="2863"/>
        <v>2</v>
      </c>
      <c r="X6115">
        <f t="shared" si="2864"/>
        <v>2010</v>
      </c>
    </row>
    <row r="6116" spans="1:24" ht="12" customHeight="1">
      <c r="A6116" s="4">
        <v>1673</v>
      </c>
      <c r="B6116" s="4">
        <v>12067</v>
      </c>
      <c r="C6116" s="5">
        <f t="shared" si="2877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878"/>
        <v>40214</v>
      </c>
      <c r="V6116">
        <f t="shared" si="2865"/>
        <v>5</v>
      </c>
      <c r="W6116">
        <f t="shared" si="2863"/>
        <v>2</v>
      </c>
      <c r="X6116">
        <f t="shared" si="2864"/>
        <v>2010</v>
      </c>
    </row>
    <row r="6117" spans="1:24" ht="12" customHeight="1">
      <c r="A6117" s="4">
        <v>1674</v>
      </c>
      <c r="B6117" s="4">
        <v>12067</v>
      </c>
      <c r="C6117" s="5">
        <f t="shared" si="2877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878"/>
        <v>40214</v>
      </c>
      <c r="V6117">
        <f t="shared" si="2865"/>
        <v>5</v>
      </c>
      <c r="W6117">
        <f t="shared" si="2863"/>
        <v>2</v>
      </c>
      <c r="X6117">
        <f t="shared" si="2864"/>
        <v>2010</v>
      </c>
    </row>
    <row r="6118" spans="1:24" ht="12" customHeight="1">
      <c r="A6118" s="4">
        <v>1788</v>
      </c>
      <c r="B6118" s="4">
        <v>12804</v>
      </c>
      <c r="C6118" s="5">
        <f t="shared" ref="C6118:C6120" si="2879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  <c r="V6118">
        <f t="shared" si="2865"/>
        <v>28</v>
      </c>
      <c r="W6118">
        <f t="shared" si="2863"/>
        <v>5</v>
      </c>
      <c r="X6118">
        <f t="shared" si="2864"/>
        <v>2012</v>
      </c>
    </row>
    <row r="6119" spans="1:24" ht="12" customHeight="1">
      <c r="A6119" s="4">
        <v>1789</v>
      </c>
      <c r="B6119" s="4">
        <v>12804</v>
      </c>
      <c r="C6119" s="5">
        <f t="shared" si="2879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880">C6119+2</f>
        <v>41056</v>
      </c>
      <c r="V6119">
        <f t="shared" si="2865"/>
        <v>27</v>
      </c>
      <c r="W6119">
        <f t="shared" si="2863"/>
        <v>5</v>
      </c>
      <c r="X6119">
        <f t="shared" si="2864"/>
        <v>2012</v>
      </c>
    </row>
    <row r="6120" spans="1:24" ht="12" customHeight="1">
      <c r="A6120" s="4">
        <v>1790</v>
      </c>
      <c r="B6120" s="4">
        <v>12804</v>
      </c>
      <c r="C6120" s="5">
        <f t="shared" si="2879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880"/>
        <v>41056</v>
      </c>
      <c r="V6120">
        <f t="shared" si="2865"/>
        <v>27</v>
      </c>
      <c r="W6120">
        <f t="shared" si="2863"/>
        <v>5</v>
      </c>
      <c r="X6120">
        <f t="shared" si="2864"/>
        <v>2012</v>
      </c>
    </row>
    <row r="6121" spans="1:24" ht="12" customHeight="1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  <c r="V6121">
        <f t="shared" si="2865"/>
        <v>1</v>
      </c>
      <c r="W6121">
        <f t="shared" si="2863"/>
        <v>9</v>
      </c>
      <c r="X6121">
        <f t="shared" si="2864"/>
        <v>2012</v>
      </c>
    </row>
    <row r="6122" spans="1:24" ht="12" customHeight="1">
      <c r="A6122" s="4">
        <v>1907</v>
      </c>
      <c r="B6122" s="4">
        <v>13635</v>
      </c>
      <c r="C6122" s="5">
        <f t="shared" ref="C6122:C6123" si="2881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  <c r="V6122">
        <f t="shared" si="2865"/>
        <v>2</v>
      </c>
      <c r="W6122">
        <f t="shared" si="2863"/>
        <v>5</v>
      </c>
      <c r="X6122">
        <f t="shared" si="2864"/>
        <v>2009</v>
      </c>
    </row>
    <row r="6123" spans="1:24" ht="12" customHeight="1">
      <c r="A6123" s="4">
        <v>1908</v>
      </c>
      <c r="B6123" s="4">
        <v>13635</v>
      </c>
      <c r="C6123" s="5">
        <f t="shared" si="2881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  <c r="V6123">
        <f t="shared" si="2865"/>
        <v>3</v>
      </c>
      <c r="W6123">
        <f t="shared" si="2863"/>
        <v>5</v>
      </c>
      <c r="X6123">
        <f t="shared" si="2864"/>
        <v>2009</v>
      </c>
    </row>
    <row r="6124" spans="1:24" ht="12" customHeight="1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882">C6124+1</f>
        <v>40221</v>
      </c>
      <c r="V6124">
        <f t="shared" si="2865"/>
        <v>12</v>
      </c>
      <c r="W6124">
        <f t="shared" si="2863"/>
        <v>2</v>
      </c>
      <c r="X6124">
        <f t="shared" si="2864"/>
        <v>2010</v>
      </c>
    </row>
    <row r="6125" spans="1:24" ht="12" customHeight="1">
      <c r="A6125" s="4">
        <v>2203</v>
      </c>
      <c r="B6125" s="4">
        <v>15904</v>
      </c>
      <c r="C6125" s="5">
        <f t="shared" ref="C6125:C6126" si="2883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882"/>
        <v>40114</v>
      </c>
      <c r="V6125">
        <f t="shared" si="2865"/>
        <v>28</v>
      </c>
      <c r="W6125">
        <f t="shared" si="2863"/>
        <v>10</v>
      </c>
      <c r="X6125">
        <f t="shared" si="2864"/>
        <v>2009</v>
      </c>
    </row>
    <row r="6126" spans="1:24" ht="12" customHeight="1">
      <c r="A6126" s="4">
        <v>2204</v>
      </c>
      <c r="B6126" s="4">
        <v>15904</v>
      </c>
      <c r="C6126" s="5">
        <f t="shared" si="2883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  <c r="V6126">
        <f t="shared" si="2865"/>
        <v>29</v>
      </c>
      <c r="W6126">
        <f t="shared" si="2863"/>
        <v>10</v>
      </c>
      <c r="X6126">
        <f t="shared" si="2864"/>
        <v>2009</v>
      </c>
    </row>
    <row r="6127" spans="1:24" ht="12" customHeight="1">
      <c r="A6127" s="4">
        <v>2279</v>
      </c>
      <c r="B6127" s="4">
        <v>16422</v>
      </c>
      <c r="C6127" s="5">
        <f t="shared" ref="C6127:C6128" si="2884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  <c r="V6127">
        <f t="shared" si="2865"/>
        <v>10</v>
      </c>
      <c r="W6127">
        <f t="shared" si="2863"/>
        <v>10</v>
      </c>
      <c r="X6127">
        <f t="shared" si="2864"/>
        <v>2011</v>
      </c>
    </row>
    <row r="6128" spans="1:24" ht="12" customHeight="1">
      <c r="A6128" s="4">
        <v>2280</v>
      </c>
      <c r="B6128" s="4">
        <v>16422</v>
      </c>
      <c r="C6128" s="5">
        <f t="shared" si="2884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885">C6128+2</f>
        <v>40827</v>
      </c>
      <c r="V6128">
        <f t="shared" si="2865"/>
        <v>11</v>
      </c>
      <c r="W6128">
        <f t="shared" si="2863"/>
        <v>10</v>
      </c>
      <c r="X6128">
        <f t="shared" si="2864"/>
        <v>2011</v>
      </c>
    </row>
    <row r="6129" spans="1:24" ht="12" customHeight="1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885"/>
        <v>40759</v>
      </c>
      <c r="V6129">
        <f t="shared" si="2865"/>
        <v>4</v>
      </c>
      <c r="W6129">
        <f t="shared" si="2863"/>
        <v>8</v>
      </c>
      <c r="X6129">
        <f t="shared" si="2864"/>
        <v>2011</v>
      </c>
    </row>
    <row r="6130" spans="1:24" ht="12" customHeight="1">
      <c r="A6130" s="4">
        <v>2504</v>
      </c>
      <c r="B6130" s="4">
        <v>18208</v>
      </c>
      <c r="C6130" s="5">
        <f t="shared" ref="C6130:C6131" si="2886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885"/>
        <v>41002</v>
      </c>
      <c r="V6130">
        <f t="shared" si="2865"/>
        <v>3</v>
      </c>
      <c r="W6130">
        <f t="shared" si="2863"/>
        <v>4</v>
      </c>
      <c r="X6130">
        <f t="shared" si="2864"/>
        <v>2012</v>
      </c>
    </row>
    <row r="6131" spans="1:24" ht="12" customHeight="1">
      <c r="A6131" s="4">
        <v>2505</v>
      </c>
      <c r="B6131" s="4">
        <v>18208</v>
      </c>
      <c r="C6131" s="5">
        <f t="shared" si="2886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885"/>
        <v>41002</v>
      </c>
      <c r="V6131">
        <f t="shared" si="2865"/>
        <v>3</v>
      </c>
      <c r="W6131">
        <f t="shared" si="2863"/>
        <v>4</v>
      </c>
      <c r="X6131">
        <f t="shared" si="2864"/>
        <v>2012</v>
      </c>
    </row>
    <row r="6132" spans="1:24" ht="12" customHeight="1">
      <c r="A6132" s="4">
        <v>2556</v>
      </c>
      <c r="B6132" s="4">
        <v>18500</v>
      </c>
      <c r="C6132" s="5">
        <f t="shared" ref="C6132:C6134" si="2887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888">C6132+1</f>
        <v>40951</v>
      </c>
      <c r="V6132">
        <f t="shared" si="2865"/>
        <v>12</v>
      </c>
      <c r="W6132">
        <f t="shared" si="2863"/>
        <v>2</v>
      </c>
      <c r="X6132">
        <f t="shared" si="2864"/>
        <v>2012</v>
      </c>
    </row>
    <row r="6133" spans="1:24" ht="12" customHeight="1">
      <c r="A6133" s="4">
        <v>2557</v>
      </c>
      <c r="B6133" s="4">
        <v>18500</v>
      </c>
      <c r="C6133" s="5">
        <f t="shared" si="2887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888"/>
        <v>40951</v>
      </c>
      <c r="V6133">
        <f t="shared" si="2865"/>
        <v>12</v>
      </c>
      <c r="W6133">
        <f t="shared" si="2863"/>
        <v>2</v>
      </c>
      <c r="X6133">
        <f t="shared" si="2864"/>
        <v>2012</v>
      </c>
    </row>
    <row r="6134" spans="1:24" ht="12" customHeight="1">
      <c r="A6134" s="4">
        <v>2558</v>
      </c>
      <c r="B6134" s="4">
        <v>18500</v>
      </c>
      <c r="C6134" s="5">
        <f t="shared" si="2887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  <c r="V6134">
        <f t="shared" si="2865"/>
        <v>13</v>
      </c>
      <c r="W6134">
        <f t="shared" si="2863"/>
        <v>2</v>
      </c>
      <c r="X6134">
        <f t="shared" si="2864"/>
        <v>2012</v>
      </c>
    </row>
    <row r="6135" spans="1:24" ht="12" customHeight="1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  <c r="V6135">
        <f t="shared" si="2865"/>
        <v>27</v>
      </c>
      <c r="W6135">
        <f t="shared" si="2863"/>
        <v>9</v>
      </c>
      <c r="X6135">
        <f t="shared" si="2864"/>
        <v>2010</v>
      </c>
    </row>
    <row r="6136" spans="1:24" ht="12" customHeight="1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  <c r="V6136">
        <f t="shared" si="2865"/>
        <v>30</v>
      </c>
      <c r="W6136">
        <f t="shared" si="2863"/>
        <v>12</v>
      </c>
      <c r="X6136">
        <f t="shared" si="2864"/>
        <v>2010</v>
      </c>
    </row>
    <row r="6137" spans="1:24" ht="12" customHeight="1">
      <c r="A6137" s="4">
        <v>2661</v>
      </c>
      <c r="B6137" s="4">
        <v>19232</v>
      </c>
      <c r="C6137" s="5">
        <f t="shared" ref="C6137:C6139" si="2889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  <c r="V6137">
        <f t="shared" si="2865"/>
        <v>17</v>
      </c>
      <c r="W6137">
        <f t="shared" si="2863"/>
        <v>7</v>
      </c>
      <c r="X6137">
        <f t="shared" si="2864"/>
        <v>2009</v>
      </c>
    </row>
    <row r="6138" spans="1:24" ht="12" customHeight="1">
      <c r="A6138" s="4">
        <v>2662</v>
      </c>
      <c r="B6138" s="4">
        <v>19232</v>
      </c>
      <c r="C6138" s="5">
        <f t="shared" si="2889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  <c r="V6138">
        <f t="shared" si="2865"/>
        <v>14</v>
      </c>
      <c r="W6138">
        <f t="shared" si="2863"/>
        <v>7</v>
      </c>
      <c r="X6138">
        <f t="shared" si="2864"/>
        <v>2009</v>
      </c>
    </row>
    <row r="6139" spans="1:24" ht="12" customHeight="1">
      <c r="A6139" s="4">
        <v>2663</v>
      </c>
      <c r="B6139" s="4">
        <v>19232</v>
      </c>
      <c r="C6139" s="5">
        <f t="shared" si="2889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  <c r="V6139">
        <f t="shared" si="2865"/>
        <v>19</v>
      </c>
      <c r="W6139">
        <f t="shared" si="2863"/>
        <v>7</v>
      </c>
      <c r="X6139">
        <f t="shared" si="2864"/>
        <v>2009</v>
      </c>
    </row>
    <row r="6140" spans="1:24" ht="12" customHeight="1">
      <c r="A6140" s="4">
        <v>2676</v>
      </c>
      <c r="B6140" s="4">
        <v>19363</v>
      </c>
      <c r="C6140" s="5">
        <f t="shared" ref="C6140:C6141" si="2890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  <c r="V6140">
        <f t="shared" si="2865"/>
        <v>6</v>
      </c>
      <c r="W6140">
        <f t="shared" si="2863"/>
        <v>7</v>
      </c>
      <c r="X6140">
        <f t="shared" si="2864"/>
        <v>2011</v>
      </c>
    </row>
    <row r="6141" spans="1:24" ht="12" customHeight="1">
      <c r="A6141" s="4">
        <v>2677</v>
      </c>
      <c r="B6141" s="4">
        <v>19363</v>
      </c>
      <c r="C6141" s="5">
        <f t="shared" si="2890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891">C6141+2</f>
        <v>40731</v>
      </c>
      <c r="V6141">
        <f t="shared" si="2865"/>
        <v>7</v>
      </c>
      <c r="W6141">
        <f t="shared" si="2863"/>
        <v>7</v>
      </c>
      <c r="X6141">
        <f t="shared" si="2864"/>
        <v>2011</v>
      </c>
    </row>
    <row r="6142" spans="1:24" ht="12" customHeight="1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891"/>
        <v>39925</v>
      </c>
      <c r="V6142">
        <f t="shared" si="2865"/>
        <v>22</v>
      </c>
      <c r="W6142">
        <f t="shared" si="2863"/>
        <v>4</v>
      </c>
      <c r="X6142">
        <f t="shared" si="2864"/>
        <v>2009</v>
      </c>
    </row>
    <row r="6143" spans="1:24" ht="12" customHeight="1">
      <c r="A6143" s="4">
        <v>2755</v>
      </c>
      <c r="B6143" s="4">
        <v>19911</v>
      </c>
      <c r="C6143" s="5">
        <f t="shared" ref="C6143:C6145" si="2892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  <c r="V6143">
        <f t="shared" si="2865"/>
        <v>7</v>
      </c>
      <c r="W6143">
        <f t="shared" si="2863"/>
        <v>10</v>
      </c>
      <c r="X6143">
        <f t="shared" si="2864"/>
        <v>2011</v>
      </c>
    </row>
    <row r="6144" spans="1:24" ht="12" customHeight="1">
      <c r="A6144" s="4">
        <v>2756</v>
      </c>
      <c r="B6144" s="4">
        <v>19911</v>
      </c>
      <c r="C6144" s="5">
        <f t="shared" si="2892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  <c r="V6144">
        <f t="shared" si="2865"/>
        <v>8</v>
      </c>
      <c r="W6144">
        <f t="shared" si="2863"/>
        <v>10</v>
      </c>
      <c r="X6144">
        <f t="shared" si="2864"/>
        <v>2011</v>
      </c>
    </row>
    <row r="6145" spans="1:24" ht="12" customHeight="1">
      <c r="A6145" s="4">
        <v>2757</v>
      </c>
      <c r="B6145" s="4">
        <v>19911</v>
      </c>
      <c r="C6145" s="5">
        <f t="shared" si="2892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  <c r="V6145">
        <f t="shared" si="2865"/>
        <v>6</v>
      </c>
      <c r="W6145">
        <f t="shared" si="2863"/>
        <v>10</v>
      </c>
      <c r="X6145">
        <f t="shared" si="2864"/>
        <v>2011</v>
      </c>
    </row>
    <row r="6146" spans="1:24" ht="12" customHeight="1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893">C6146+2</f>
        <v>40438</v>
      </c>
      <c r="V6146">
        <f t="shared" si="2865"/>
        <v>17</v>
      </c>
      <c r="W6146">
        <f t="shared" si="2863"/>
        <v>9</v>
      </c>
      <c r="X6146">
        <f t="shared" si="2864"/>
        <v>2010</v>
      </c>
    </row>
    <row r="6147" spans="1:24" ht="12" customHeight="1">
      <c r="A6147" s="4">
        <v>2995</v>
      </c>
      <c r="B6147" s="4">
        <v>21605</v>
      </c>
      <c r="C6147" s="5">
        <f t="shared" ref="C6147:C6148" si="2894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893"/>
        <v>41009</v>
      </c>
      <c r="V6147">
        <f t="shared" si="2865"/>
        <v>10</v>
      </c>
      <c r="W6147">
        <f t="shared" ref="W6147:W6210" si="2895">MONTH(U6147)</f>
        <v>4</v>
      </c>
      <c r="X6147">
        <f t="shared" ref="X6147:X6210" si="2896">YEAR(U6147)</f>
        <v>2012</v>
      </c>
    </row>
    <row r="6148" spans="1:24" ht="12" customHeight="1">
      <c r="A6148" s="4">
        <v>2996</v>
      </c>
      <c r="B6148" s="4">
        <v>21605</v>
      </c>
      <c r="C6148" s="5">
        <f t="shared" si="2894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893"/>
        <v>41009</v>
      </c>
      <c r="V6148">
        <f t="shared" ref="V6148:V6211" si="2897">DAY(U6148)</f>
        <v>10</v>
      </c>
      <c r="W6148">
        <f t="shared" si="2895"/>
        <v>4</v>
      </c>
      <c r="X6148">
        <f t="shared" si="2896"/>
        <v>2012</v>
      </c>
    </row>
    <row r="6149" spans="1:24" ht="12" customHeight="1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  <c r="V6149">
        <f t="shared" si="2897"/>
        <v>18</v>
      </c>
      <c r="W6149">
        <f t="shared" si="2895"/>
        <v>1</v>
      </c>
      <c r="X6149">
        <f t="shared" si="2896"/>
        <v>2009</v>
      </c>
    </row>
    <row r="6150" spans="1:24" ht="12" customHeight="1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  <c r="V6150">
        <f t="shared" si="2897"/>
        <v>20</v>
      </c>
      <c r="W6150">
        <f t="shared" si="2895"/>
        <v>1</v>
      </c>
      <c r="X6150">
        <f t="shared" si="2896"/>
        <v>2009</v>
      </c>
    </row>
    <row r="6151" spans="1:24" ht="12" customHeight="1">
      <c r="A6151" s="4">
        <v>3092</v>
      </c>
      <c r="B6151" s="4">
        <v>22182</v>
      </c>
      <c r="C6151" s="5">
        <f t="shared" ref="C6151:C6153" si="2898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  <c r="V6151">
        <f t="shared" si="2897"/>
        <v>6</v>
      </c>
      <c r="W6151">
        <f t="shared" si="2895"/>
        <v>9</v>
      </c>
      <c r="X6151">
        <f t="shared" si="2896"/>
        <v>2012</v>
      </c>
    </row>
    <row r="6152" spans="1:24" ht="12" customHeight="1">
      <c r="A6152" s="4">
        <v>3093</v>
      </c>
      <c r="B6152" s="4">
        <v>22182</v>
      </c>
      <c r="C6152" s="5">
        <f t="shared" si="2898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  <c r="V6152">
        <f t="shared" si="2897"/>
        <v>8</v>
      </c>
      <c r="W6152">
        <f t="shared" si="2895"/>
        <v>9</v>
      </c>
      <c r="X6152">
        <f t="shared" si="2896"/>
        <v>2012</v>
      </c>
    </row>
    <row r="6153" spans="1:24" ht="12" customHeight="1">
      <c r="A6153" s="4">
        <v>3094</v>
      </c>
      <c r="B6153" s="4">
        <v>22182</v>
      </c>
      <c r="C6153" s="5">
        <f t="shared" si="2898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  <c r="V6153">
        <f t="shared" si="2897"/>
        <v>7</v>
      </c>
      <c r="W6153">
        <f t="shared" si="2895"/>
        <v>9</v>
      </c>
      <c r="X6153">
        <f t="shared" si="2896"/>
        <v>2012</v>
      </c>
    </row>
    <row r="6154" spans="1:24" ht="12" customHeight="1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899">C6154+1</f>
        <v>39829</v>
      </c>
      <c r="V6154">
        <f t="shared" si="2897"/>
        <v>16</v>
      </c>
      <c r="W6154">
        <f t="shared" si="2895"/>
        <v>1</v>
      </c>
      <c r="X6154">
        <f t="shared" si="2896"/>
        <v>2009</v>
      </c>
    </row>
    <row r="6155" spans="1:24" ht="12" customHeight="1">
      <c r="A6155" s="4">
        <v>3218</v>
      </c>
      <c r="B6155" s="4">
        <v>23104</v>
      </c>
      <c r="C6155" s="5">
        <f t="shared" ref="C6155:C6156" si="2900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899"/>
        <v>40643</v>
      </c>
      <c r="V6155">
        <f t="shared" si="2897"/>
        <v>10</v>
      </c>
      <c r="W6155">
        <f t="shared" si="2895"/>
        <v>4</v>
      </c>
      <c r="X6155">
        <f t="shared" si="2896"/>
        <v>2011</v>
      </c>
    </row>
    <row r="6156" spans="1:24" ht="12" customHeight="1">
      <c r="A6156" s="4">
        <v>3219</v>
      </c>
      <c r="B6156" s="4">
        <v>23104</v>
      </c>
      <c r="C6156" s="5">
        <f t="shared" si="2900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  <c r="V6156">
        <f t="shared" si="2897"/>
        <v>12</v>
      </c>
      <c r="W6156">
        <f t="shared" si="2895"/>
        <v>4</v>
      </c>
      <c r="X6156">
        <f t="shared" si="2896"/>
        <v>2011</v>
      </c>
    </row>
    <row r="6157" spans="1:24" ht="12" customHeight="1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901">C6157+7</f>
        <v>41065</v>
      </c>
      <c r="V6157">
        <f t="shared" si="2897"/>
        <v>5</v>
      </c>
      <c r="W6157">
        <f t="shared" si="2895"/>
        <v>6</v>
      </c>
      <c r="X6157">
        <f t="shared" si="2896"/>
        <v>2012</v>
      </c>
    </row>
    <row r="6158" spans="1:24" ht="12" customHeight="1">
      <c r="A6158" s="4">
        <v>3298</v>
      </c>
      <c r="B6158" s="4">
        <v>23559</v>
      </c>
      <c r="C6158" s="5">
        <f t="shared" ref="C6158:C6159" si="2902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901"/>
        <v>40384</v>
      </c>
      <c r="V6158">
        <f t="shared" si="2897"/>
        <v>25</v>
      </c>
      <c r="W6158">
        <f t="shared" si="2895"/>
        <v>7</v>
      </c>
      <c r="X6158">
        <f t="shared" si="2896"/>
        <v>2010</v>
      </c>
    </row>
    <row r="6159" spans="1:24" ht="12" customHeight="1">
      <c r="A6159" s="4">
        <v>3299</v>
      </c>
      <c r="B6159" s="4">
        <v>23559</v>
      </c>
      <c r="C6159" s="5">
        <f t="shared" si="2902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  <c r="V6159">
        <f t="shared" si="2897"/>
        <v>23</v>
      </c>
      <c r="W6159">
        <f t="shared" si="2895"/>
        <v>7</v>
      </c>
      <c r="X6159">
        <f t="shared" si="2896"/>
        <v>2010</v>
      </c>
    </row>
    <row r="6160" spans="1:24" ht="12" customHeight="1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  <c r="V6160">
        <f t="shared" si="2897"/>
        <v>2</v>
      </c>
      <c r="W6160">
        <f t="shared" si="2895"/>
        <v>2</v>
      </c>
      <c r="X6160">
        <f t="shared" si="2896"/>
        <v>2011</v>
      </c>
    </row>
    <row r="6161" spans="1:24" ht="12" customHeight="1">
      <c r="A6161" s="4">
        <v>3392</v>
      </c>
      <c r="B6161" s="4">
        <v>24193</v>
      </c>
      <c r="C6161" s="5">
        <f t="shared" ref="C6161:C6163" si="2903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  <c r="V6161">
        <f t="shared" si="2897"/>
        <v>16</v>
      </c>
      <c r="W6161">
        <f t="shared" si="2895"/>
        <v>3</v>
      </c>
      <c r="X6161">
        <f t="shared" si="2896"/>
        <v>2009</v>
      </c>
    </row>
    <row r="6162" spans="1:24" ht="12" customHeight="1">
      <c r="A6162" s="4">
        <v>3393</v>
      </c>
      <c r="B6162" s="4">
        <v>24193</v>
      </c>
      <c r="C6162" s="5">
        <f t="shared" si="2903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  <c r="V6162">
        <f t="shared" si="2897"/>
        <v>15</v>
      </c>
      <c r="W6162">
        <f t="shared" si="2895"/>
        <v>3</v>
      </c>
      <c r="X6162">
        <f t="shared" si="2896"/>
        <v>2009</v>
      </c>
    </row>
    <row r="6163" spans="1:24" ht="12" customHeight="1">
      <c r="A6163" s="4">
        <v>3394</v>
      </c>
      <c r="B6163" s="4">
        <v>24193</v>
      </c>
      <c r="C6163" s="5">
        <f t="shared" si="2903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  <c r="V6163">
        <f t="shared" si="2897"/>
        <v>16</v>
      </c>
      <c r="W6163">
        <f t="shared" si="2895"/>
        <v>3</v>
      </c>
      <c r="X6163">
        <f t="shared" si="2896"/>
        <v>2009</v>
      </c>
    </row>
    <row r="6164" spans="1:24" ht="12" customHeight="1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  <c r="V6164">
        <f t="shared" si="2897"/>
        <v>10</v>
      </c>
      <c r="W6164">
        <f t="shared" si="2895"/>
        <v>5</v>
      </c>
      <c r="X6164">
        <f t="shared" si="2896"/>
        <v>2010</v>
      </c>
    </row>
    <row r="6165" spans="1:24" ht="12" customHeight="1">
      <c r="A6165" s="4">
        <v>3460</v>
      </c>
      <c r="B6165" s="4">
        <v>24646</v>
      </c>
      <c r="C6165" s="5">
        <f t="shared" ref="C6165:C6166" si="2904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  <c r="V6165">
        <f t="shared" si="2897"/>
        <v>16</v>
      </c>
      <c r="W6165">
        <f t="shared" si="2895"/>
        <v>4</v>
      </c>
      <c r="X6165">
        <f t="shared" si="2896"/>
        <v>2011</v>
      </c>
    </row>
    <row r="6166" spans="1:24" ht="12" customHeight="1">
      <c r="A6166" s="4">
        <v>3461</v>
      </c>
      <c r="B6166" s="4">
        <v>24646</v>
      </c>
      <c r="C6166" s="5">
        <f t="shared" si="2904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905">C6166+2</f>
        <v>40650</v>
      </c>
      <c r="V6166">
        <f t="shared" si="2897"/>
        <v>17</v>
      </c>
      <c r="W6166">
        <f t="shared" si="2895"/>
        <v>4</v>
      </c>
      <c r="X6166">
        <f t="shared" si="2896"/>
        <v>2011</v>
      </c>
    </row>
    <row r="6167" spans="1:24" ht="12" customHeight="1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905"/>
        <v>40250</v>
      </c>
      <c r="V6167">
        <f t="shared" si="2897"/>
        <v>13</v>
      </c>
      <c r="W6167">
        <f t="shared" si="2895"/>
        <v>3</v>
      </c>
      <c r="X6167">
        <f t="shared" si="2896"/>
        <v>2010</v>
      </c>
    </row>
    <row r="6168" spans="1:24" ht="12" customHeight="1">
      <c r="A6168" s="4">
        <v>3517</v>
      </c>
      <c r="B6168" s="4">
        <v>25060</v>
      </c>
      <c r="C6168" s="5">
        <f t="shared" ref="C6168:C6169" si="2906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905"/>
        <v>40016</v>
      </c>
      <c r="V6168">
        <f t="shared" si="2897"/>
        <v>22</v>
      </c>
      <c r="W6168">
        <f t="shared" si="2895"/>
        <v>7</v>
      </c>
      <c r="X6168">
        <f t="shared" si="2896"/>
        <v>2009</v>
      </c>
    </row>
    <row r="6169" spans="1:24" ht="12" customHeight="1">
      <c r="A6169" s="4">
        <v>3518</v>
      </c>
      <c r="B6169" s="4">
        <v>25060</v>
      </c>
      <c r="C6169" s="5">
        <f t="shared" si="2906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905"/>
        <v>40016</v>
      </c>
      <c r="V6169">
        <f t="shared" si="2897"/>
        <v>22</v>
      </c>
      <c r="W6169">
        <f t="shared" si="2895"/>
        <v>7</v>
      </c>
      <c r="X6169">
        <f t="shared" si="2896"/>
        <v>2009</v>
      </c>
    </row>
    <row r="6170" spans="1:24" ht="12" customHeight="1">
      <c r="A6170" s="4">
        <v>3568</v>
      </c>
      <c r="B6170" s="4">
        <v>25447</v>
      </c>
      <c r="C6170" s="5">
        <f t="shared" ref="C6170:C6171" si="2907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  <c r="V6170">
        <f t="shared" si="2897"/>
        <v>24</v>
      </c>
      <c r="W6170">
        <f t="shared" si="2895"/>
        <v>5</v>
      </c>
      <c r="X6170">
        <f t="shared" si="2896"/>
        <v>2012</v>
      </c>
    </row>
    <row r="6171" spans="1:24" ht="12" customHeight="1">
      <c r="A6171" s="4">
        <v>3569</v>
      </c>
      <c r="B6171" s="4">
        <v>25447</v>
      </c>
      <c r="C6171" s="5">
        <f t="shared" si="2907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  <c r="V6171">
        <f t="shared" si="2897"/>
        <v>26</v>
      </c>
      <c r="W6171">
        <f t="shared" si="2895"/>
        <v>5</v>
      </c>
      <c r="X6171">
        <f t="shared" si="2896"/>
        <v>2012</v>
      </c>
    </row>
    <row r="6172" spans="1:24" ht="12" customHeight="1">
      <c r="A6172" s="4">
        <v>3660</v>
      </c>
      <c r="B6172" s="4">
        <v>26214</v>
      </c>
      <c r="C6172" s="5">
        <f t="shared" ref="C6172:C6173" si="2908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909">C6172+1</f>
        <v>40868</v>
      </c>
      <c r="V6172">
        <f t="shared" si="2897"/>
        <v>21</v>
      </c>
      <c r="W6172">
        <f t="shared" si="2895"/>
        <v>11</v>
      </c>
      <c r="X6172">
        <f t="shared" si="2896"/>
        <v>2011</v>
      </c>
    </row>
    <row r="6173" spans="1:24" ht="12" customHeight="1">
      <c r="A6173" s="4">
        <v>3661</v>
      </c>
      <c r="B6173" s="4">
        <v>26214</v>
      </c>
      <c r="C6173" s="5">
        <f t="shared" si="2908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909"/>
        <v>40868</v>
      </c>
      <c r="V6173">
        <f t="shared" si="2897"/>
        <v>21</v>
      </c>
      <c r="W6173">
        <f t="shared" si="2895"/>
        <v>11</v>
      </c>
      <c r="X6173">
        <f t="shared" si="2896"/>
        <v>2011</v>
      </c>
    </row>
    <row r="6174" spans="1:24" ht="12" customHeight="1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  <c r="V6174">
        <f t="shared" si="2897"/>
        <v>1</v>
      </c>
      <c r="W6174">
        <f t="shared" si="2895"/>
        <v>10</v>
      </c>
      <c r="X6174">
        <f t="shared" si="2896"/>
        <v>2009</v>
      </c>
    </row>
    <row r="6175" spans="1:24" ht="12" customHeight="1">
      <c r="A6175" s="4">
        <v>3822</v>
      </c>
      <c r="B6175" s="4">
        <v>27265</v>
      </c>
      <c r="C6175" s="5">
        <f t="shared" ref="C6175:C6177" si="2910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  <c r="V6175">
        <f t="shared" si="2897"/>
        <v>6</v>
      </c>
      <c r="W6175">
        <f t="shared" si="2895"/>
        <v>5</v>
      </c>
      <c r="X6175">
        <f t="shared" si="2896"/>
        <v>2012</v>
      </c>
    </row>
    <row r="6176" spans="1:24" ht="12" customHeight="1">
      <c r="A6176" s="4">
        <v>3823</v>
      </c>
      <c r="B6176" s="4">
        <v>27265</v>
      </c>
      <c r="C6176" s="5">
        <f t="shared" si="2910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  <c r="V6176">
        <f t="shared" si="2897"/>
        <v>7</v>
      </c>
      <c r="W6176">
        <f t="shared" si="2895"/>
        <v>5</v>
      </c>
      <c r="X6176">
        <f t="shared" si="2896"/>
        <v>2012</v>
      </c>
    </row>
    <row r="6177" spans="1:24" ht="12" customHeight="1">
      <c r="A6177" s="4">
        <v>3824</v>
      </c>
      <c r="B6177" s="4">
        <v>27265</v>
      </c>
      <c r="C6177" s="5">
        <f t="shared" si="2910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911">C6177+2</f>
        <v>41037</v>
      </c>
      <c r="V6177">
        <f t="shared" si="2897"/>
        <v>8</v>
      </c>
      <c r="W6177">
        <f t="shared" si="2895"/>
        <v>5</v>
      </c>
      <c r="X6177">
        <f t="shared" si="2896"/>
        <v>2012</v>
      </c>
    </row>
    <row r="6178" spans="1:24" ht="12" customHeight="1">
      <c r="A6178" s="4">
        <v>3855</v>
      </c>
      <c r="B6178" s="4">
        <v>27491</v>
      </c>
      <c r="C6178" s="5">
        <f t="shared" ref="C6178:C6180" si="2912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911"/>
        <v>39914</v>
      </c>
      <c r="V6178">
        <f t="shared" si="2897"/>
        <v>11</v>
      </c>
      <c r="W6178">
        <f t="shared" si="2895"/>
        <v>4</v>
      </c>
      <c r="X6178">
        <f t="shared" si="2896"/>
        <v>2009</v>
      </c>
    </row>
    <row r="6179" spans="1:24" ht="12" customHeight="1">
      <c r="A6179" s="4">
        <v>3856</v>
      </c>
      <c r="B6179" s="4">
        <v>27491</v>
      </c>
      <c r="C6179" s="5">
        <f t="shared" si="2912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  <c r="V6179">
        <f t="shared" si="2897"/>
        <v>10</v>
      </c>
      <c r="W6179">
        <f t="shared" si="2895"/>
        <v>4</v>
      </c>
      <c r="X6179">
        <f t="shared" si="2896"/>
        <v>2009</v>
      </c>
    </row>
    <row r="6180" spans="1:24" ht="12" customHeight="1">
      <c r="A6180" s="4">
        <v>3857</v>
      </c>
      <c r="B6180" s="4">
        <v>27491</v>
      </c>
      <c r="C6180" s="5">
        <f t="shared" si="2912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  <c r="V6180">
        <f t="shared" si="2897"/>
        <v>11</v>
      </c>
      <c r="W6180">
        <f t="shared" si="2895"/>
        <v>4</v>
      </c>
      <c r="X6180">
        <f t="shared" si="2896"/>
        <v>2009</v>
      </c>
    </row>
    <row r="6181" spans="1:24" ht="12" customHeight="1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  <c r="V6181">
        <f t="shared" si="2897"/>
        <v>14</v>
      </c>
      <c r="W6181">
        <f t="shared" si="2895"/>
        <v>7</v>
      </c>
      <c r="X6181">
        <f t="shared" si="2896"/>
        <v>2011</v>
      </c>
    </row>
    <row r="6182" spans="1:24" ht="12" customHeight="1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  <c r="V6182">
        <f t="shared" si="2897"/>
        <v>26</v>
      </c>
      <c r="W6182">
        <f t="shared" si="2895"/>
        <v>4</v>
      </c>
      <c r="X6182">
        <f t="shared" si="2896"/>
        <v>2009</v>
      </c>
    </row>
    <row r="6183" spans="1:24" ht="12" customHeight="1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  <c r="V6183">
        <f t="shared" si="2897"/>
        <v>7</v>
      </c>
      <c r="W6183">
        <f t="shared" si="2895"/>
        <v>5</v>
      </c>
      <c r="X6183">
        <f t="shared" si="2896"/>
        <v>2012</v>
      </c>
    </row>
    <row r="6184" spans="1:24" ht="12" customHeight="1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  <c r="V6184">
        <f t="shared" si="2897"/>
        <v>28</v>
      </c>
      <c r="W6184">
        <f t="shared" si="2895"/>
        <v>7</v>
      </c>
      <c r="X6184">
        <f t="shared" si="2896"/>
        <v>2011</v>
      </c>
    </row>
    <row r="6185" spans="1:24" ht="12" customHeight="1">
      <c r="A6185" s="4">
        <v>4291</v>
      </c>
      <c r="B6185" s="4">
        <v>30567</v>
      </c>
      <c r="C6185" s="5">
        <f t="shared" ref="C6185:C6188" si="2913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  <c r="V6185">
        <f t="shared" si="2897"/>
        <v>14</v>
      </c>
      <c r="W6185">
        <f t="shared" si="2895"/>
        <v>1</v>
      </c>
      <c r="X6185">
        <f t="shared" si="2896"/>
        <v>2009</v>
      </c>
    </row>
    <row r="6186" spans="1:24" ht="12" customHeight="1">
      <c r="A6186" s="4">
        <v>4292</v>
      </c>
      <c r="B6186" s="4">
        <v>30567</v>
      </c>
      <c r="C6186" s="5">
        <f t="shared" si="2913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  <c r="V6186">
        <f t="shared" si="2897"/>
        <v>15</v>
      </c>
      <c r="W6186">
        <f t="shared" si="2895"/>
        <v>1</v>
      </c>
      <c r="X6186">
        <f t="shared" si="2896"/>
        <v>2009</v>
      </c>
    </row>
    <row r="6187" spans="1:24" ht="12" customHeight="1">
      <c r="A6187" s="4">
        <v>4293</v>
      </c>
      <c r="B6187" s="4">
        <v>30567</v>
      </c>
      <c r="C6187" s="5">
        <f t="shared" si="2913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  <c r="V6187">
        <f t="shared" si="2897"/>
        <v>16</v>
      </c>
      <c r="W6187">
        <f t="shared" si="2895"/>
        <v>1</v>
      </c>
      <c r="X6187">
        <f t="shared" si="2896"/>
        <v>2009</v>
      </c>
    </row>
    <row r="6188" spans="1:24" ht="12" customHeight="1">
      <c r="A6188" s="4">
        <v>4294</v>
      </c>
      <c r="B6188" s="4">
        <v>30567</v>
      </c>
      <c r="C6188" s="5">
        <f t="shared" si="2913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  <c r="V6188">
        <f t="shared" si="2897"/>
        <v>15</v>
      </c>
      <c r="W6188">
        <f t="shared" si="2895"/>
        <v>1</v>
      </c>
      <c r="X6188">
        <f t="shared" si="2896"/>
        <v>2009</v>
      </c>
    </row>
    <row r="6189" spans="1:24" ht="12" customHeight="1">
      <c r="A6189" s="4">
        <v>4431</v>
      </c>
      <c r="B6189" s="4">
        <v>31586</v>
      </c>
      <c r="C6189" s="5">
        <f t="shared" ref="C6189:C6190" si="2914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  <c r="V6189">
        <f t="shared" si="2897"/>
        <v>25</v>
      </c>
      <c r="W6189">
        <f t="shared" si="2895"/>
        <v>3</v>
      </c>
      <c r="X6189">
        <f t="shared" si="2896"/>
        <v>2012</v>
      </c>
    </row>
    <row r="6190" spans="1:24" ht="12" customHeight="1">
      <c r="A6190" s="4">
        <v>4432</v>
      </c>
      <c r="B6190" s="4">
        <v>31586</v>
      </c>
      <c r="C6190" s="5">
        <f t="shared" si="2914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  <c r="V6190">
        <f t="shared" si="2897"/>
        <v>30</v>
      </c>
      <c r="W6190">
        <f t="shared" si="2895"/>
        <v>3</v>
      </c>
      <c r="X6190">
        <f t="shared" si="2896"/>
        <v>2012</v>
      </c>
    </row>
    <row r="6191" spans="1:24" ht="12" customHeight="1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  <c r="V6191">
        <f t="shared" si="2897"/>
        <v>19</v>
      </c>
      <c r="W6191">
        <f t="shared" si="2895"/>
        <v>5</v>
      </c>
      <c r="X6191">
        <f t="shared" si="2896"/>
        <v>2011</v>
      </c>
    </row>
    <row r="6192" spans="1:24" ht="12" customHeight="1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  <c r="V6192">
        <f t="shared" si="2897"/>
        <v>22</v>
      </c>
      <c r="W6192">
        <f t="shared" si="2895"/>
        <v>12</v>
      </c>
      <c r="X6192">
        <f t="shared" si="2896"/>
        <v>2009</v>
      </c>
    </row>
    <row r="6193" spans="1:24" ht="12" customHeight="1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  <c r="V6193">
        <f t="shared" si="2897"/>
        <v>18</v>
      </c>
      <c r="W6193">
        <f t="shared" si="2895"/>
        <v>1</v>
      </c>
      <c r="X6193">
        <f t="shared" si="2896"/>
        <v>2009</v>
      </c>
    </row>
    <row r="6194" spans="1:24" ht="12" customHeight="1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915">C6194+2</f>
        <v>39938</v>
      </c>
      <c r="V6194">
        <f t="shared" si="2897"/>
        <v>5</v>
      </c>
      <c r="W6194">
        <f t="shared" si="2895"/>
        <v>5</v>
      </c>
      <c r="X6194">
        <f t="shared" si="2896"/>
        <v>2009</v>
      </c>
    </row>
    <row r="6195" spans="1:24" ht="12" customHeight="1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915"/>
        <v>41146</v>
      </c>
      <c r="V6195">
        <f t="shared" si="2897"/>
        <v>25</v>
      </c>
      <c r="W6195">
        <f t="shared" si="2895"/>
        <v>8</v>
      </c>
      <c r="X6195">
        <f t="shared" si="2896"/>
        <v>2012</v>
      </c>
    </row>
    <row r="6196" spans="1:24" ht="12" customHeight="1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915"/>
        <v>40658</v>
      </c>
      <c r="V6196">
        <f t="shared" si="2897"/>
        <v>25</v>
      </c>
      <c r="W6196">
        <f t="shared" si="2895"/>
        <v>4</v>
      </c>
      <c r="X6196">
        <f t="shared" si="2896"/>
        <v>2011</v>
      </c>
    </row>
    <row r="6197" spans="1:24" ht="12" customHeight="1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916">C6197+0</f>
        <v>40146</v>
      </c>
      <c r="V6197">
        <f t="shared" si="2897"/>
        <v>29</v>
      </c>
      <c r="W6197">
        <f t="shared" si="2895"/>
        <v>11</v>
      </c>
      <c r="X6197">
        <f t="shared" si="2896"/>
        <v>2009</v>
      </c>
    </row>
    <row r="6198" spans="1:24" ht="12" customHeight="1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916"/>
        <v>41051</v>
      </c>
      <c r="V6198">
        <f t="shared" si="2897"/>
        <v>22</v>
      </c>
      <c r="W6198">
        <f t="shared" si="2895"/>
        <v>5</v>
      </c>
      <c r="X6198">
        <f t="shared" si="2896"/>
        <v>2012</v>
      </c>
    </row>
    <row r="6199" spans="1:24" ht="12" customHeight="1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  <c r="V6199">
        <f t="shared" si="2897"/>
        <v>30</v>
      </c>
      <c r="W6199">
        <f t="shared" si="2895"/>
        <v>11</v>
      </c>
      <c r="X6199">
        <f t="shared" si="2896"/>
        <v>2009</v>
      </c>
    </row>
    <row r="6200" spans="1:24" ht="12" customHeight="1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  <c r="V6200">
        <f t="shared" si="2897"/>
        <v>22</v>
      </c>
      <c r="W6200">
        <f t="shared" si="2895"/>
        <v>8</v>
      </c>
      <c r="X6200">
        <f t="shared" si="2896"/>
        <v>2010</v>
      </c>
    </row>
    <row r="6201" spans="1:24" ht="12" customHeight="1">
      <c r="A6201" s="4">
        <v>5700</v>
      </c>
      <c r="B6201" s="4">
        <v>40321</v>
      </c>
      <c r="C6201" s="5">
        <f t="shared" ref="C6201:C6202" si="2917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  <c r="V6201">
        <f t="shared" si="2897"/>
        <v>25</v>
      </c>
      <c r="W6201">
        <f t="shared" si="2895"/>
        <v>6</v>
      </c>
      <c r="X6201">
        <f t="shared" si="2896"/>
        <v>2010</v>
      </c>
    </row>
    <row r="6202" spans="1:24" ht="12" customHeight="1">
      <c r="A6202" s="4">
        <v>5701</v>
      </c>
      <c r="B6202" s="4">
        <v>40321</v>
      </c>
      <c r="C6202" s="5">
        <f t="shared" si="2917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  <c r="V6202">
        <f t="shared" si="2897"/>
        <v>24</v>
      </c>
      <c r="W6202">
        <f t="shared" si="2895"/>
        <v>6</v>
      </c>
      <c r="X6202">
        <f t="shared" si="2896"/>
        <v>2010</v>
      </c>
    </row>
    <row r="6203" spans="1:24" ht="12" customHeight="1">
      <c r="A6203" s="4">
        <v>5947</v>
      </c>
      <c r="B6203" s="4">
        <v>42214</v>
      </c>
      <c r="C6203" s="5">
        <f t="shared" ref="C6203:C6204" si="2918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919">C6203+7</f>
        <v>40694</v>
      </c>
      <c r="V6203">
        <f t="shared" si="2897"/>
        <v>31</v>
      </c>
      <c r="W6203">
        <f t="shared" si="2895"/>
        <v>5</v>
      </c>
      <c r="X6203">
        <f t="shared" si="2896"/>
        <v>2011</v>
      </c>
    </row>
    <row r="6204" spans="1:24" ht="12" customHeight="1">
      <c r="A6204" s="4">
        <v>5948</v>
      </c>
      <c r="B6204" s="4">
        <v>42214</v>
      </c>
      <c r="C6204" s="5">
        <f t="shared" si="2918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919"/>
        <v>40694</v>
      </c>
      <c r="V6204">
        <f t="shared" si="2897"/>
        <v>31</v>
      </c>
      <c r="W6204">
        <f t="shared" si="2895"/>
        <v>5</v>
      </c>
      <c r="X6204">
        <f t="shared" si="2896"/>
        <v>2011</v>
      </c>
    </row>
    <row r="6205" spans="1:24" ht="12" customHeight="1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920">C6205+2</f>
        <v>40831</v>
      </c>
      <c r="V6205">
        <f t="shared" si="2897"/>
        <v>15</v>
      </c>
      <c r="W6205">
        <f t="shared" si="2895"/>
        <v>10</v>
      </c>
      <c r="X6205">
        <f t="shared" si="2896"/>
        <v>2011</v>
      </c>
    </row>
    <row r="6206" spans="1:24" ht="12" customHeight="1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920"/>
        <v>40304</v>
      </c>
      <c r="V6206">
        <f t="shared" si="2897"/>
        <v>6</v>
      </c>
      <c r="W6206">
        <f t="shared" si="2895"/>
        <v>5</v>
      </c>
      <c r="X6206">
        <f t="shared" si="2896"/>
        <v>2010</v>
      </c>
    </row>
    <row r="6207" spans="1:24" ht="12" customHeight="1">
      <c r="A6207" s="4">
        <v>6162</v>
      </c>
      <c r="B6207" s="4">
        <v>43653</v>
      </c>
      <c r="C6207" s="5">
        <f t="shared" ref="C6207:C6209" si="2921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  <c r="V6207">
        <f t="shared" si="2897"/>
        <v>30</v>
      </c>
      <c r="W6207">
        <f t="shared" si="2895"/>
        <v>10</v>
      </c>
      <c r="X6207">
        <f t="shared" si="2896"/>
        <v>2012</v>
      </c>
    </row>
    <row r="6208" spans="1:24" ht="12" customHeight="1">
      <c r="A6208" s="4">
        <v>6163</v>
      </c>
      <c r="B6208" s="4">
        <v>43653</v>
      </c>
      <c r="C6208" s="5">
        <f t="shared" si="2921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  <c r="V6208">
        <f t="shared" si="2897"/>
        <v>31</v>
      </c>
      <c r="W6208">
        <f t="shared" si="2895"/>
        <v>10</v>
      </c>
      <c r="X6208">
        <f t="shared" si="2896"/>
        <v>2012</v>
      </c>
    </row>
    <row r="6209" spans="1:24" ht="12" customHeight="1">
      <c r="A6209" s="4">
        <v>6164</v>
      </c>
      <c r="B6209" s="4">
        <v>43653</v>
      </c>
      <c r="C6209" s="5">
        <f t="shared" si="2921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922">C6209+2</f>
        <v>41214</v>
      </c>
      <c r="V6209">
        <f t="shared" si="2897"/>
        <v>1</v>
      </c>
      <c r="W6209">
        <f t="shared" si="2895"/>
        <v>11</v>
      </c>
      <c r="X6209">
        <f t="shared" si="2896"/>
        <v>2012</v>
      </c>
    </row>
    <row r="6210" spans="1:24" ht="12" customHeight="1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922"/>
        <v>40177</v>
      </c>
      <c r="V6210">
        <f t="shared" si="2897"/>
        <v>30</v>
      </c>
      <c r="W6210">
        <f t="shared" si="2895"/>
        <v>12</v>
      </c>
      <c r="X6210">
        <f t="shared" si="2896"/>
        <v>2009</v>
      </c>
    </row>
    <row r="6211" spans="1:24" ht="12" customHeight="1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  <c r="V6211">
        <f t="shared" si="2897"/>
        <v>23</v>
      </c>
      <c r="W6211">
        <f t="shared" ref="W6211:W6274" si="2923">MONTH(U6211)</f>
        <v>4</v>
      </c>
      <c r="X6211">
        <f t="shared" ref="X6211:X6274" si="2924">YEAR(U6211)</f>
        <v>2010</v>
      </c>
    </row>
    <row r="6212" spans="1:24" ht="12" customHeight="1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925">C6212+2</f>
        <v>41109</v>
      </c>
      <c r="V6212">
        <f t="shared" ref="V6212:V6275" si="2926">DAY(U6212)</f>
        <v>19</v>
      </c>
      <c r="W6212">
        <f t="shared" si="2923"/>
        <v>7</v>
      </c>
      <c r="X6212">
        <f t="shared" si="2924"/>
        <v>2012</v>
      </c>
    </row>
    <row r="6213" spans="1:24" ht="12" customHeight="1">
      <c r="A6213" s="4">
        <v>6454</v>
      </c>
      <c r="B6213" s="4">
        <v>45959</v>
      </c>
      <c r="C6213" s="5">
        <f t="shared" ref="C6213:C6214" si="2927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925"/>
        <v>40155</v>
      </c>
      <c r="V6213">
        <f t="shared" si="2926"/>
        <v>8</v>
      </c>
      <c r="W6213">
        <f t="shared" si="2923"/>
        <v>12</v>
      </c>
      <c r="X6213">
        <f t="shared" si="2924"/>
        <v>2009</v>
      </c>
    </row>
    <row r="6214" spans="1:24" ht="12" customHeight="1">
      <c r="A6214" s="4">
        <v>6455</v>
      </c>
      <c r="B6214" s="4">
        <v>45959</v>
      </c>
      <c r="C6214" s="5">
        <f t="shared" si="2927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925"/>
        <v>40155</v>
      </c>
      <c r="V6214">
        <f t="shared" si="2926"/>
        <v>8</v>
      </c>
      <c r="W6214">
        <f t="shared" si="2923"/>
        <v>12</v>
      </c>
      <c r="X6214">
        <f t="shared" si="2924"/>
        <v>2009</v>
      </c>
    </row>
    <row r="6215" spans="1:24" ht="12" customHeight="1">
      <c r="A6215" s="4">
        <v>6585</v>
      </c>
      <c r="B6215" s="4">
        <v>46884</v>
      </c>
      <c r="C6215" s="5">
        <f t="shared" ref="C6215:C6216" si="2928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925"/>
        <v>39832</v>
      </c>
      <c r="V6215">
        <f t="shared" si="2926"/>
        <v>19</v>
      </c>
      <c r="W6215">
        <f t="shared" si="2923"/>
        <v>1</v>
      </c>
      <c r="X6215">
        <f t="shared" si="2924"/>
        <v>2009</v>
      </c>
    </row>
    <row r="6216" spans="1:24" ht="12" customHeight="1">
      <c r="A6216" s="4">
        <v>6586</v>
      </c>
      <c r="B6216" s="4">
        <v>46884</v>
      </c>
      <c r="C6216" s="5">
        <f t="shared" si="2928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925"/>
        <v>39832</v>
      </c>
      <c r="V6216">
        <f t="shared" si="2926"/>
        <v>19</v>
      </c>
      <c r="W6216">
        <f t="shared" si="2923"/>
        <v>1</v>
      </c>
      <c r="X6216">
        <f t="shared" si="2924"/>
        <v>2009</v>
      </c>
    </row>
    <row r="6217" spans="1:24" ht="12" customHeight="1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929">C6217+0</f>
        <v>39851</v>
      </c>
      <c r="V6217">
        <f t="shared" si="2926"/>
        <v>7</v>
      </c>
      <c r="W6217">
        <f t="shared" si="2923"/>
        <v>2</v>
      </c>
      <c r="X6217">
        <f t="shared" si="2924"/>
        <v>2009</v>
      </c>
    </row>
    <row r="6218" spans="1:24" ht="12" customHeight="1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929"/>
        <v>40819</v>
      </c>
      <c r="V6218">
        <f t="shared" si="2926"/>
        <v>3</v>
      </c>
      <c r="W6218">
        <f t="shared" si="2923"/>
        <v>10</v>
      </c>
      <c r="X6218">
        <f t="shared" si="2924"/>
        <v>2011</v>
      </c>
    </row>
    <row r="6219" spans="1:24" ht="12" customHeight="1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  <c r="V6219">
        <f t="shared" si="2926"/>
        <v>18</v>
      </c>
      <c r="W6219">
        <f t="shared" si="2923"/>
        <v>12</v>
      </c>
      <c r="X6219">
        <f t="shared" si="2924"/>
        <v>2011</v>
      </c>
    </row>
    <row r="6220" spans="1:24" ht="12" customHeight="1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  <c r="V6220">
        <f t="shared" si="2926"/>
        <v>26</v>
      </c>
      <c r="W6220">
        <f t="shared" si="2923"/>
        <v>4</v>
      </c>
      <c r="X6220">
        <f t="shared" si="2924"/>
        <v>2009</v>
      </c>
    </row>
    <row r="6221" spans="1:24" ht="12" customHeight="1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  <c r="V6221">
        <f t="shared" si="2926"/>
        <v>10</v>
      </c>
      <c r="W6221">
        <f t="shared" si="2923"/>
        <v>7</v>
      </c>
      <c r="X6221">
        <f t="shared" si="2924"/>
        <v>2012</v>
      </c>
    </row>
    <row r="6222" spans="1:24" ht="12" customHeight="1">
      <c r="A6222" s="4">
        <v>6992</v>
      </c>
      <c r="B6222" s="4">
        <v>49953</v>
      </c>
      <c r="C6222" s="5">
        <f t="shared" ref="C6222:C6223" si="2930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  <c r="V6222">
        <f t="shared" si="2926"/>
        <v>18</v>
      </c>
      <c r="W6222">
        <f t="shared" si="2923"/>
        <v>3</v>
      </c>
      <c r="X6222">
        <f t="shared" si="2924"/>
        <v>2012</v>
      </c>
    </row>
    <row r="6223" spans="1:24" ht="12" customHeight="1">
      <c r="A6223" s="4">
        <v>6993</v>
      </c>
      <c r="B6223" s="4">
        <v>49953</v>
      </c>
      <c r="C6223" s="5">
        <f t="shared" si="2930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  <c r="V6223">
        <f t="shared" si="2926"/>
        <v>17</v>
      </c>
      <c r="W6223">
        <f t="shared" si="2923"/>
        <v>3</v>
      </c>
      <c r="X6223">
        <f t="shared" si="2924"/>
        <v>2012</v>
      </c>
    </row>
    <row r="6224" spans="1:24" ht="12" customHeight="1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931">C6224+2</f>
        <v>40833</v>
      </c>
      <c r="V6224">
        <f t="shared" si="2926"/>
        <v>17</v>
      </c>
      <c r="W6224">
        <f t="shared" si="2923"/>
        <v>10</v>
      </c>
      <c r="X6224">
        <f t="shared" si="2924"/>
        <v>2011</v>
      </c>
    </row>
    <row r="6225" spans="1:24" ht="12" customHeight="1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931"/>
        <v>40799</v>
      </c>
      <c r="V6225">
        <f t="shared" si="2926"/>
        <v>13</v>
      </c>
      <c r="W6225">
        <f t="shared" si="2923"/>
        <v>9</v>
      </c>
      <c r="X6225">
        <f t="shared" si="2924"/>
        <v>2011</v>
      </c>
    </row>
    <row r="6226" spans="1:24" ht="12" customHeight="1">
      <c r="A6226" s="4">
        <v>7288</v>
      </c>
      <c r="B6226" s="4">
        <v>51974</v>
      </c>
      <c r="C6226" s="5">
        <f t="shared" ref="C6226:C6227" si="2932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933">C6226+1</f>
        <v>40570</v>
      </c>
      <c r="V6226">
        <f t="shared" si="2926"/>
        <v>27</v>
      </c>
      <c r="W6226">
        <f t="shared" si="2923"/>
        <v>1</v>
      </c>
      <c r="X6226">
        <f t="shared" si="2924"/>
        <v>2011</v>
      </c>
    </row>
    <row r="6227" spans="1:24" ht="12" customHeight="1">
      <c r="A6227" s="4">
        <v>7289</v>
      </c>
      <c r="B6227" s="4">
        <v>51974</v>
      </c>
      <c r="C6227" s="5">
        <f t="shared" si="2932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933"/>
        <v>40570</v>
      </c>
      <c r="V6227">
        <f t="shared" si="2926"/>
        <v>27</v>
      </c>
      <c r="W6227">
        <f t="shared" si="2923"/>
        <v>1</v>
      </c>
      <c r="X6227">
        <f t="shared" si="2924"/>
        <v>2011</v>
      </c>
    </row>
    <row r="6228" spans="1:24" ht="12" customHeight="1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  <c r="V6228">
        <f t="shared" si="2926"/>
        <v>30</v>
      </c>
      <c r="W6228">
        <f t="shared" si="2923"/>
        <v>8</v>
      </c>
      <c r="X6228">
        <f t="shared" si="2924"/>
        <v>2012</v>
      </c>
    </row>
    <row r="6229" spans="1:24" ht="12" customHeight="1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  <c r="V6229">
        <f t="shared" si="2926"/>
        <v>24</v>
      </c>
      <c r="W6229">
        <f t="shared" si="2923"/>
        <v>9</v>
      </c>
      <c r="X6229">
        <f t="shared" si="2924"/>
        <v>2009</v>
      </c>
    </row>
    <row r="6230" spans="1:24" ht="12" customHeight="1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  <c r="V6230">
        <f t="shared" si="2926"/>
        <v>6</v>
      </c>
      <c r="W6230">
        <f t="shared" si="2923"/>
        <v>9</v>
      </c>
      <c r="X6230">
        <f t="shared" si="2924"/>
        <v>2011</v>
      </c>
    </row>
    <row r="6231" spans="1:24" ht="12" customHeight="1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  <c r="V6231">
        <f t="shared" si="2926"/>
        <v>22</v>
      </c>
      <c r="W6231">
        <f t="shared" si="2923"/>
        <v>1</v>
      </c>
      <c r="X6231">
        <f t="shared" si="2924"/>
        <v>2010</v>
      </c>
    </row>
    <row r="6232" spans="1:24" ht="12" customHeight="1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  <c r="V6232">
        <f t="shared" si="2926"/>
        <v>22</v>
      </c>
      <c r="W6232">
        <f t="shared" si="2923"/>
        <v>10</v>
      </c>
      <c r="X6232">
        <f t="shared" si="2924"/>
        <v>2012</v>
      </c>
    </row>
    <row r="6233" spans="1:24" ht="12" customHeight="1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934">C6233+2</f>
        <v>40442</v>
      </c>
      <c r="V6233">
        <f t="shared" si="2926"/>
        <v>21</v>
      </c>
      <c r="W6233">
        <f t="shared" si="2923"/>
        <v>9</v>
      </c>
      <c r="X6233">
        <f t="shared" si="2924"/>
        <v>2010</v>
      </c>
    </row>
    <row r="6234" spans="1:24" ht="12" customHeight="1">
      <c r="A6234" s="4">
        <v>7884</v>
      </c>
      <c r="B6234" s="4">
        <v>56387</v>
      </c>
      <c r="C6234" s="5">
        <f t="shared" ref="C6234:C6235" si="2935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934"/>
        <v>40685</v>
      </c>
      <c r="V6234">
        <f t="shared" si="2926"/>
        <v>22</v>
      </c>
      <c r="W6234">
        <f t="shared" si="2923"/>
        <v>5</v>
      </c>
      <c r="X6234">
        <f t="shared" si="2924"/>
        <v>2011</v>
      </c>
    </row>
    <row r="6235" spans="1:24" ht="12" customHeight="1">
      <c r="A6235" s="4">
        <v>7885</v>
      </c>
      <c r="B6235" s="4">
        <v>56387</v>
      </c>
      <c r="C6235" s="5">
        <f t="shared" si="2935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934"/>
        <v>40685</v>
      </c>
      <c r="V6235">
        <f t="shared" si="2926"/>
        <v>22</v>
      </c>
      <c r="W6235">
        <f t="shared" si="2923"/>
        <v>5</v>
      </c>
      <c r="X6235">
        <f t="shared" si="2924"/>
        <v>2011</v>
      </c>
    </row>
    <row r="6236" spans="1:24" ht="12" customHeight="1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  <c r="V6236">
        <f t="shared" si="2926"/>
        <v>25</v>
      </c>
      <c r="W6236">
        <f t="shared" si="2923"/>
        <v>6</v>
      </c>
      <c r="X6236">
        <f t="shared" si="2924"/>
        <v>2011</v>
      </c>
    </row>
    <row r="6237" spans="1:24" ht="12" customHeight="1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936">C6237+1</f>
        <v>41066</v>
      </c>
      <c r="V6237">
        <f t="shared" si="2926"/>
        <v>6</v>
      </c>
      <c r="W6237">
        <f t="shared" si="2923"/>
        <v>6</v>
      </c>
      <c r="X6237">
        <f t="shared" si="2924"/>
        <v>2012</v>
      </c>
    </row>
    <row r="6238" spans="1:24" ht="12" customHeight="1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936"/>
        <v>40754</v>
      </c>
      <c r="V6238">
        <f t="shared" si="2926"/>
        <v>30</v>
      </c>
      <c r="W6238">
        <f t="shared" si="2923"/>
        <v>7</v>
      </c>
      <c r="X6238">
        <f t="shared" si="2924"/>
        <v>2011</v>
      </c>
    </row>
    <row r="6239" spans="1:24" ht="12" customHeight="1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  <c r="V6239">
        <f t="shared" si="2926"/>
        <v>26</v>
      </c>
      <c r="W6239">
        <f t="shared" si="2923"/>
        <v>3</v>
      </c>
      <c r="X6239">
        <f t="shared" si="2924"/>
        <v>2011</v>
      </c>
    </row>
    <row r="6240" spans="1:24" ht="12" customHeight="1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937">C6240+1</f>
        <v>40845</v>
      </c>
      <c r="V6240">
        <f t="shared" si="2926"/>
        <v>29</v>
      </c>
      <c r="W6240">
        <f t="shared" si="2923"/>
        <v>10</v>
      </c>
      <c r="X6240">
        <f t="shared" si="2924"/>
        <v>2011</v>
      </c>
    </row>
    <row r="6241" spans="1:24" ht="12" customHeight="1">
      <c r="A6241" s="4">
        <v>8118</v>
      </c>
      <c r="B6241" s="4">
        <v>57984</v>
      </c>
      <c r="C6241" s="5">
        <f t="shared" ref="C6241:C6242" si="2938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937"/>
        <v>40454</v>
      </c>
      <c r="V6241">
        <f t="shared" si="2926"/>
        <v>3</v>
      </c>
      <c r="W6241">
        <f t="shared" si="2923"/>
        <v>10</v>
      </c>
      <c r="X6241">
        <f t="shared" si="2924"/>
        <v>2010</v>
      </c>
    </row>
    <row r="6242" spans="1:24" ht="12" customHeight="1">
      <c r="A6242" s="4">
        <v>8119</v>
      </c>
      <c r="B6242" s="4">
        <v>57984</v>
      </c>
      <c r="C6242" s="5">
        <f t="shared" si="2938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  <c r="V6242">
        <f t="shared" si="2926"/>
        <v>4</v>
      </c>
      <c r="W6242">
        <f t="shared" si="2923"/>
        <v>10</v>
      </c>
      <c r="X6242">
        <f t="shared" si="2924"/>
        <v>2010</v>
      </c>
    </row>
    <row r="6243" spans="1:24" ht="12" customHeight="1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939">C6243+1</f>
        <v>39952</v>
      </c>
      <c r="V6243">
        <f t="shared" si="2926"/>
        <v>19</v>
      </c>
      <c r="W6243">
        <f t="shared" si="2923"/>
        <v>5</v>
      </c>
      <c r="X6243">
        <f t="shared" si="2924"/>
        <v>2009</v>
      </c>
    </row>
    <row r="6244" spans="1:24" ht="12" customHeight="1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939"/>
        <v>40076</v>
      </c>
      <c r="V6244">
        <f t="shared" si="2926"/>
        <v>20</v>
      </c>
      <c r="W6244">
        <f t="shared" si="2923"/>
        <v>9</v>
      </c>
      <c r="X6244">
        <f t="shared" si="2924"/>
        <v>2009</v>
      </c>
    </row>
    <row r="6245" spans="1:24" ht="12" customHeight="1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  <c r="V6245">
        <f t="shared" si="2926"/>
        <v>16</v>
      </c>
      <c r="W6245">
        <f t="shared" si="2923"/>
        <v>11</v>
      </c>
      <c r="X6245">
        <f t="shared" si="2924"/>
        <v>2009</v>
      </c>
    </row>
    <row r="6246" spans="1:24" ht="12" customHeight="1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940">C6246+1</f>
        <v>40896</v>
      </c>
      <c r="V6246">
        <f t="shared" si="2926"/>
        <v>19</v>
      </c>
      <c r="W6246">
        <f t="shared" si="2923"/>
        <v>12</v>
      </c>
      <c r="X6246">
        <f t="shared" si="2924"/>
        <v>2011</v>
      </c>
    </row>
    <row r="6247" spans="1:24" ht="12" customHeight="1">
      <c r="A6247" s="4">
        <v>147</v>
      </c>
      <c r="B6247" s="4">
        <v>930</v>
      </c>
      <c r="C6247" s="5">
        <f t="shared" ref="C6247:C6248" si="2941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940"/>
        <v>40164</v>
      </c>
      <c r="V6247">
        <f t="shared" si="2926"/>
        <v>17</v>
      </c>
      <c r="W6247">
        <f t="shared" si="2923"/>
        <v>12</v>
      </c>
      <c r="X6247">
        <f t="shared" si="2924"/>
        <v>2009</v>
      </c>
    </row>
    <row r="6248" spans="1:24" ht="12" customHeight="1">
      <c r="A6248" s="4">
        <v>148</v>
      </c>
      <c r="B6248" s="4">
        <v>930</v>
      </c>
      <c r="C6248" s="5">
        <f t="shared" si="2941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  <c r="V6248">
        <f t="shared" si="2926"/>
        <v>16</v>
      </c>
      <c r="W6248">
        <f t="shared" si="2923"/>
        <v>12</v>
      </c>
      <c r="X6248">
        <f t="shared" si="2924"/>
        <v>2009</v>
      </c>
    </row>
    <row r="6249" spans="1:24" ht="12" customHeight="1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  <c r="V6249">
        <f t="shared" si="2926"/>
        <v>26</v>
      </c>
      <c r="W6249">
        <f t="shared" si="2923"/>
        <v>4</v>
      </c>
      <c r="X6249">
        <f t="shared" si="2924"/>
        <v>2010</v>
      </c>
    </row>
    <row r="6250" spans="1:24" ht="12" customHeight="1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  <c r="V6250">
        <f t="shared" si="2926"/>
        <v>27</v>
      </c>
      <c r="W6250">
        <f t="shared" si="2923"/>
        <v>5</v>
      </c>
      <c r="X6250">
        <f t="shared" si="2924"/>
        <v>2012</v>
      </c>
    </row>
    <row r="6251" spans="1:24" ht="12" customHeight="1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  <c r="V6251">
        <f t="shared" si="2926"/>
        <v>28</v>
      </c>
      <c r="W6251">
        <f t="shared" si="2923"/>
        <v>8</v>
      </c>
      <c r="X6251">
        <f t="shared" si="2924"/>
        <v>2012</v>
      </c>
    </row>
    <row r="6252" spans="1:24" ht="12" customHeight="1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  <c r="V6252">
        <f t="shared" si="2926"/>
        <v>20</v>
      </c>
      <c r="W6252">
        <f t="shared" si="2923"/>
        <v>11</v>
      </c>
      <c r="X6252">
        <f t="shared" si="2924"/>
        <v>2012</v>
      </c>
    </row>
    <row r="6253" spans="1:24" ht="12" customHeight="1">
      <c r="A6253" s="4">
        <v>292</v>
      </c>
      <c r="B6253" s="4">
        <v>2048</v>
      </c>
      <c r="C6253" s="5">
        <f t="shared" ref="C6253:C6254" si="2942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943">C6253+1</f>
        <v>40497</v>
      </c>
      <c r="V6253">
        <f t="shared" si="2926"/>
        <v>15</v>
      </c>
      <c r="W6253">
        <f t="shared" si="2923"/>
        <v>11</v>
      </c>
      <c r="X6253">
        <f t="shared" si="2924"/>
        <v>2010</v>
      </c>
    </row>
    <row r="6254" spans="1:24" ht="12" customHeight="1">
      <c r="A6254" s="4">
        <v>293</v>
      </c>
      <c r="B6254" s="4">
        <v>2048</v>
      </c>
      <c r="C6254" s="5">
        <f t="shared" si="2942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943"/>
        <v>40497</v>
      </c>
      <c r="V6254">
        <f t="shared" si="2926"/>
        <v>15</v>
      </c>
      <c r="W6254">
        <f t="shared" si="2923"/>
        <v>11</v>
      </c>
      <c r="X6254">
        <f t="shared" si="2924"/>
        <v>2010</v>
      </c>
    </row>
    <row r="6255" spans="1:24" ht="12" customHeight="1">
      <c r="A6255" s="4">
        <v>294</v>
      </c>
      <c r="B6255" s="4">
        <v>2050</v>
      </c>
      <c r="C6255" s="5">
        <f t="shared" ref="C6255:C6256" si="2944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945">C6255+2</f>
        <v>39967</v>
      </c>
      <c r="V6255">
        <f t="shared" si="2926"/>
        <v>3</v>
      </c>
      <c r="W6255">
        <f t="shared" si="2923"/>
        <v>6</v>
      </c>
      <c r="X6255">
        <f t="shared" si="2924"/>
        <v>2009</v>
      </c>
    </row>
    <row r="6256" spans="1:24" ht="12" customHeight="1">
      <c r="A6256" s="4">
        <v>295</v>
      </c>
      <c r="B6256" s="4">
        <v>2050</v>
      </c>
      <c r="C6256" s="5">
        <f t="shared" si="2944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945"/>
        <v>39967</v>
      </c>
      <c r="V6256">
        <f t="shared" si="2926"/>
        <v>3</v>
      </c>
      <c r="W6256">
        <f t="shared" si="2923"/>
        <v>6</v>
      </c>
      <c r="X6256">
        <f t="shared" si="2924"/>
        <v>2009</v>
      </c>
    </row>
    <row r="6257" spans="1:24" ht="12" customHeight="1">
      <c r="A6257" s="4">
        <v>299</v>
      </c>
      <c r="B6257" s="4">
        <v>2054</v>
      </c>
      <c r="C6257" s="5">
        <f t="shared" ref="C6257:C6258" si="2946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  <c r="V6257">
        <f t="shared" si="2926"/>
        <v>10</v>
      </c>
      <c r="W6257">
        <f t="shared" si="2923"/>
        <v>6</v>
      </c>
      <c r="X6257">
        <f t="shared" si="2924"/>
        <v>2012</v>
      </c>
    </row>
    <row r="6258" spans="1:24" ht="12" customHeight="1">
      <c r="A6258" s="4">
        <v>300</v>
      </c>
      <c r="B6258" s="4">
        <v>2054</v>
      </c>
      <c r="C6258" s="5">
        <f t="shared" si="2946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  <c r="V6258">
        <f t="shared" si="2926"/>
        <v>9</v>
      </c>
      <c r="W6258">
        <f t="shared" si="2923"/>
        <v>6</v>
      </c>
      <c r="X6258">
        <f t="shared" si="2924"/>
        <v>2012</v>
      </c>
    </row>
    <row r="6259" spans="1:24" ht="12" customHeight="1">
      <c r="A6259" s="4">
        <v>432</v>
      </c>
      <c r="B6259" s="4">
        <v>2885</v>
      </c>
      <c r="C6259" s="5">
        <f t="shared" ref="C6259:C6260" si="2947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  <c r="V6259">
        <f t="shared" si="2926"/>
        <v>18</v>
      </c>
      <c r="W6259">
        <f t="shared" si="2923"/>
        <v>9</v>
      </c>
      <c r="X6259">
        <f t="shared" si="2924"/>
        <v>2012</v>
      </c>
    </row>
    <row r="6260" spans="1:24" ht="12" customHeight="1">
      <c r="A6260" s="4">
        <v>433</v>
      </c>
      <c r="B6260" s="4">
        <v>2885</v>
      </c>
      <c r="C6260" s="5">
        <f t="shared" si="2947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948">C6260+2</f>
        <v>41172</v>
      </c>
      <c r="V6260">
        <f t="shared" si="2926"/>
        <v>20</v>
      </c>
      <c r="W6260">
        <f t="shared" si="2923"/>
        <v>9</v>
      </c>
      <c r="X6260">
        <f t="shared" si="2924"/>
        <v>2012</v>
      </c>
    </row>
    <row r="6261" spans="1:24" ht="12" customHeight="1">
      <c r="A6261" s="4">
        <v>497</v>
      </c>
      <c r="B6261" s="4">
        <v>3458</v>
      </c>
      <c r="C6261" s="5">
        <f t="shared" ref="C6261:C6262" si="2949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948"/>
        <v>40170</v>
      </c>
      <c r="V6261">
        <f t="shared" si="2926"/>
        <v>23</v>
      </c>
      <c r="W6261">
        <f t="shared" si="2923"/>
        <v>12</v>
      </c>
      <c r="X6261">
        <f t="shared" si="2924"/>
        <v>2009</v>
      </c>
    </row>
    <row r="6262" spans="1:24" ht="12" customHeight="1">
      <c r="A6262" s="4">
        <v>498</v>
      </c>
      <c r="B6262" s="4">
        <v>3458</v>
      </c>
      <c r="C6262" s="5">
        <f t="shared" si="2949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  <c r="V6262">
        <f t="shared" si="2926"/>
        <v>24</v>
      </c>
      <c r="W6262">
        <f t="shared" si="2923"/>
        <v>12</v>
      </c>
      <c r="X6262">
        <f t="shared" si="2924"/>
        <v>2009</v>
      </c>
    </row>
    <row r="6263" spans="1:24" ht="12" customHeight="1">
      <c r="A6263" s="4">
        <v>511</v>
      </c>
      <c r="B6263" s="4">
        <v>3522</v>
      </c>
      <c r="C6263" s="5">
        <f t="shared" ref="C6263:C6264" si="2950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  <c r="V6263">
        <f t="shared" si="2926"/>
        <v>2</v>
      </c>
      <c r="W6263">
        <f t="shared" si="2923"/>
        <v>10</v>
      </c>
      <c r="X6263">
        <f t="shared" si="2924"/>
        <v>2009</v>
      </c>
    </row>
    <row r="6264" spans="1:24" ht="12" customHeight="1">
      <c r="A6264" s="4">
        <v>512</v>
      </c>
      <c r="B6264" s="4">
        <v>3522</v>
      </c>
      <c r="C6264" s="5">
        <f t="shared" si="2950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951">C6264+2</f>
        <v>40083</v>
      </c>
      <c r="V6264">
        <f t="shared" si="2926"/>
        <v>27</v>
      </c>
      <c r="W6264">
        <f t="shared" si="2923"/>
        <v>9</v>
      </c>
      <c r="X6264">
        <f t="shared" si="2924"/>
        <v>2009</v>
      </c>
    </row>
    <row r="6265" spans="1:24" ht="12" customHeight="1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951"/>
        <v>39900</v>
      </c>
      <c r="V6265">
        <f t="shared" si="2926"/>
        <v>28</v>
      </c>
      <c r="W6265">
        <f t="shared" si="2923"/>
        <v>3</v>
      </c>
      <c r="X6265">
        <f t="shared" si="2924"/>
        <v>2009</v>
      </c>
    </row>
    <row r="6266" spans="1:24" ht="12" customHeight="1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  <c r="V6266">
        <f t="shared" si="2926"/>
        <v>23</v>
      </c>
      <c r="W6266">
        <f t="shared" si="2923"/>
        <v>4</v>
      </c>
      <c r="X6266">
        <f t="shared" si="2924"/>
        <v>2009</v>
      </c>
    </row>
    <row r="6267" spans="1:24" ht="12" customHeight="1">
      <c r="A6267" s="4">
        <v>581</v>
      </c>
      <c r="B6267" s="4">
        <v>3970</v>
      </c>
      <c r="C6267" s="5">
        <f t="shared" ref="C6267:C6268" si="2952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  <c r="V6267">
        <f t="shared" si="2926"/>
        <v>28</v>
      </c>
      <c r="W6267">
        <f t="shared" si="2923"/>
        <v>3</v>
      </c>
      <c r="X6267">
        <f t="shared" si="2924"/>
        <v>2012</v>
      </c>
    </row>
    <row r="6268" spans="1:24" ht="12" customHeight="1">
      <c r="A6268" s="4">
        <v>582</v>
      </c>
      <c r="B6268" s="4">
        <v>3970</v>
      </c>
      <c r="C6268" s="5">
        <f t="shared" si="2952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  <c r="V6268">
        <f t="shared" si="2926"/>
        <v>27</v>
      </c>
      <c r="W6268">
        <f t="shared" si="2923"/>
        <v>3</v>
      </c>
      <c r="X6268">
        <f t="shared" si="2924"/>
        <v>2012</v>
      </c>
    </row>
    <row r="6269" spans="1:24" ht="12" customHeight="1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  <c r="V6269">
        <f t="shared" si="2926"/>
        <v>24</v>
      </c>
      <c r="W6269">
        <f t="shared" si="2923"/>
        <v>2</v>
      </c>
      <c r="X6269">
        <f t="shared" si="2924"/>
        <v>2010</v>
      </c>
    </row>
    <row r="6270" spans="1:24" ht="12" customHeight="1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  <c r="V6270">
        <f t="shared" si="2926"/>
        <v>26</v>
      </c>
      <c r="W6270">
        <f t="shared" si="2923"/>
        <v>10</v>
      </c>
      <c r="X6270">
        <f t="shared" si="2924"/>
        <v>2012</v>
      </c>
    </row>
    <row r="6271" spans="1:24" ht="12" customHeight="1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  <c r="V6271">
        <f t="shared" si="2926"/>
        <v>12</v>
      </c>
      <c r="W6271">
        <f t="shared" si="2923"/>
        <v>3</v>
      </c>
      <c r="X6271">
        <f t="shared" si="2924"/>
        <v>2009</v>
      </c>
    </row>
    <row r="6272" spans="1:24" ht="12" customHeight="1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  <c r="V6272">
        <f t="shared" si="2926"/>
        <v>31</v>
      </c>
      <c r="W6272">
        <f t="shared" si="2923"/>
        <v>1</v>
      </c>
      <c r="X6272">
        <f t="shared" si="2924"/>
        <v>2010</v>
      </c>
    </row>
    <row r="6273" spans="1:24" ht="12" customHeight="1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  <c r="V6273">
        <f t="shared" si="2926"/>
        <v>28</v>
      </c>
      <c r="W6273">
        <f t="shared" si="2923"/>
        <v>8</v>
      </c>
      <c r="X6273">
        <f t="shared" si="2924"/>
        <v>2012</v>
      </c>
    </row>
    <row r="6274" spans="1:24" ht="12" customHeight="1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953">C6274+1</f>
        <v>40071</v>
      </c>
      <c r="V6274">
        <f t="shared" si="2926"/>
        <v>15</v>
      </c>
      <c r="W6274">
        <f t="shared" si="2923"/>
        <v>9</v>
      </c>
      <c r="X6274">
        <f t="shared" si="2924"/>
        <v>2009</v>
      </c>
    </row>
    <row r="6275" spans="1:24" ht="12" customHeight="1">
      <c r="A6275" s="4">
        <v>1031</v>
      </c>
      <c r="B6275" s="4">
        <v>7527</v>
      </c>
      <c r="C6275" s="5">
        <f t="shared" ref="C6275:C6276" si="2954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953"/>
        <v>40159</v>
      </c>
      <c r="V6275">
        <f t="shared" si="2926"/>
        <v>12</v>
      </c>
      <c r="W6275">
        <f t="shared" ref="W6275:W6338" si="2955">MONTH(U6275)</f>
        <v>12</v>
      </c>
      <c r="X6275">
        <f t="shared" ref="X6275:X6338" si="2956">YEAR(U6275)</f>
        <v>2009</v>
      </c>
    </row>
    <row r="6276" spans="1:24" ht="12" customHeight="1">
      <c r="A6276" s="4">
        <v>1032</v>
      </c>
      <c r="B6276" s="4">
        <v>7527</v>
      </c>
      <c r="C6276" s="5">
        <f t="shared" si="2954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953"/>
        <v>40159</v>
      </c>
      <c r="V6276">
        <f t="shared" ref="V6276:V6339" si="2957">DAY(U6276)</f>
        <v>12</v>
      </c>
      <c r="W6276">
        <f t="shared" si="2955"/>
        <v>12</v>
      </c>
      <c r="X6276">
        <f t="shared" si="2956"/>
        <v>2009</v>
      </c>
    </row>
    <row r="6277" spans="1:24" ht="12" customHeight="1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  <c r="V6277">
        <f t="shared" si="2957"/>
        <v>3</v>
      </c>
      <c r="W6277">
        <f t="shared" si="2955"/>
        <v>4</v>
      </c>
      <c r="X6277">
        <f t="shared" si="2956"/>
        <v>2012</v>
      </c>
    </row>
    <row r="6278" spans="1:24" ht="12" customHeight="1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958">C6278+1</f>
        <v>40789</v>
      </c>
      <c r="V6278">
        <f t="shared" si="2957"/>
        <v>3</v>
      </c>
      <c r="W6278">
        <f t="shared" si="2955"/>
        <v>9</v>
      </c>
      <c r="X6278">
        <f t="shared" si="2956"/>
        <v>2011</v>
      </c>
    </row>
    <row r="6279" spans="1:24" ht="12" customHeight="1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958"/>
        <v>39926</v>
      </c>
      <c r="V6279">
        <f t="shared" si="2957"/>
        <v>23</v>
      </c>
      <c r="W6279">
        <f t="shared" si="2955"/>
        <v>4</v>
      </c>
      <c r="X6279">
        <f t="shared" si="2956"/>
        <v>2009</v>
      </c>
    </row>
    <row r="6280" spans="1:24" ht="12" customHeight="1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959">C6280+2</f>
        <v>41032</v>
      </c>
      <c r="V6280">
        <f t="shared" si="2957"/>
        <v>3</v>
      </c>
      <c r="W6280">
        <f t="shared" si="2955"/>
        <v>5</v>
      </c>
      <c r="X6280">
        <f t="shared" si="2956"/>
        <v>2012</v>
      </c>
    </row>
    <row r="6281" spans="1:24" ht="12" customHeight="1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959"/>
        <v>40215</v>
      </c>
      <c r="V6281">
        <f t="shared" si="2957"/>
        <v>6</v>
      </c>
      <c r="W6281">
        <f t="shared" si="2955"/>
        <v>2</v>
      </c>
      <c r="X6281">
        <f t="shared" si="2956"/>
        <v>2010</v>
      </c>
    </row>
    <row r="6282" spans="1:24" ht="12" customHeight="1">
      <c r="A6282" s="4">
        <v>1475</v>
      </c>
      <c r="B6282" s="4">
        <v>10657</v>
      </c>
      <c r="C6282" s="5">
        <f t="shared" ref="C6282:C6283" si="2960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959"/>
        <v>40448</v>
      </c>
      <c r="V6282">
        <f t="shared" si="2957"/>
        <v>27</v>
      </c>
      <c r="W6282">
        <f t="shared" si="2955"/>
        <v>9</v>
      </c>
      <c r="X6282">
        <f t="shared" si="2956"/>
        <v>2010</v>
      </c>
    </row>
    <row r="6283" spans="1:24" ht="12" customHeight="1">
      <c r="A6283" s="4">
        <v>1476</v>
      </c>
      <c r="B6283" s="4">
        <v>10657</v>
      </c>
      <c r="C6283" s="5">
        <f t="shared" si="2960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  <c r="V6283">
        <f t="shared" si="2957"/>
        <v>26</v>
      </c>
      <c r="W6283">
        <f t="shared" si="2955"/>
        <v>9</v>
      </c>
      <c r="X6283">
        <f t="shared" si="2956"/>
        <v>2010</v>
      </c>
    </row>
    <row r="6284" spans="1:24" ht="12" customHeight="1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  <c r="V6284">
        <f t="shared" si="2957"/>
        <v>25</v>
      </c>
      <c r="W6284">
        <f t="shared" si="2955"/>
        <v>1</v>
      </c>
      <c r="X6284">
        <f t="shared" si="2956"/>
        <v>2009</v>
      </c>
    </row>
    <row r="6285" spans="1:24" ht="12" customHeight="1">
      <c r="A6285" s="4">
        <v>1582</v>
      </c>
      <c r="B6285" s="4">
        <v>11427</v>
      </c>
      <c r="C6285" s="5">
        <f t="shared" ref="C6285:C6286" si="2961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  <c r="V6285">
        <f t="shared" si="2957"/>
        <v>25</v>
      </c>
      <c r="W6285">
        <f t="shared" si="2955"/>
        <v>11</v>
      </c>
      <c r="X6285">
        <f t="shared" si="2956"/>
        <v>2010</v>
      </c>
    </row>
    <row r="6286" spans="1:24" ht="12" customHeight="1">
      <c r="A6286" s="4">
        <v>1583</v>
      </c>
      <c r="B6286" s="4">
        <v>11427</v>
      </c>
      <c r="C6286" s="5">
        <f t="shared" si="2961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  <c r="V6286">
        <f t="shared" si="2957"/>
        <v>26</v>
      </c>
      <c r="W6286">
        <f t="shared" si="2955"/>
        <v>11</v>
      </c>
      <c r="X6286">
        <f t="shared" si="2956"/>
        <v>2010</v>
      </c>
    </row>
    <row r="6287" spans="1:24" ht="12" customHeight="1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  <c r="V6287">
        <f t="shared" si="2957"/>
        <v>5</v>
      </c>
      <c r="W6287">
        <f t="shared" si="2955"/>
        <v>7</v>
      </c>
      <c r="X6287">
        <f t="shared" si="2956"/>
        <v>2011</v>
      </c>
    </row>
    <row r="6288" spans="1:24" ht="12" customHeight="1">
      <c r="A6288" s="4">
        <v>1701</v>
      </c>
      <c r="B6288" s="4">
        <v>12259</v>
      </c>
      <c r="C6288" s="5">
        <f t="shared" ref="C6288:C6289" si="2962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  <c r="V6288">
        <f t="shared" si="2957"/>
        <v>16</v>
      </c>
      <c r="W6288">
        <f t="shared" si="2955"/>
        <v>2</v>
      </c>
      <c r="X6288">
        <f t="shared" si="2956"/>
        <v>2010</v>
      </c>
    </row>
    <row r="6289" spans="1:24" ht="12" customHeight="1">
      <c r="A6289" s="4">
        <v>1702</v>
      </c>
      <c r="B6289" s="4">
        <v>12259</v>
      </c>
      <c r="C6289" s="5">
        <f t="shared" si="2962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963">C6289+1</f>
        <v>40224</v>
      </c>
      <c r="V6289">
        <f t="shared" si="2957"/>
        <v>15</v>
      </c>
      <c r="W6289">
        <f t="shared" si="2955"/>
        <v>2</v>
      </c>
      <c r="X6289">
        <f t="shared" si="2956"/>
        <v>2010</v>
      </c>
    </row>
    <row r="6290" spans="1:24" ht="12" customHeight="1">
      <c r="A6290" s="4">
        <v>1801</v>
      </c>
      <c r="B6290" s="4">
        <v>12900</v>
      </c>
      <c r="C6290" s="5">
        <f t="shared" ref="C6290:C6291" si="2964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963"/>
        <v>40302</v>
      </c>
      <c r="V6290">
        <f t="shared" si="2957"/>
        <v>4</v>
      </c>
      <c r="W6290">
        <f t="shared" si="2955"/>
        <v>5</v>
      </c>
      <c r="X6290">
        <f t="shared" si="2956"/>
        <v>2010</v>
      </c>
    </row>
    <row r="6291" spans="1:24" ht="12" customHeight="1">
      <c r="A6291" s="4">
        <v>1802</v>
      </c>
      <c r="B6291" s="4">
        <v>12900</v>
      </c>
      <c r="C6291" s="5">
        <f t="shared" si="2964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  <c r="V6291">
        <f t="shared" si="2957"/>
        <v>5</v>
      </c>
      <c r="W6291">
        <f t="shared" si="2955"/>
        <v>5</v>
      </c>
      <c r="X6291">
        <f t="shared" si="2956"/>
        <v>2010</v>
      </c>
    </row>
    <row r="6292" spans="1:24" ht="12" customHeight="1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  <c r="V6292">
        <f t="shared" si="2957"/>
        <v>4</v>
      </c>
      <c r="W6292">
        <f t="shared" si="2955"/>
        <v>4</v>
      </c>
      <c r="X6292">
        <f t="shared" si="2956"/>
        <v>2010</v>
      </c>
    </row>
    <row r="6293" spans="1:24" ht="12" customHeight="1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965">C6293+2</f>
        <v>39884</v>
      </c>
      <c r="V6293">
        <f t="shared" si="2957"/>
        <v>12</v>
      </c>
      <c r="W6293">
        <f t="shared" si="2955"/>
        <v>3</v>
      </c>
      <c r="X6293">
        <f t="shared" si="2956"/>
        <v>2009</v>
      </c>
    </row>
    <row r="6294" spans="1:24" ht="12" customHeight="1">
      <c r="A6294" s="4">
        <v>1941</v>
      </c>
      <c r="B6294" s="4">
        <v>13920</v>
      </c>
      <c r="C6294" s="5">
        <f t="shared" ref="C6294:C6295" si="2966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965"/>
        <v>40097</v>
      </c>
      <c r="V6294">
        <f t="shared" si="2957"/>
        <v>11</v>
      </c>
      <c r="W6294">
        <f t="shared" si="2955"/>
        <v>10</v>
      </c>
      <c r="X6294">
        <f t="shared" si="2956"/>
        <v>2009</v>
      </c>
    </row>
    <row r="6295" spans="1:24" ht="12" customHeight="1">
      <c r="A6295" s="4">
        <v>1942</v>
      </c>
      <c r="B6295" s="4">
        <v>13920</v>
      </c>
      <c r="C6295" s="5">
        <f t="shared" si="2966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  <c r="V6295">
        <f t="shared" si="2957"/>
        <v>10</v>
      </c>
      <c r="W6295">
        <f t="shared" si="2955"/>
        <v>10</v>
      </c>
      <c r="X6295">
        <f t="shared" si="2956"/>
        <v>2009</v>
      </c>
    </row>
    <row r="6296" spans="1:24" ht="12" customHeight="1">
      <c r="A6296" s="4">
        <v>2173</v>
      </c>
      <c r="B6296" s="4">
        <v>15651</v>
      </c>
      <c r="C6296" s="5">
        <f t="shared" ref="C6296:C6298" si="2967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  <c r="V6296">
        <f t="shared" si="2957"/>
        <v>7</v>
      </c>
      <c r="W6296">
        <f t="shared" si="2955"/>
        <v>10</v>
      </c>
      <c r="X6296">
        <f t="shared" si="2956"/>
        <v>2012</v>
      </c>
    </row>
    <row r="6297" spans="1:24" ht="12" customHeight="1">
      <c r="A6297" s="4">
        <v>2174</v>
      </c>
      <c r="B6297" s="4">
        <v>15651</v>
      </c>
      <c r="C6297" s="5">
        <f t="shared" si="2967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968">C6297+2</f>
        <v>41188</v>
      </c>
      <c r="V6297">
        <f t="shared" si="2957"/>
        <v>6</v>
      </c>
      <c r="W6297">
        <f t="shared" si="2955"/>
        <v>10</v>
      </c>
      <c r="X6297">
        <f t="shared" si="2956"/>
        <v>2012</v>
      </c>
    </row>
    <row r="6298" spans="1:24" ht="12" customHeight="1">
      <c r="A6298" s="4">
        <v>2175</v>
      </c>
      <c r="B6298" s="4">
        <v>15651</v>
      </c>
      <c r="C6298" s="5">
        <f t="shared" si="2967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968"/>
        <v>41188</v>
      </c>
      <c r="V6298">
        <f t="shared" si="2957"/>
        <v>6</v>
      </c>
      <c r="W6298">
        <f t="shared" si="2955"/>
        <v>10</v>
      </c>
      <c r="X6298">
        <f t="shared" si="2956"/>
        <v>2012</v>
      </c>
    </row>
    <row r="6299" spans="1:24" ht="12" customHeight="1">
      <c r="A6299" s="4">
        <v>2251</v>
      </c>
      <c r="B6299" s="4">
        <v>16197</v>
      </c>
      <c r="C6299" s="5">
        <f t="shared" ref="C6299:C6300" si="2969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  <c r="V6299">
        <f t="shared" si="2957"/>
        <v>26</v>
      </c>
      <c r="W6299">
        <f t="shared" si="2955"/>
        <v>10</v>
      </c>
      <c r="X6299">
        <f t="shared" si="2956"/>
        <v>2012</v>
      </c>
    </row>
    <row r="6300" spans="1:24" ht="12" customHeight="1">
      <c r="A6300" s="4">
        <v>2252</v>
      </c>
      <c r="B6300" s="4">
        <v>16197</v>
      </c>
      <c r="C6300" s="5">
        <f t="shared" si="2969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970">C6300+1</f>
        <v>41209</v>
      </c>
      <c r="V6300">
        <f t="shared" si="2957"/>
        <v>27</v>
      </c>
      <c r="W6300">
        <f t="shared" si="2955"/>
        <v>10</v>
      </c>
      <c r="X6300">
        <f t="shared" si="2956"/>
        <v>2012</v>
      </c>
    </row>
    <row r="6301" spans="1:24" ht="12" customHeight="1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970"/>
        <v>39820</v>
      </c>
      <c r="V6301">
        <f t="shared" si="2957"/>
        <v>7</v>
      </c>
      <c r="W6301">
        <f t="shared" si="2955"/>
        <v>1</v>
      </c>
      <c r="X6301">
        <f t="shared" si="2956"/>
        <v>2009</v>
      </c>
    </row>
    <row r="6302" spans="1:24" ht="12" customHeight="1">
      <c r="A6302" s="4">
        <v>2329</v>
      </c>
      <c r="B6302" s="4">
        <v>16802</v>
      </c>
      <c r="C6302" s="5">
        <f t="shared" ref="C6302:C6303" si="2971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970"/>
        <v>40654</v>
      </c>
      <c r="V6302">
        <f t="shared" si="2957"/>
        <v>21</v>
      </c>
      <c r="W6302">
        <f t="shared" si="2955"/>
        <v>4</v>
      </c>
      <c r="X6302">
        <f t="shared" si="2956"/>
        <v>2011</v>
      </c>
    </row>
    <row r="6303" spans="1:24" ht="12" customHeight="1">
      <c r="A6303" s="4">
        <v>2330</v>
      </c>
      <c r="B6303" s="4">
        <v>16802</v>
      </c>
      <c r="C6303" s="5">
        <f t="shared" si="2971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  <c r="V6303">
        <f t="shared" si="2957"/>
        <v>22</v>
      </c>
      <c r="W6303">
        <f t="shared" si="2955"/>
        <v>4</v>
      </c>
      <c r="X6303">
        <f t="shared" si="2956"/>
        <v>2011</v>
      </c>
    </row>
    <row r="6304" spans="1:24" ht="12" customHeight="1">
      <c r="A6304" s="4">
        <v>2350</v>
      </c>
      <c r="B6304" s="4">
        <v>16961</v>
      </c>
      <c r="C6304" s="5">
        <f t="shared" ref="C6304:C6305" si="2972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  <c r="V6304">
        <f t="shared" si="2957"/>
        <v>7</v>
      </c>
      <c r="W6304">
        <f t="shared" si="2955"/>
        <v>1</v>
      </c>
      <c r="X6304">
        <f t="shared" si="2956"/>
        <v>2009</v>
      </c>
    </row>
    <row r="6305" spans="1:24" ht="12" customHeight="1">
      <c r="A6305" s="4">
        <v>2351</v>
      </c>
      <c r="B6305" s="4">
        <v>16961</v>
      </c>
      <c r="C6305" s="5">
        <f t="shared" si="2972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  <c r="V6305">
        <f t="shared" si="2957"/>
        <v>8</v>
      </c>
      <c r="W6305">
        <f t="shared" si="2955"/>
        <v>1</v>
      </c>
      <c r="X6305">
        <f t="shared" si="2956"/>
        <v>2009</v>
      </c>
    </row>
    <row r="6306" spans="1:24" ht="12" customHeight="1">
      <c r="A6306" s="4">
        <v>2418</v>
      </c>
      <c r="B6306" s="4">
        <v>17543</v>
      </c>
      <c r="C6306" s="5">
        <f t="shared" ref="C6306:C6308" si="2973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  <c r="V6306">
        <f t="shared" si="2957"/>
        <v>25</v>
      </c>
      <c r="W6306">
        <f t="shared" si="2955"/>
        <v>5</v>
      </c>
      <c r="X6306">
        <f t="shared" si="2956"/>
        <v>2012</v>
      </c>
    </row>
    <row r="6307" spans="1:24" ht="12" customHeight="1">
      <c r="A6307" s="4">
        <v>2419</v>
      </c>
      <c r="B6307" s="4">
        <v>17543</v>
      </c>
      <c r="C6307" s="5">
        <f t="shared" si="2973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974">C6307+2</f>
        <v>41056</v>
      </c>
      <c r="V6307">
        <f t="shared" si="2957"/>
        <v>27</v>
      </c>
      <c r="W6307">
        <f t="shared" si="2955"/>
        <v>5</v>
      </c>
      <c r="X6307">
        <f t="shared" si="2956"/>
        <v>2012</v>
      </c>
    </row>
    <row r="6308" spans="1:24" ht="12" customHeight="1">
      <c r="A6308" s="4">
        <v>2420</v>
      </c>
      <c r="B6308" s="4">
        <v>17543</v>
      </c>
      <c r="C6308" s="5">
        <f t="shared" si="2973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974"/>
        <v>41056</v>
      </c>
      <c r="V6308">
        <f t="shared" si="2957"/>
        <v>27</v>
      </c>
      <c r="W6308">
        <f t="shared" si="2955"/>
        <v>5</v>
      </c>
      <c r="X6308">
        <f t="shared" si="2956"/>
        <v>2012</v>
      </c>
    </row>
    <row r="6309" spans="1:24" ht="12" customHeight="1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974"/>
        <v>40215</v>
      </c>
      <c r="V6309">
        <f t="shared" si="2957"/>
        <v>6</v>
      </c>
      <c r="W6309">
        <f t="shared" si="2955"/>
        <v>2</v>
      </c>
      <c r="X6309">
        <f t="shared" si="2956"/>
        <v>2010</v>
      </c>
    </row>
    <row r="6310" spans="1:24" ht="12" customHeight="1">
      <c r="A6310" s="4">
        <v>2840</v>
      </c>
      <c r="B6310" s="4">
        <v>20480</v>
      </c>
      <c r="C6310" s="5">
        <f t="shared" ref="C6310:C6311" si="2975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  <c r="V6310">
        <f t="shared" si="2957"/>
        <v>1</v>
      </c>
      <c r="W6310">
        <f t="shared" si="2955"/>
        <v>2</v>
      </c>
      <c r="X6310">
        <f t="shared" si="2956"/>
        <v>2009</v>
      </c>
    </row>
    <row r="6311" spans="1:24" ht="12" customHeight="1">
      <c r="A6311" s="4">
        <v>2844</v>
      </c>
      <c r="B6311" s="4">
        <v>20484</v>
      </c>
      <c r="C6311" s="5">
        <f t="shared" si="2975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  <c r="V6311">
        <f t="shared" si="2957"/>
        <v>31</v>
      </c>
      <c r="W6311">
        <f t="shared" si="2955"/>
        <v>1</v>
      </c>
      <c r="X6311">
        <f t="shared" si="2956"/>
        <v>2009</v>
      </c>
    </row>
    <row r="6312" spans="1:24" ht="12" customHeight="1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  <c r="V6312">
        <f t="shared" si="2957"/>
        <v>4</v>
      </c>
      <c r="W6312">
        <f t="shared" si="2955"/>
        <v>10</v>
      </c>
      <c r="X6312">
        <f t="shared" si="2956"/>
        <v>2012</v>
      </c>
    </row>
    <row r="6313" spans="1:24" ht="12" customHeight="1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  <c r="V6313">
        <f t="shared" si="2957"/>
        <v>28</v>
      </c>
      <c r="W6313">
        <f t="shared" si="2955"/>
        <v>8</v>
      </c>
      <c r="X6313">
        <f t="shared" si="2956"/>
        <v>2012</v>
      </c>
    </row>
    <row r="6314" spans="1:24" ht="12" customHeight="1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  <c r="V6314">
        <f t="shared" si="2957"/>
        <v>6</v>
      </c>
      <c r="W6314">
        <f t="shared" si="2955"/>
        <v>2</v>
      </c>
      <c r="X6314">
        <f t="shared" si="2956"/>
        <v>2011</v>
      </c>
    </row>
    <row r="6315" spans="1:24" ht="12" customHeight="1">
      <c r="A6315" s="4">
        <v>3017</v>
      </c>
      <c r="B6315" s="4">
        <v>21703</v>
      </c>
      <c r="C6315" s="5">
        <f t="shared" ref="C6315:C6317" si="2976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977">C6315+2</f>
        <v>39876</v>
      </c>
      <c r="V6315">
        <f t="shared" si="2957"/>
        <v>4</v>
      </c>
      <c r="W6315">
        <f t="shared" si="2955"/>
        <v>3</v>
      </c>
      <c r="X6315">
        <f t="shared" si="2956"/>
        <v>2009</v>
      </c>
    </row>
    <row r="6316" spans="1:24" ht="12" customHeight="1">
      <c r="A6316" s="4">
        <v>3018</v>
      </c>
      <c r="B6316" s="4">
        <v>21703</v>
      </c>
      <c r="C6316" s="5">
        <f t="shared" si="2976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977"/>
        <v>39876</v>
      </c>
      <c r="V6316">
        <f t="shared" si="2957"/>
        <v>4</v>
      </c>
      <c r="W6316">
        <f t="shared" si="2955"/>
        <v>3</v>
      </c>
      <c r="X6316">
        <f t="shared" si="2956"/>
        <v>2009</v>
      </c>
    </row>
    <row r="6317" spans="1:24" ht="12" customHeight="1">
      <c r="A6317" s="4">
        <v>3019</v>
      </c>
      <c r="B6317" s="4">
        <v>21703</v>
      </c>
      <c r="C6317" s="5">
        <f t="shared" si="2976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978">C6317+0</f>
        <v>39874</v>
      </c>
      <c r="V6317">
        <f t="shared" si="2957"/>
        <v>2</v>
      </c>
      <c r="W6317">
        <f t="shared" si="2955"/>
        <v>3</v>
      </c>
      <c r="X6317">
        <f t="shared" si="2956"/>
        <v>2009</v>
      </c>
    </row>
    <row r="6318" spans="1:24" ht="12" customHeight="1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978"/>
        <v>40873</v>
      </c>
      <c r="V6318">
        <f t="shared" si="2957"/>
        <v>26</v>
      </c>
      <c r="W6318">
        <f t="shared" si="2955"/>
        <v>11</v>
      </c>
      <c r="X6318">
        <f t="shared" si="2956"/>
        <v>2011</v>
      </c>
    </row>
    <row r="6319" spans="1:24" ht="12" customHeight="1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979">C6319+1</f>
        <v>40653</v>
      </c>
      <c r="V6319">
        <f t="shared" si="2957"/>
        <v>20</v>
      </c>
      <c r="W6319">
        <f t="shared" si="2955"/>
        <v>4</v>
      </c>
      <c r="X6319">
        <f t="shared" si="2956"/>
        <v>2011</v>
      </c>
    </row>
    <row r="6320" spans="1:24" ht="12" customHeight="1">
      <c r="A6320" s="4">
        <v>3066</v>
      </c>
      <c r="B6320" s="4">
        <v>21985</v>
      </c>
      <c r="C6320" s="5">
        <f t="shared" ref="C6320:C6321" si="2980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979"/>
        <v>40052</v>
      </c>
      <c r="V6320">
        <f t="shared" si="2957"/>
        <v>27</v>
      </c>
      <c r="W6320">
        <f t="shared" si="2955"/>
        <v>8</v>
      </c>
      <c r="X6320">
        <f t="shared" si="2956"/>
        <v>2009</v>
      </c>
    </row>
    <row r="6321" spans="1:24" ht="12" customHeight="1">
      <c r="A6321" s="4">
        <v>3067</v>
      </c>
      <c r="B6321" s="4">
        <v>21985</v>
      </c>
      <c r="C6321" s="5">
        <f t="shared" si="2980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981">C6321+2</f>
        <v>40053</v>
      </c>
      <c r="V6321">
        <f t="shared" si="2957"/>
        <v>28</v>
      </c>
      <c r="W6321">
        <f t="shared" si="2955"/>
        <v>8</v>
      </c>
      <c r="X6321">
        <f t="shared" si="2956"/>
        <v>2009</v>
      </c>
    </row>
    <row r="6322" spans="1:24" ht="12" customHeight="1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981"/>
        <v>40807</v>
      </c>
      <c r="V6322">
        <f t="shared" si="2957"/>
        <v>21</v>
      </c>
      <c r="W6322">
        <f t="shared" si="2955"/>
        <v>9</v>
      </c>
      <c r="X6322">
        <f t="shared" si="2956"/>
        <v>2011</v>
      </c>
    </row>
    <row r="6323" spans="1:24" ht="12" customHeight="1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  <c r="V6323">
        <f t="shared" si="2957"/>
        <v>1</v>
      </c>
      <c r="W6323">
        <f t="shared" si="2955"/>
        <v>11</v>
      </c>
      <c r="X6323">
        <f t="shared" si="2956"/>
        <v>2009</v>
      </c>
    </row>
    <row r="6324" spans="1:24" ht="12" customHeight="1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  <c r="V6324">
        <f t="shared" si="2957"/>
        <v>22</v>
      </c>
      <c r="W6324">
        <f t="shared" si="2955"/>
        <v>10</v>
      </c>
      <c r="X6324">
        <f t="shared" si="2956"/>
        <v>2010</v>
      </c>
    </row>
    <row r="6325" spans="1:24" ht="12" customHeight="1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  <c r="V6325">
        <f t="shared" si="2957"/>
        <v>11</v>
      </c>
      <c r="W6325">
        <f t="shared" si="2955"/>
        <v>5</v>
      </c>
      <c r="X6325">
        <f t="shared" si="2956"/>
        <v>2009</v>
      </c>
    </row>
    <row r="6326" spans="1:24" ht="12" customHeight="1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982">C6326+2</f>
        <v>41066</v>
      </c>
      <c r="V6326">
        <f t="shared" si="2957"/>
        <v>6</v>
      </c>
      <c r="W6326">
        <f t="shared" si="2955"/>
        <v>6</v>
      </c>
      <c r="X6326">
        <f t="shared" si="2956"/>
        <v>2012</v>
      </c>
    </row>
    <row r="6327" spans="1:24" ht="12" customHeight="1">
      <c r="A6327" s="4">
        <v>3491</v>
      </c>
      <c r="B6327" s="4">
        <v>24870</v>
      </c>
      <c r="C6327" s="5">
        <f t="shared" ref="C6327:C6328" si="2983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982"/>
        <v>39929</v>
      </c>
      <c r="V6327">
        <f t="shared" si="2957"/>
        <v>26</v>
      </c>
      <c r="W6327">
        <f t="shared" si="2955"/>
        <v>4</v>
      </c>
      <c r="X6327">
        <f t="shared" si="2956"/>
        <v>2009</v>
      </c>
    </row>
    <row r="6328" spans="1:24" ht="12" customHeight="1">
      <c r="A6328" s="4">
        <v>3492</v>
      </c>
      <c r="B6328" s="4">
        <v>24870</v>
      </c>
      <c r="C6328" s="5">
        <f t="shared" si="2983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  <c r="V6328">
        <f t="shared" si="2957"/>
        <v>3</v>
      </c>
      <c r="W6328">
        <f t="shared" si="2955"/>
        <v>5</v>
      </c>
      <c r="X6328">
        <f t="shared" si="2956"/>
        <v>2009</v>
      </c>
    </row>
    <row r="6329" spans="1:24" ht="12" customHeight="1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  <c r="V6329">
        <f t="shared" si="2957"/>
        <v>9</v>
      </c>
      <c r="W6329">
        <f t="shared" si="2955"/>
        <v>4</v>
      </c>
      <c r="X6329">
        <f t="shared" si="2956"/>
        <v>2012</v>
      </c>
    </row>
    <row r="6330" spans="1:24" ht="12" customHeight="1">
      <c r="A6330" s="4">
        <v>3724</v>
      </c>
      <c r="B6330" s="4">
        <v>26629</v>
      </c>
      <c r="C6330" s="5">
        <f t="shared" ref="C6330:C6331" si="2984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  <c r="V6330">
        <f t="shared" si="2957"/>
        <v>11</v>
      </c>
      <c r="W6330">
        <f t="shared" si="2955"/>
        <v>7</v>
      </c>
      <c r="X6330">
        <f t="shared" si="2956"/>
        <v>2009</v>
      </c>
    </row>
    <row r="6331" spans="1:24" ht="12" customHeight="1">
      <c r="A6331" s="4">
        <v>3725</v>
      </c>
      <c r="B6331" s="4">
        <v>26629</v>
      </c>
      <c r="C6331" s="5">
        <f t="shared" si="2984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  <c r="V6331">
        <f t="shared" si="2957"/>
        <v>12</v>
      </c>
      <c r="W6331">
        <f t="shared" si="2955"/>
        <v>7</v>
      </c>
      <c r="X6331">
        <f t="shared" si="2956"/>
        <v>2009</v>
      </c>
    </row>
    <row r="6332" spans="1:24" ht="12" customHeight="1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  <c r="V6332">
        <f t="shared" si="2957"/>
        <v>31</v>
      </c>
      <c r="W6332">
        <f t="shared" si="2955"/>
        <v>3</v>
      </c>
      <c r="X6332">
        <f t="shared" si="2956"/>
        <v>2010</v>
      </c>
    </row>
    <row r="6333" spans="1:24" ht="12" customHeight="1">
      <c r="A6333" s="4">
        <v>3911</v>
      </c>
      <c r="B6333" s="4">
        <v>27879</v>
      </c>
      <c r="C6333" s="5">
        <f t="shared" ref="C6333:C6334" si="2985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  <c r="V6333">
        <f t="shared" si="2957"/>
        <v>27</v>
      </c>
      <c r="W6333">
        <f t="shared" si="2955"/>
        <v>2</v>
      </c>
      <c r="X6333">
        <f t="shared" si="2956"/>
        <v>2010</v>
      </c>
    </row>
    <row r="6334" spans="1:24" ht="12" customHeight="1">
      <c r="A6334" s="4">
        <v>3912</v>
      </c>
      <c r="B6334" s="4">
        <v>27879</v>
      </c>
      <c r="C6334" s="5">
        <f t="shared" si="2985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  <c r="V6334">
        <f t="shared" si="2957"/>
        <v>28</v>
      </c>
      <c r="W6334">
        <f t="shared" si="2955"/>
        <v>2</v>
      </c>
      <c r="X6334">
        <f t="shared" si="2956"/>
        <v>2010</v>
      </c>
    </row>
    <row r="6335" spans="1:24" ht="12" customHeight="1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986">C6335+1</f>
        <v>40948</v>
      </c>
      <c r="V6335">
        <f t="shared" si="2957"/>
        <v>9</v>
      </c>
      <c r="W6335">
        <f t="shared" si="2955"/>
        <v>2</v>
      </c>
      <c r="X6335">
        <f t="shared" si="2956"/>
        <v>2012</v>
      </c>
    </row>
    <row r="6336" spans="1:24" ht="12" customHeight="1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986"/>
        <v>40130</v>
      </c>
      <c r="V6336">
        <f t="shared" si="2957"/>
        <v>13</v>
      </c>
      <c r="W6336">
        <f t="shared" si="2955"/>
        <v>11</v>
      </c>
      <c r="X6336">
        <f t="shared" si="2956"/>
        <v>2009</v>
      </c>
    </row>
    <row r="6337" spans="1:24" ht="12" customHeight="1">
      <c r="A6337" s="4">
        <v>4021</v>
      </c>
      <c r="B6337" s="4">
        <v>28738</v>
      </c>
      <c r="C6337" s="5">
        <f t="shared" ref="C6337:C6338" si="2987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  <c r="V6337">
        <f t="shared" si="2957"/>
        <v>12</v>
      </c>
      <c r="W6337">
        <f t="shared" si="2955"/>
        <v>8</v>
      </c>
      <c r="X6337">
        <f t="shared" si="2956"/>
        <v>2012</v>
      </c>
    </row>
    <row r="6338" spans="1:24" ht="12" customHeight="1">
      <c r="A6338" s="4">
        <v>4022</v>
      </c>
      <c r="B6338" s="4">
        <v>28738</v>
      </c>
      <c r="C6338" s="5">
        <f t="shared" si="2987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  <c r="V6338">
        <f t="shared" si="2957"/>
        <v>11</v>
      </c>
      <c r="W6338">
        <f t="shared" si="2955"/>
        <v>8</v>
      </c>
      <c r="X6338">
        <f t="shared" si="2956"/>
        <v>2012</v>
      </c>
    </row>
    <row r="6339" spans="1:24" ht="12" customHeight="1">
      <c r="A6339" s="4">
        <v>4083</v>
      </c>
      <c r="B6339" s="4">
        <v>29120</v>
      </c>
      <c r="C6339" s="5">
        <f t="shared" ref="C6339:C6340" si="2988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  <c r="V6339">
        <f t="shared" si="2957"/>
        <v>14</v>
      </c>
      <c r="W6339">
        <f t="shared" ref="W6339:W6402" si="2989">MONTH(U6339)</f>
        <v>5</v>
      </c>
      <c r="X6339">
        <f t="shared" ref="X6339:X6402" si="2990">YEAR(U6339)</f>
        <v>2010</v>
      </c>
    </row>
    <row r="6340" spans="1:24" ht="12" customHeight="1">
      <c r="A6340" s="4">
        <v>4084</v>
      </c>
      <c r="B6340" s="4">
        <v>29120</v>
      </c>
      <c r="C6340" s="5">
        <f t="shared" si="2988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  <c r="V6340">
        <f t="shared" ref="V6340:V6403" si="2991">DAY(U6340)</f>
        <v>17</v>
      </c>
      <c r="W6340">
        <f t="shared" si="2989"/>
        <v>5</v>
      </c>
      <c r="X6340">
        <f t="shared" si="2990"/>
        <v>2010</v>
      </c>
    </row>
    <row r="6341" spans="1:24" ht="12" customHeight="1">
      <c r="A6341" s="4">
        <v>4157</v>
      </c>
      <c r="B6341" s="4">
        <v>29504</v>
      </c>
      <c r="C6341" s="5">
        <f t="shared" ref="C6341:C6342" si="29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  <c r="V6341">
        <f t="shared" si="2991"/>
        <v>25</v>
      </c>
      <c r="W6341">
        <f t="shared" si="2989"/>
        <v>9</v>
      </c>
      <c r="X6341">
        <f t="shared" si="2990"/>
        <v>2010</v>
      </c>
    </row>
    <row r="6342" spans="1:24" ht="12" customHeight="1">
      <c r="A6342" s="4">
        <v>4158</v>
      </c>
      <c r="B6342" s="4">
        <v>29504</v>
      </c>
      <c r="C6342" s="5">
        <f t="shared" si="29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993">C6342+0</f>
        <v>40444</v>
      </c>
      <c r="V6342">
        <f t="shared" si="2991"/>
        <v>23</v>
      </c>
      <c r="W6342">
        <f t="shared" si="2989"/>
        <v>9</v>
      </c>
      <c r="X6342">
        <f t="shared" si="2990"/>
        <v>2010</v>
      </c>
    </row>
    <row r="6343" spans="1:24" ht="12" customHeight="1">
      <c r="A6343" s="4">
        <v>4300</v>
      </c>
      <c r="B6343" s="4">
        <v>30625</v>
      </c>
      <c r="C6343" s="5">
        <f t="shared" ref="C6343:C6344" si="29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993"/>
        <v>40217</v>
      </c>
      <c r="V6343">
        <f t="shared" si="2991"/>
        <v>8</v>
      </c>
      <c r="W6343">
        <f t="shared" si="2989"/>
        <v>2</v>
      </c>
      <c r="X6343">
        <f t="shared" si="2990"/>
        <v>2010</v>
      </c>
    </row>
    <row r="6344" spans="1:24" ht="12" customHeight="1">
      <c r="A6344" s="4">
        <v>4301</v>
      </c>
      <c r="B6344" s="4">
        <v>30625</v>
      </c>
      <c r="C6344" s="5">
        <f t="shared" si="29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  <c r="V6344">
        <f t="shared" si="2991"/>
        <v>10</v>
      </c>
      <c r="W6344">
        <f t="shared" si="2989"/>
        <v>2</v>
      </c>
      <c r="X6344">
        <f t="shared" si="2990"/>
        <v>2010</v>
      </c>
    </row>
    <row r="6345" spans="1:24" ht="12" customHeight="1">
      <c r="A6345" s="4">
        <v>4376</v>
      </c>
      <c r="B6345" s="4">
        <v>31174</v>
      </c>
      <c r="C6345" s="5">
        <f t="shared" ref="C6345:C6346" si="29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  <c r="V6345">
        <f t="shared" si="2991"/>
        <v>26</v>
      </c>
      <c r="W6345">
        <f t="shared" si="2989"/>
        <v>3</v>
      </c>
      <c r="X6345">
        <f t="shared" si="2990"/>
        <v>2009</v>
      </c>
    </row>
    <row r="6346" spans="1:24" ht="12" customHeight="1">
      <c r="A6346" s="4">
        <v>4377</v>
      </c>
      <c r="B6346" s="4">
        <v>31174</v>
      </c>
      <c r="C6346" s="5">
        <f t="shared" si="29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  <c r="V6346">
        <f t="shared" si="2991"/>
        <v>29</v>
      </c>
      <c r="W6346">
        <f t="shared" si="2989"/>
        <v>3</v>
      </c>
      <c r="X6346">
        <f t="shared" si="2990"/>
        <v>2009</v>
      </c>
    </row>
    <row r="6347" spans="1:24" ht="12" customHeight="1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  <c r="V6347">
        <f t="shared" si="2991"/>
        <v>3</v>
      </c>
      <c r="W6347">
        <f t="shared" si="2989"/>
        <v>8</v>
      </c>
      <c r="X6347">
        <f t="shared" si="2990"/>
        <v>2012</v>
      </c>
    </row>
    <row r="6348" spans="1:24" ht="12" customHeight="1">
      <c r="A6348" s="4">
        <v>4490</v>
      </c>
      <c r="B6348" s="4">
        <v>31973</v>
      </c>
      <c r="C6348" s="5">
        <f t="shared" ref="C6348:C6349" si="29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  <c r="V6348">
        <f t="shared" si="2991"/>
        <v>13</v>
      </c>
      <c r="W6348">
        <f t="shared" si="2989"/>
        <v>5</v>
      </c>
      <c r="X6348">
        <f t="shared" si="2990"/>
        <v>2011</v>
      </c>
    </row>
    <row r="6349" spans="1:24" ht="12" customHeight="1">
      <c r="A6349" s="4">
        <v>4491</v>
      </c>
      <c r="B6349" s="4">
        <v>31973</v>
      </c>
      <c r="C6349" s="5">
        <f t="shared" si="29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  <c r="V6349">
        <f t="shared" si="2991"/>
        <v>14</v>
      </c>
      <c r="W6349">
        <f t="shared" si="2989"/>
        <v>5</v>
      </c>
      <c r="X6349">
        <f t="shared" si="2990"/>
        <v>2011</v>
      </c>
    </row>
    <row r="6350" spans="1:24" ht="12" customHeight="1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997">C6350+4</f>
        <v>40177</v>
      </c>
      <c r="V6350">
        <f t="shared" si="2991"/>
        <v>30</v>
      </c>
      <c r="W6350">
        <f t="shared" si="2989"/>
        <v>12</v>
      </c>
      <c r="X6350">
        <f t="shared" si="2990"/>
        <v>2009</v>
      </c>
    </row>
    <row r="6351" spans="1:24" ht="12" customHeight="1">
      <c r="A6351" s="4">
        <v>4625</v>
      </c>
      <c r="B6351" s="4">
        <v>32929</v>
      </c>
      <c r="C6351" s="5">
        <f t="shared" ref="C6351:C6352" si="29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997"/>
        <v>40669</v>
      </c>
      <c r="V6351">
        <f t="shared" si="2991"/>
        <v>6</v>
      </c>
      <c r="W6351">
        <f t="shared" si="2989"/>
        <v>5</v>
      </c>
      <c r="X6351">
        <f t="shared" si="2990"/>
        <v>2011</v>
      </c>
    </row>
    <row r="6352" spans="1:24" ht="12" customHeight="1">
      <c r="A6352" s="4">
        <v>4626</v>
      </c>
      <c r="B6352" s="4">
        <v>32929</v>
      </c>
      <c r="C6352" s="5">
        <f t="shared" si="29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  <c r="V6352">
        <f t="shared" si="2991"/>
        <v>7</v>
      </c>
      <c r="W6352">
        <f t="shared" si="2989"/>
        <v>5</v>
      </c>
      <c r="X6352">
        <f t="shared" si="2990"/>
        <v>2011</v>
      </c>
    </row>
    <row r="6353" spans="1:24" ht="12" customHeight="1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  <c r="V6353">
        <f t="shared" si="2991"/>
        <v>10</v>
      </c>
      <c r="W6353">
        <f t="shared" si="2989"/>
        <v>2</v>
      </c>
      <c r="X6353">
        <f t="shared" si="2990"/>
        <v>2012</v>
      </c>
    </row>
    <row r="6354" spans="1:24" ht="12" customHeight="1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  <c r="V6354">
        <f t="shared" si="2991"/>
        <v>1</v>
      </c>
      <c r="W6354">
        <f t="shared" si="2989"/>
        <v>9</v>
      </c>
      <c r="X6354">
        <f t="shared" si="2990"/>
        <v>2011</v>
      </c>
    </row>
    <row r="6355" spans="1:24" ht="12" customHeight="1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  <c r="V6355">
        <f t="shared" si="2991"/>
        <v>14</v>
      </c>
      <c r="W6355">
        <f t="shared" si="2989"/>
        <v>12</v>
      </c>
      <c r="X6355">
        <f t="shared" si="2990"/>
        <v>2009</v>
      </c>
    </row>
    <row r="6356" spans="1:24" ht="12" customHeight="1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  <c r="V6356">
        <f t="shared" si="2991"/>
        <v>30</v>
      </c>
      <c r="W6356">
        <f t="shared" si="2989"/>
        <v>5</v>
      </c>
      <c r="X6356">
        <f t="shared" si="2990"/>
        <v>2010</v>
      </c>
    </row>
    <row r="6357" spans="1:24" ht="12" customHeight="1">
      <c r="A6357" s="4">
        <v>5115</v>
      </c>
      <c r="B6357" s="4">
        <v>36449</v>
      </c>
      <c r="C6357" s="5">
        <f t="shared" ref="C6357:C6358" si="29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  <c r="V6357">
        <f t="shared" si="2991"/>
        <v>7</v>
      </c>
      <c r="W6357">
        <f t="shared" si="2989"/>
        <v>9</v>
      </c>
      <c r="X6357">
        <f t="shared" si="2990"/>
        <v>2010</v>
      </c>
    </row>
    <row r="6358" spans="1:24" ht="12" customHeight="1">
      <c r="A6358" s="4">
        <v>5116</v>
      </c>
      <c r="B6358" s="4">
        <v>36449</v>
      </c>
      <c r="C6358" s="5">
        <f t="shared" si="29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  <c r="V6358">
        <f t="shared" si="2991"/>
        <v>8</v>
      </c>
      <c r="W6358">
        <f t="shared" si="2989"/>
        <v>9</v>
      </c>
      <c r="X6358">
        <f t="shared" si="2990"/>
        <v>2010</v>
      </c>
    </row>
    <row r="6359" spans="1:24" ht="12" customHeight="1">
      <c r="A6359" s="4">
        <v>5242</v>
      </c>
      <c r="B6359" s="4">
        <v>37313</v>
      </c>
      <c r="C6359" s="5">
        <f t="shared" ref="C6359:C6360" si="30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  <c r="V6359">
        <f t="shared" si="2991"/>
        <v>3</v>
      </c>
      <c r="W6359">
        <f t="shared" si="2989"/>
        <v>7</v>
      </c>
      <c r="X6359">
        <f t="shared" si="2990"/>
        <v>2012</v>
      </c>
    </row>
    <row r="6360" spans="1:24" ht="12" customHeight="1">
      <c r="A6360" s="4">
        <v>5243</v>
      </c>
      <c r="B6360" s="4">
        <v>37313</v>
      </c>
      <c r="C6360" s="5">
        <f t="shared" si="30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  <c r="V6360">
        <f t="shared" si="2991"/>
        <v>4</v>
      </c>
      <c r="W6360">
        <f t="shared" si="2989"/>
        <v>7</v>
      </c>
      <c r="X6360">
        <f t="shared" si="2990"/>
        <v>2012</v>
      </c>
    </row>
    <row r="6361" spans="1:24" ht="12" customHeight="1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  <c r="V6361">
        <f t="shared" si="2991"/>
        <v>16</v>
      </c>
      <c r="W6361">
        <f t="shared" si="2989"/>
        <v>6</v>
      </c>
      <c r="X6361">
        <f t="shared" si="2990"/>
        <v>2009</v>
      </c>
    </row>
    <row r="6362" spans="1:24" ht="12" customHeight="1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  <c r="V6362">
        <f t="shared" si="2991"/>
        <v>8</v>
      </c>
      <c r="W6362">
        <f t="shared" si="2989"/>
        <v>3</v>
      </c>
      <c r="X6362">
        <f t="shared" si="2990"/>
        <v>2009</v>
      </c>
    </row>
    <row r="6363" spans="1:24" ht="12" customHeight="1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  <c r="V6363">
        <f t="shared" si="2991"/>
        <v>7</v>
      </c>
      <c r="W6363">
        <f t="shared" si="2989"/>
        <v>6</v>
      </c>
      <c r="X6363">
        <f t="shared" si="2990"/>
        <v>2012</v>
      </c>
    </row>
    <row r="6364" spans="1:24" ht="12" customHeight="1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  <c r="V6364">
        <f t="shared" si="2991"/>
        <v>3</v>
      </c>
      <c r="W6364">
        <f t="shared" si="2989"/>
        <v>11</v>
      </c>
      <c r="X6364">
        <f t="shared" si="2990"/>
        <v>2011</v>
      </c>
    </row>
    <row r="6365" spans="1:24" ht="12" customHeight="1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3001">C6365+1</f>
        <v>41260</v>
      </c>
      <c r="V6365">
        <f t="shared" si="2991"/>
        <v>17</v>
      </c>
      <c r="W6365">
        <f t="shared" si="2989"/>
        <v>12</v>
      </c>
      <c r="X6365">
        <f t="shared" si="2990"/>
        <v>2012</v>
      </c>
    </row>
    <row r="6366" spans="1:24" ht="12" customHeight="1">
      <c r="A6366" s="4">
        <v>5490</v>
      </c>
      <c r="B6366" s="4">
        <v>38950</v>
      </c>
      <c r="C6366" s="5">
        <f t="shared" ref="C6366:C6368" si="30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3001"/>
        <v>40727</v>
      </c>
      <c r="V6366">
        <f t="shared" si="2991"/>
        <v>3</v>
      </c>
      <c r="W6366">
        <f t="shared" si="2989"/>
        <v>7</v>
      </c>
      <c r="X6366">
        <f t="shared" si="2990"/>
        <v>2011</v>
      </c>
    </row>
    <row r="6367" spans="1:24" ht="12" customHeight="1">
      <c r="A6367" s="4">
        <v>5491</v>
      </c>
      <c r="B6367" s="4">
        <v>38950</v>
      </c>
      <c r="C6367" s="5">
        <f t="shared" si="30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3001"/>
        <v>40727</v>
      </c>
      <c r="V6367">
        <f t="shared" si="2991"/>
        <v>3</v>
      </c>
      <c r="W6367">
        <f t="shared" si="2989"/>
        <v>7</v>
      </c>
      <c r="X6367">
        <f t="shared" si="2990"/>
        <v>2011</v>
      </c>
    </row>
    <row r="6368" spans="1:24" ht="12" customHeight="1">
      <c r="A6368" s="4">
        <v>5492</v>
      </c>
      <c r="B6368" s="4">
        <v>38950</v>
      </c>
      <c r="C6368" s="5">
        <f t="shared" si="30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  <c r="V6368">
        <f t="shared" si="2991"/>
        <v>5</v>
      </c>
      <c r="W6368">
        <f t="shared" si="2989"/>
        <v>7</v>
      </c>
      <c r="X6368">
        <f t="shared" si="2990"/>
        <v>2011</v>
      </c>
    </row>
    <row r="6369" spans="1:24" ht="12" customHeight="1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  <c r="V6369">
        <f t="shared" si="2991"/>
        <v>13</v>
      </c>
      <c r="W6369">
        <f t="shared" si="2989"/>
        <v>8</v>
      </c>
      <c r="X6369">
        <f t="shared" si="2990"/>
        <v>2009</v>
      </c>
    </row>
    <row r="6370" spans="1:24" ht="12" customHeight="1">
      <c r="A6370" s="4">
        <v>5698</v>
      </c>
      <c r="B6370" s="4">
        <v>40289</v>
      </c>
      <c r="C6370" s="5">
        <f t="shared" ref="C6370:C6371" si="30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3004">C6370+1</f>
        <v>41240</v>
      </c>
      <c r="V6370">
        <f t="shared" si="2991"/>
        <v>27</v>
      </c>
      <c r="W6370">
        <f t="shared" si="2989"/>
        <v>11</v>
      </c>
      <c r="X6370">
        <f t="shared" si="2990"/>
        <v>2012</v>
      </c>
    </row>
    <row r="6371" spans="1:24" ht="12" customHeight="1">
      <c r="A6371" s="4">
        <v>5699</v>
      </c>
      <c r="B6371" s="4">
        <v>40289</v>
      </c>
      <c r="C6371" s="5">
        <f t="shared" si="30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3004"/>
        <v>41240</v>
      </c>
      <c r="V6371">
        <f t="shared" si="2991"/>
        <v>27</v>
      </c>
      <c r="W6371">
        <f t="shared" si="2989"/>
        <v>11</v>
      </c>
      <c r="X6371">
        <f t="shared" si="2990"/>
        <v>2012</v>
      </c>
    </row>
    <row r="6372" spans="1:24" ht="12" customHeight="1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  <c r="V6372">
        <f t="shared" si="2991"/>
        <v>22</v>
      </c>
      <c r="W6372">
        <f t="shared" si="2989"/>
        <v>11</v>
      </c>
      <c r="X6372">
        <f t="shared" si="2990"/>
        <v>2010</v>
      </c>
    </row>
    <row r="6373" spans="1:24" ht="12" customHeight="1">
      <c r="A6373" s="4">
        <v>5794</v>
      </c>
      <c r="B6373" s="4">
        <v>41094</v>
      </c>
      <c r="C6373" s="5">
        <f t="shared" ref="C6373:C6374" si="30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  <c r="V6373">
        <f t="shared" si="2991"/>
        <v>8</v>
      </c>
      <c r="W6373">
        <f t="shared" si="2989"/>
        <v>1</v>
      </c>
      <c r="X6373">
        <f t="shared" si="2990"/>
        <v>2009</v>
      </c>
    </row>
    <row r="6374" spans="1:24" ht="12" customHeight="1">
      <c r="A6374" s="4">
        <v>5795</v>
      </c>
      <c r="B6374" s="4">
        <v>41094</v>
      </c>
      <c r="C6374" s="5">
        <f t="shared" si="30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  <c r="V6374">
        <f t="shared" si="2991"/>
        <v>10</v>
      </c>
      <c r="W6374">
        <f t="shared" si="2989"/>
        <v>1</v>
      </c>
      <c r="X6374">
        <f t="shared" si="2990"/>
        <v>2009</v>
      </c>
    </row>
    <row r="6375" spans="1:24" ht="12" customHeight="1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  <c r="V6375">
        <f t="shared" si="2991"/>
        <v>24</v>
      </c>
      <c r="W6375">
        <f t="shared" si="2989"/>
        <v>11</v>
      </c>
      <c r="X6375">
        <f t="shared" si="2990"/>
        <v>2010</v>
      </c>
    </row>
    <row r="6376" spans="1:24" ht="12" customHeight="1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3006">C6376+1</f>
        <v>40445</v>
      </c>
      <c r="V6376">
        <f t="shared" si="2991"/>
        <v>24</v>
      </c>
      <c r="W6376">
        <f t="shared" si="2989"/>
        <v>9</v>
      </c>
      <c r="X6376">
        <f t="shared" si="2990"/>
        <v>2010</v>
      </c>
    </row>
    <row r="6377" spans="1:24" ht="12" customHeight="1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3006"/>
        <v>40538</v>
      </c>
      <c r="V6377">
        <f t="shared" si="2991"/>
        <v>26</v>
      </c>
      <c r="W6377">
        <f t="shared" si="2989"/>
        <v>12</v>
      </c>
      <c r="X6377">
        <f t="shared" si="2990"/>
        <v>2010</v>
      </c>
    </row>
    <row r="6378" spans="1:24" ht="12" customHeight="1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  <c r="V6378">
        <f t="shared" si="2991"/>
        <v>23</v>
      </c>
      <c r="W6378">
        <f t="shared" si="2989"/>
        <v>6</v>
      </c>
      <c r="X6378">
        <f t="shared" si="2990"/>
        <v>2012</v>
      </c>
    </row>
    <row r="6379" spans="1:24" ht="12" customHeight="1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  <c r="V6379">
        <f t="shared" si="2991"/>
        <v>5</v>
      </c>
      <c r="W6379">
        <f t="shared" si="2989"/>
        <v>8</v>
      </c>
      <c r="X6379">
        <f t="shared" si="2990"/>
        <v>2012</v>
      </c>
    </row>
    <row r="6380" spans="1:24" ht="12" customHeight="1">
      <c r="A6380" s="4">
        <v>6172</v>
      </c>
      <c r="B6380" s="4">
        <v>43745</v>
      </c>
      <c r="C6380" s="5">
        <f t="shared" ref="C6380:C6381" si="30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  <c r="V6380">
        <f t="shared" si="2991"/>
        <v>8</v>
      </c>
      <c r="W6380">
        <f t="shared" si="2989"/>
        <v>11</v>
      </c>
      <c r="X6380">
        <f t="shared" si="2990"/>
        <v>2010</v>
      </c>
    </row>
    <row r="6381" spans="1:24" ht="12" customHeight="1">
      <c r="A6381" s="4">
        <v>6173</v>
      </c>
      <c r="B6381" s="4">
        <v>43745</v>
      </c>
      <c r="C6381" s="5">
        <f t="shared" si="30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  <c r="V6381">
        <f t="shared" si="2991"/>
        <v>5</v>
      </c>
      <c r="W6381">
        <f t="shared" si="2989"/>
        <v>11</v>
      </c>
      <c r="X6381">
        <f t="shared" si="2990"/>
        <v>2010</v>
      </c>
    </row>
    <row r="6382" spans="1:24" ht="12" customHeight="1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  <c r="V6382">
        <f t="shared" si="2991"/>
        <v>31</v>
      </c>
      <c r="W6382">
        <f t="shared" si="2989"/>
        <v>1</v>
      </c>
      <c r="X6382">
        <f t="shared" si="2990"/>
        <v>2012</v>
      </c>
    </row>
    <row r="6383" spans="1:24" ht="12" customHeight="1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  <c r="V6383">
        <f t="shared" si="2991"/>
        <v>2</v>
      </c>
      <c r="W6383">
        <f t="shared" si="2989"/>
        <v>10</v>
      </c>
      <c r="X6383">
        <f t="shared" si="2990"/>
        <v>2011</v>
      </c>
    </row>
    <row r="6384" spans="1:24" ht="12" customHeight="1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  <c r="V6384">
        <f t="shared" si="2991"/>
        <v>17</v>
      </c>
      <c r="W6384">
        <f t="shared" si="2989"/>
        <v>1</v>
      </c>
      <c r="X6384">
        <f t="shared" si="2990"/>
        <v>2011</v>
      </c>
    </row>
    <row r="6385" spans="1:24" ht="12" customHeight="1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  <c r="V6385">
        <f t="shared" si="2991"/>
        <v>26</v>
      </c>
      <c r="W6385">
        <f t="shared" si="2989"/>
        <v>12</v>
      </c>
      <c r="X6385">
        <f t="shared" si="2990"/>
        <v>2010</v>
      </c>
    </row>
    <row r="6386" spans="1:24" ht="12" customHeight="1">
      <c r="A6386" s="4">
        <v>6548</v>
      </c>
      <c r="B6386" s="4">
        <v>46565</v>
      </c>
      <c r="C6386" s="5">
        <f t="shared" ref="C6386:C6388" si="30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  <c r="V6386">
        <f t="shared" si="2991"/>
        <v>22</v>
      </c>
      <c r="W6386">
        <f t="shared" si="2989"/>
        <v>6</v>
      </c>
      <c r="X6386">
        <f t="shared" si="2990"/>
        <v>2011</v>
      </c>
    </row>
    <row r="6387" spans="1:24" ht="12" customHeight="1">
      <c r="A6387" s="4">
        <v>6549</v>
      </c>
      <c r="B6387" s="4">
        <v>46565</v>
      </c>
      <c r="C6387" s="5">
        <f t="shared" si="30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  <c r="V6387">
        <f t="shared" si="2991"/>
        <v>23</v>
      </c>
      <c r="W6387">
        <f t="shared" si="2989"/>
        <v>6</v>
      </c>
      <c r="X6387">
        <f t="shared" si="2990"/>
        <v>2011</v>
      </c>
    </row>
    <row r="6388" spans="1:24" ht="12" customHeight="1">
      <c r="A6388" s="4">
        <v>6550</v>
      </c>
      <c r="B6388" s="4">
        <v>46565</v>
      </c>
      <c r="C6388" s="5">
        <f t="shared" si="30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3009">C6388+2</f>
        <v>40718</v>
      </c>
      <c r="V6388">
        <f t="shared" si="2991"/>
        <v>24</v>
      </c>
      <c r="W6388">
        <f t="shared" si="2989"/>
        <v>6</v>
      </c>
      <c r="X6388">
        <f t="shared" si="2990"/>
        <v>2011</v>
      </c>
    </row>
    <row r="6389" spans="1:24" ht="12" customHeight="1">
      <c r="A6389" s="4">
        <v>6593</v>
      </c>
      <c r="B6389" s="4">
        <v>46916</v>
      </c>
      <c r="C6389" s="5">
        <f t="shared" ref="C6389:C6390" si="30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3009"/>
        <v>40821</v>
      </c>
      <c r="V6389">
        <f t="shared" si="2991"/>
        <v>5</v>
      </c>
      <c r="W6389">
        <f t="shared" si="2989"/>
        <v>10</v>
      </c>
      <c r="X6389">
        <f t="shared" si="2990"/>
        <v>2011</v>
      </c>
    </row>
    <row r="6390" spans="1:24" ht="12" customHeight="1">
      <c r="A6390" s="4">
        <v>6594</v>
      </c>
      <c r="B6390" s="4">
        <v>46916</v>
      </c>
      <c r="C6390" s="5">
        <f t="shared" si="30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3009"/>
        <v>40821</v>
      </c>
      <c r="V6390">
        <f t="shared" si="2991"/>
        <v>5</v>
      </c>
      <c r="W6390">
        <f t="shared" si="2989"/>
        <v>10</v>
      </c>
      <c r="X6390">
        <f t="shared" si="2990"/>
        <v>2011</v>
      </c>
    </row>
    <row r="6391" spans="1:24" ht="12" customHeight="1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3009"/>
        <v>40059</v>
      </c>
      <c r="V6391">
        <f t="shared" si="2991"/>
        <v>3</v>
      </c>
      <c r="W6391">
        <f t="shared" si="2989"/>
        <v>9</v>
      </c>
      <c r="X6391">
        <f t="shared" si="2990"/>
        <v>2009</v>
      </c>
    </row>
    <row r="6392" spans="1:24" ht="12" customHeight="1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  <c r="V6392">
        <f t="shared" si="2991"/>
        <v>29</v>
      </c>
      <c r="W6392">
        <f t="shared" si="2989"/>
        <v>7</v>
      </c>
      <c r="X6392">
        <f t="shared" si="2990"/>
        <v>2011</v>
      </c>
    </row>
    <row r="6393" spans="1:24" ht="12" customHeight="1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3011">C6393+0</f>
        <v>41273</v>
      </c>
      <c r="V6393">
        <f t="shared" si="2991"/>
        <v>30</v>
      </c>
      <c r="W6393">
        <f t="shared" si="2989"/>
        <v>12</v>
      </c>
      <c r="X6393">
        <f t="shared" si="2990"/>
        <v>2012</v>
      </c>
    </row>
    <row r="6394" spans="1:24" ht="12" customHeight="1">
      <c r="A6394" s="4">
        <v>6727</v>
      </c>
      <c r="B6394" s="4">
        <v>47909</v>
      </c>
      <c r="C6394" s="5">
        <f t="shared" ref="C6394:C6396" si="30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3011"/>
        <v>40246</v>
      </c>
      <c r="V6394">
        <f t="shared" si="2991"/>
        <v>9</v>
      </c>
      <c r="W6394">
        <f t="shared" si="2989"/>
        <v>3</v>
      </c>
      <c r="X6394">
        <f t="shared" si="2990"/>
        <v>2010</v>
      </c>
    </row>
    <row r="6395" spans="1:24" ht="12" customHeight="1">
      <c r="A6395" s="4">
        <v>6728</v>
      </c>
      <c r="B6395" s="4">
        <v>47909</v>
      </c>
      <c r="C6395" s="5">
        <f t="shared" si="30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  <c r="V6395">
        <f t="shared" si="2991"/>
        <v>10</v>
      </c>
      <c r="W6395">
        <f t="shared" si="2989"/>
        <v>3</v>
      </c>
      <c r="X6395">
        <f t="shared" si="2990"/>
        <v>2010</v>
      </c>
    </row>
    <row r="6396" spans="1:24" ht="12" customHeight="1">
      <c r="A6396" s="4">
        <v>6729</v>
      </c>
      <c r="B6396" s="4">
        <v>47909</v>
      </c>
      <c r="C6396" s="5">
        <f t="shared" si="30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  <c r="V6396">
        <f t="shared" si="2991"/>
        <v>11</v>
      </c>
      <c r="W6396">
        <f t="shared" si="2989"/>
        <v>3</v>
      </c>
      <c r="X6396">
        <f t="shared" si="2990"/>
        <v>2010</v>
      </c>
    </row>
    <row r="6397" spans="1:24" ht="12" customHeight="1">
      <c r="A6397" s="4">
        <v>6823</v>
      </c>
      <c r="B6397" s="4">
        <v>48609</v>
      </c>
      <c r="C6397" s="5">
        <f t="shared" ref="C6397:C6398" si="30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3014">C6397+1</f>
        <v>40234</v>
      </c>
      <c r="V6397">
        <f t="shared" si="2991"/>
        <v>25</v>
      </c>
      <c r="W6397">
        <f t="shared" si="2989"/>
        <v>2</v>
      </c>
      <c r="X6397">
        <f t="shared" si="2990"/>
        <v>2010</v>
      </c>
    </row>
    <row r="6398" spans="1:24" ht="12" customHeight="1">
      <c r="A6398" s="4">
        <v>6824</v>
      </c>
      <c r="B6398" s="4">
        <v>48609</v>
      </c>
      <c r="C6398" s="5">
        <f t="shared" si="30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3014"/>
        <v>40234</v>
      </c>
      <c r="V6398">
        <f t="shared" si="2991"/>
        <v>25</v>
      </c>
      <c r="W6398">
        <f t="shared" si="2989"/>
        <v>2</v>
      </c>
      <c r="X6398">
        <f t="shared" si="2990"/>
        <v>2010</v>
      </c>
    </row>
    <row r="6399" spans="1:24" ht="12" customHeight="1">
      <c r="A6399" s="4">
        <v>6833</v>
      </c>
      <c r="B6399" s="4">
        <v>48643</v>
      </c>
      <c r="C6399" s="5">
        <f t="shared" ref="C6399:C6401" si="30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3016">C6399+2</f>
        <v>41202</v>
      </c>
      <c r="V6399">
        <f t="shared" si="2991"/>
        <v>20</v>
      </c>
      <c r="W6399">
        <f t="shared" si="2989"/>
        <v>10</v>
      </c>
      <c r="X6399">
        <f t="shared" si="2990"/>
        <v>2012</v>
      </c>
    </row>
    <row r="6400" spans="1:24" ht="12" customHeight="1">
      <c r="A6400" s="4">
        <v>6834</v>
      </c>
      <c r="B6400" s="4">
        <v>48643</v>
      </c>
      <c r="C6400" s="5">
        <f t="shared" si="30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3016"/>
        <v>41202</v>
      </c>
      <c r="V6400">
        <f t="shared" si="2991"/>
        <v>20</v>
      </c>
      <c r="W6400">
        <f t="shared" si="2989"/>
        <v>10</v>
      </c>
      <c r="X6400">
        <f t="shared" si="2990"/>
        <v>2012</v>
      </c>
    </row>
    <row r="6401" spans="1:24" ht="12" customHeight="1">
      <c r="A6401" s="4">
        <v>6835</v>
      </c>
      <c r="B6401" s="4">
        <v>48643</v>
      </c>
      <c r="C6401" s="5">
        <f t="shared" si="30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3016"/>
        <v>41202</v>
      </c>
      <c r="V6401">
        <f t="shared" si="2991"/>
        <v>20</v>
      </c>
      <c r="W6401">
        <f t="shared" si="2989"/>
        <v>10</v>
      </c>
      <c r="X6401">
        <f t="shared" si="2990"/>
        <v>2012</v>
      </c>
    </row>
    <row r="6402" spans="1:24" ht="12" customHeight="1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3016"/>
        <v>41035</v>
      </c>
      <c r="V6402">
        <f t="shared" si="2991"/>
        <v>6</v>
      </c>
      <c r="W6402">
        <f t="shared" si="2989"/>
        <v>5</v>
      </c>
      <c r="X6402">
        <f t="shared" si="2990"/>
        <v>2012</v>
      </c>
    </row>
    <row r="6403" spans="1:24" ht="12" customHeight="1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  <c r="V6403">
        <f t="shared" si="2991"/>
        <v>5</v>
      </c>
      <c r="W6403">
        <f t="shared" ref="W6403:W6466" si="3017">MONTH(U6403)</f>
        <v>5</v>
      </c>
      <c r="X6403">
        <f t="shared" ref="X6403:X6466" si="3018">YEAR(U6403)</f>
        <v>2009</v>
      </c>
    </row>
    <row r="6404" spans="1:24" ht="12" customHeight="1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3019">C6404+2</f>
        <v>41166</v>
      </c>
      <c r="V6404">
        <f t="shared" ref="V6404:V6467" si="3020">DAY(U6404)</f>
        <v>14</v>
      </c>
      <c r="W6404">
        <f t="shared" si="3017"/>
        <v>9</v>
      </c>
      <c r="X6404">
        <f t="shared" si="3018"/>
        <v>2012</v>
      </c>
    </row>
    <row r="6405" spans="1:24" ht="12" customHeight="1">
      <c r="A6405" s="4">
        <v>7033</v>
      </c>
      <c r="B6405" s="4">
        <v>50209</v>
      </c>
      <c r="C6405" s="5">
        <f t="shared" ref="C6405:C6406" si="3021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3019"/>
        <v>40433</v>
      </c>
      <c r="V6405">
        <f t="shared" si="3020"/>
        <v>12</v>
      </c>
      <c r="W6405">
        <f t="shared" si="3017"/>
        <v>9</v>
      </c>
      <c r="X6405">
        <f t="shared" si="3018"/>
        <v>2010</v>
      </c>
    </row>
    <row r="6406" spans="1:24" ht="12" customHeight="1">
      <c r="A6406" s="4">
        <v>7034</v>
      </c>
      <c r="B6406" s="4">
        <v>50209</v>
      </c>
      <c r="C6406" s="5">
        <f t="shared" si="3021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  <c r="V6406">
        <f t="shared" si="3020"/>
        <v>11</v>
      </c>
      <c r="W6406">
        <f t="shared" si="3017"/>
        <v>9</v>
      </c>
      <c r="X6406">
        <f t="shared" si="3018"/>
        <v>2010</v>
      </c>
    </row>
    <row r="6407" spans="1:24" ht="12" customHeight="1">
      <c r="A6407" s="4">
        <v>7066</v>
      </c>
      <c r="B6407" s="4">
        <v>50432</v>
      </c>
      <c r="C6407" s="5">
        <f t="shared" ref="C6407:C6408" si="3022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  <c r="V6407">
        <f t="shared" si="3020"/>
        <v>12</v>
      </c>
      <c r="W6407">
        <f t="shared" si="3017"/>
        <v>6</v>
      </c>
      <c r="X6407">
        <f t="shared" si="3018"/>
        <v>2009</v>
      </c>
    </row>
    <row r="6408" spans="1:24" ht="12" customHeight="1">
      <c r="A6408" s="4">
        <v>7067</v>
      </c>
      <c r="B6408" s="4">
        <v>50432</v>
      </c>
      <c r="C6408" s="5">
        <f t="shared" si="3022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  <c r="V6408">
        <f t="shared" si="3020"/>
        <v>9</v>
      </c>
      <c r="W6408">
        <f t="shared" si="3017"/>
        <v>6</v>
      </c>
      <c r="X6408">
        <f t="shared" si="3018"/>
        <v>2009</v>
      </c>
    </row>
    <row r="6409" spans="1:24" ht="12" customHeight="1">
      <c r="A6409" s="4">
        <v>7076</v>
      </c>
      <c r="B6409" s="4">
        <v>50500</v>
      </c>
      <c r="C6409" s="5">
        <f t="shared" ref="C6409:C6410" si="3023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  <c r="V6409">
        <f t="shared" si="3020"/>
        <v>10</v>
      </c>
      <c r="W6409">
        <f t="shared" si="3017"/>
        <v>9</v>
      </c>
      <c r="X6409">
        <f t="shared" si="3018"/>
        <v>2011</v>
      </c>
    </row>
    <row r="6410" spans="1:24" ht="12" customHeight="1">
      <c r="A6410" s="4">
        <v>7077</v>
      </c>
      <c r="B6410" s="4">
        <v>50500</v>
      </c>
      <c r="C6410" s="5">
        <f t="shared" si="3023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  <c r="V6410">
        <f t="shared" si="3020"/>
        <v>6</v>
      </c>
      <c r="W6410">
        <f t="shared" si="3017"/>
        <v>9</v>
      </c>
      <c r="X6410">
        <f t="shared" si="3018"/>
        <v>2011</v>
      </c>
    </row>
    <row r="6411" spans="1:24" ht="12" customHeight="1">
      <c r="A6411" s="4">
        <v>7093</v>
      </c>
      <c r="B6411" s="4">
        <v>50626</v>
      </c>
      <c r="C6411" s="5">
        <f t="shared" ref="C6411:C6412" si="3024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  <c r="V6411">
        <f t="shared" si="3020"/>
        <v>21</v>
      </c>
      <c r="W6411">
        <f t="shared" si="3017"/>
        <v>10</v>
      </c>
      <c r="X6411">
        <f t="shared" si="3018"/>
        <v>2009</v>
      </c>
    </row>
    <row r="6412" spans="1:24" ht="12" customHeight="1">
      <c r="A6412" s="4">
        <v>7094</v>
      </c>
      <c r="B6412" s="4">
        <v>50626</v>
      </c>
      <c r="C6412" s="5">
        <f t="shared" si="3024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  <c r="V6412">
        <f t="shared" si="3020"/>
        <v>22</v>
      </c>
      <c r="W6412">
        <f t="shared" si="3017"/>
        <v>10</v>
      </c>
      <c r="X6412">
        <f t="shared" si="3018"/>
        <v>2009</v>
      </c>
    </row>
    <row r="6413" spans="1:24" ht="12" customHeight="1">
      <c r="A6413" s="4">
        <v>7099</v>
      </c>
      <c r="B6413" s="4">
        <v>50657</v>
      </c>
      <c r="C6413" s="5">
        <f t="shared" ref="C6413:C6415" si="3025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  <c r="V6413">
        <f t="shared" si="3020"/>
        <v>19</v>
      </c>
      <c r="W6413">
        <f t="shared" si="3017"/>
        <v>12</v>
      </c>
      <c r="X6413">
        <f t="shared" si="3018"/>
        <v>2011</v>
      </c>
    </row>
    <row r="6414" spans="1:24" ht="12" customHeight="1">
      <c r="A6414" s="4">
        <v>7100</v>
      </c>
      <c r="B6414" s="4">
        <v>50657</v>
      </c>
      <c r="C6414" s="5">
        <f t="shared" si="3025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3026">C6414+2</f>
        <v>40897</v>
      </c>
      <c r="V6414">
        <f t="shared" si="3020"/>
        <v>20</v>
      </c>
      <c r="W6414">
        <f t="shared" si="3017"/>
        <v>12</v>
      </c>
      <c r="X6414">
        <f t="shared" si="3018"/>
        <v>2011</v>
      </c>
    </row>
    <row r="6415" spans="1:24" ht="12" customHeight="1">
      <c r="A6415" s="4">
        <v>7101</v>
      </c>
      <c r="B6415" s="4">
        <v>50657</v>
      </c>
      <c r="C6415" s="5">
        <f t="shared" si="3025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3026"/>
        <v>40897</v>
      </c>
      <c r="V6415">
        <f t="shared" si="3020"/>
        <v>20</v>
      </c>
      <c r="W6415">
        <f t="shared" si="3017"/>
        <v>12</v>
      </c>
      <c r="X6415">
        <f t="shared" si="3018"/>
        <v>2011</v>
      </c>
    </row>
    <row r="6416" spans="1:24" ht="12" customHeight="1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3026"/>
        <v>40507</v>
      </c>
      <c r="V6416">
        <f t="shared" si="3020"/>
        <v>25</v>
      </c>
      <c r="W6416">
        <f t="shared" si="3017"/>
        <v>11</v>
      </c>
      <c r="X6416">
        <f t="shared" si="3018"/>
        <v>2010</v>
      </c>
    </row>
    <row r="6417" spans="1:24" ht="12" customHeight="1">
      <c r="A6417" s="4">
        <v>7170</v>
      </c>
      <c r="B6417" s="4">
        <v>51175</v>
      </c>
      <c r="C6417" s="5">
        <f t="shared" ref="C6417:C6418" si="3027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  <c r="V6417">
        <f t="shared" si="3020"/>
        <v>14</v>
      </c>
      <c r="W6417">
        <f t="shared" si="3017"/>
        <v>8</v>
      </c>
      <c r="X6417">
        <f t="shared" si="3018"/>
        <v>2012</v>
      </c>
    </row>
    <row r="6418" spans="1:24" ht="12" customHeight="1">
      <c r="A6418" s="4">
        <v>7171</v>
      </c>
      <c r="B6418" s="4">
        <v>51175</v>
      </c>
      <c r="C6418" s="5">
        <f t="shared" si="3027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  <c r="V6418">
        <f t="shared" si="3020"/>
        <v>15</v>
      </c>
      <c r="W6418">
        <f t="shared" si="3017"/>
        <v>8</v>
      </c>
      <c r="X6418">
        <f t="shared" si="3018"/>
        <v>2012</v>
      </c>
    </row>
    <row r="6419" spans="1:24" ht="12" customHeight="1">
      <c r="A6419" s="4">
        <v>7174</v>
      </c>
      <c r="B6419" s="4">
        <v>51202</v>
      </c>
      <c r="C6419" s="5">
        <f t="shared" ref="C6419:C6420" si="3028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  <c r="V6419">
        <f t="shared" si="3020"/>
        <v>15</v>
      </c>
      <c r="W6419">
        <f t="shared" si="3017"/>
        <v>4</v>
      </c>
      <c r="X6419">
        <f t="shared" si="3018"/>
        <v>2012</v>
      </c>
    </row>
    <row r="6420" spans="1:24" ht="12" customHeight="1">
      <c r="A6420" s="4">
        <v>7175</v>
      </c>
      <c r="B6420" s="4">
        <v>51202</v>
      </c>
      <c r="C6420" s="5">
        <f t="shared" si="3028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3029">C6420+1</f>
        <v>41013</v>
      </c>
      <c r="V6420">
        <f t="shared" si="3020"/>
        <v>14</v>
      </c>
      <c r="W6420">
        <f t="shared" si="3017"/>
        <v>4</v>
      </c>
      <c r="X6420">
        <f t="shared" si="3018"/>
        <v>2012</v>
      </c>
    </row>
    <row r="6421" spans="1:24" ht="12" customHeight="1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3029"/>
        <v>40301</v>
      </c>
      <c r="V6421">
        <f t="shared" si="3020"/>
        <v>3</v>
      </c>
      <c r="W6421">
        <f t="shared" si="3017"/>
        <v>5</v>
      </c>
      <c r="X6421">
        <f t="shared" si="3018"/>
        <v>2010</v>
      </c>
    </row>
    <row r="6422" spans="1:24" ht="12" customHeight="1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  <c r="V6422">
        <f t="shared" si="3020"/>
        <v>6</v>
      </c>
      <c r="W6422">
        <f t="shared" si="3017"/>
        <v>5</v>
      </c>
      <c r="X6422">
        <f t="shared" si="3018"/>
        <v>2009</v>
      </c>
    </row>
    <row r="6423" spans="1:24" ht="12" customHeight="1">
      <c r="A6423" s="4">
        <v>7397</v>
      </c>
      <c r="B6423" s="4">
        <v>52711</v>
      </c>
      <c r="C6423" s="5">
        <f t="shared" ref="C6423:C6424" si="3030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3031">C6423+2</f>
        <v>40811</v>
      </c>
      <c r="V6423">
        <f t="shared" si="3020"/>
        <v>25</v>
      </c>
      <c r="W6423">
        <f t="shared" si="3017"/>
        <v>9</v>
      </c>
      <c r="X6423">
        <f t="shared" si="3018"/>
        <v>2011</v>
      </c>
    </row>
    <row r="6424" spans="1:24" ht="12" customHeight="1">
      <c r="A6424" s="4">
        <v>7398</v>
      </c>
      <c r="B6424" s="4">
        <v>52711</v>
      </c>
      <c r="C6424" s="5">
        <f t="shared" si="3030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3031"/>
        <v>40811</v>
      </c>
      <c r="V6424">
        <f t="shared" si="3020"/>
        <v>25</v>
      </c>
      <c r="W6424">
        <f t="shared" si="3017"/>
        <v>9</v>
      </c>
      <c r="X6424">
        <f t="shared" si="3018"/>
        <v>2011</v>
      </c>
    </row>
    <row r="6425" spans="1:24" ht="12" customHeight="1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  <c r="V6425">
        <f t="shared" si="3020"/>
        <v>19</v>
      </c>
      <c r="W6425">
        <f t="shared" si="3017"/>
        <v>10</v>
      </c>
      <c r="X6425">
        <f t="shared" si="3018"/>
        <v>2009</v>
      </c>
    </row>
    <row r="6426" spans="1:24" ht="12" customHeight="1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  <c r="V6426">
        <f t="shared" si="3020"/>
        <v>23</v>
      </c>
      <c r="W6426">
        <f t="shared" si="3017"/>
        <v>10</v>
      </c>
      <c r="X6426">
        <f t="shared" si="3018"/>
        <v>2010</v>
      </c>
    </row>
    <row r="6427" spans="1:24" ht="12" customHeight="1">
      <c r="A6427" s="4">
        <v>7646</v>
      </c>
      <c r="B6427" s="4">
        <v>54791</v>
      </c>
      <c r="C6427" s="5">
        <f t="shared" ref="C6427:C6428" si="3032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  <c r="V6427">
        <f t="shared" si="3020"/>
        <v>21</v>
      </c>
      <c r="W6427">
        <f t="shared" si="3017"/>
        <v>12</v>
      </c>
      <c r="X6427">
        <f t="shared" si="3018"/>
        <v>2012</v>
      </c>
    </row>
    <row r="6428" spans="1:24" ht="12" customHeight="1">
      <c r="A6428" s="4">
        <v>7647</v>
      </c>
      <c r="B6428" s="4">
        <v>54791</v>
      </c>
      <c r="C6428" s="5">
        <f t="shared" si="3032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3033">C6428+2</f>
        <v>41265</v>
      </c>
      <c r="V6428">
        <f t="shared" si="3020"/>
        <v>22</v>
      </c>
      <c r="W6428">
        <f t="shared" si="3017"/>
        <v>12</v>
      </c>
      <c r="X6428">
        <f t="shared" si="3018"/>
        <v>2012</v>
      </c>
    </row>
    <row r="6429" spans="1:24" ht="12" customHeight="1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3033"/>
        <v>41169</v>
      </c>
      <c r="V6429">
        <f t="shared" si="3020"/>
        <v>17</v>
      </c>
      <c r="W6429">
        <f t="shared" si="3017"/>
        <v>9</v>
      </c>
      <c r="X6429">
        <f t="shared" si="3018"/>
        <v>2012</v>
      </c>
    </row>
    <row r="6430" spans="1:24" ht="12" customHeight="1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  <c r="V6430">
        <f t="shared" si="3020"/>
        <v>8</v>
      </c>
      <c r="W6430">
        <f t="shared" si="3017"/>
        <v>5</v>
      </c>
      <c r="X6430">
        <f t="shared" si="3018"/>
        <v>2009</v>
      </c>
    </row>
    <row r="6431" spans="1:24" ht="12" customHeight="1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3034">C6431+2</f>
        <v>39996</v>
      </c>
      <c r="V6431">
        <f t="shared" si="3020"/>
        <v>2</v>
      </c>
      <c r="W6431">
        <f t="shared" si="3017"/>
        <v>7</v>
      </c>
      <c r="X6431">
        <f t="shared" si="3018"/>
        <v>2009</v>
      </c>
    </row>
    <row r="6432" spans="1:24" ht="12" customHeight="1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3034"/>
        <v>40033</v>
      </c>
      <c r="V6432">
        <f t="shared" si="3020"/>
        <v>8</v>
      </c>
      <c r="W6432">
        <f t="shared" si="3017"/>
        <v>8</v>
      </c>
      <c r="X6432">
        <f t="shared" si="3018"/>
        <v>2009</v>
      </c>
    </row>
    <row r="6433" spans="1:24" ht="12" customHeight="1">
      <c r="A6433" s="4">
        <v>7977</v>
      </c>
      <c r="B6433" s="4">
        <v>57059</v>
      </c>
      <c r="C6433" s="5">
        <f t="shared" ref="C6433:C6434" si="3035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3034"/>
        <v>40697</v>
      </c>
      <c r="V6433">
        <f t="shared" si="3020"/>
        <v>3</v>
      </c>
      <c r="W6433">
        <f t="shared" si="3017"/>
        <v>6</v>
      </c>
      <c r="X6433">
        <f t="shared" si="3018"/>
        <v>2011</v>
      </c>
    </row>
    <row r="6434" spans="1:24" ht="12" customHeight="1">
      <c r="A6434" s="4">
        <v>7978</v>
      </c>
      <c r="B6434" s="4">
        <v>57059</v>
      </c>
      <c r="C6434" s="5">
        <f t="shared" si="3035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3034"/>
        <v>40697</v>
      </c>
      <c r="V6434">
        <f t="shared" si="3020"/>
        <v>3</v>
      </c>
      <c r="W6434">
        <f t="shared" si="3017"/>
        <v>6</v>
      </c>
      <c r="X6434">
        <f t="shared" si="3018"/>
        <v>2011</v>
      </c>
    </row>
    <row r="6435" spans="1:24" ht="12" customHeight="1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3034"/>
        <v>40348</v>
      </c>
      <c r="V6435">
        <f t="shared" si="3020"/>
        <v>19</v>
      </c>
      <c r="W6435">
        <f t="shared" si="3017"/>
        <v>6</v>
      </c>
      <c r="X6435">
        <f t="shared" si="3018"/>
        <v>2010</v>
      </c>
    </row>
    <row r="6436" spans="1:24" ht="12" customHeight="1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  <c r="V6436">
        <f t="shared" si="3020"/>
        <v>16</v>
      </c>
      <c r="W6436">
        <f t="shared" si="3017"/>
        <v>9</v>
      </c>
      <c r="X6436">
        <f t="shared" si="3018"/>
        <v>2012</v>
      </c>
    </row>
    <row r="6437" spans="1:24" ht="12" customHeight="1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  <c r="V6437">
        <f t="shared" si="3020"/>
        <v>20</v>
      </c>
      <c r="W6437">
        <f t="shared" si="3017"/>
        <v>6</v>
      </c>
      <c r="X6437">
        <f t="shared" si="3018"/>
        <v>2010</v>
      </c>
    </row>
    <row r="6438" spans="1:24" ht="12" customHeight="1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  <c r="V6438">
        <f t="shared" si="3020"/>
        <v>25</v>
      </c>
      <c r="W6438">
        <f t="shared" si="3017"/>
        <v>10</v>
      </c>
      <c r="X6438">
        <f t="shared" si="3018"/>
        <v>2009</v>
      </c>
    </row>
    <row r="6439" spans="1:24" ht="12" customHeight="1">
      <c r="A6439" s="4">
        <v>8228</v>
      </c>
      <c r="B6439" s="4">
        <v>58818</v>
      </c>
      <c r="C6439" s="5">
        <f t="shared" ref="C6439:C6440" si="3036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  <c r="V6439">
        <f t="shared" si="3020"/>
        <v>16</v>
      </c>
      <c r="W6439">
        <f t="shared" si="3017"/>
        <v>4</v>
      </c>
      <c r="X6439">
        <f t="shared" si="3018"/>
        <v>2009</v>
      </c>
    </row>
    <row r="6440" spans="1:24" ht="12" customHeight="1">
      <c r="A6440" s="4">
        <v>8229</v>
      </c>
      <c r="B6440" s="4">
        <v>58818</v>
      </c>
      <c r="C6440" s="5">
        <f t="shared" si="3036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  <c r="V6440">
        <f t="shared" si="3020"/>
        <v>17</v>
      </c>
      <c r="W6440">
        <f t="shared" si="3017"/>
        <v>4</v>
      </c>
      <c r="X6440">
        <f t="shared" si="3018"/>
        <v>2009</v>
      </c>
    </row>
    <row r="6441" spans="1:24" ht="12" customHeight="1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3037">C6441+1</f>
        <v>40799</v>
      </c>
      <c r="V6441">
        <f t="shared" si="3020"/>
        <v>13</v>
      </c>
      <c r="W6441">
        <f t="shared" si="3017"/>
        <v>9</v>
      </c>
      <c r="X6441">
        <f t="shared" si="3018"/>
        <v>2011</v>
      </c>
    </row>
    <row r="6442" spans="1:24" ht="12" customHeight="1">
      <c r="A6442" s="4">
        <v>8301</v>
      </c>
      <c r="B6442" s="4">
        <v>59271</v>
      </c>
      <c r="C6442" s="5">
        <f t="shared" ref="C6442:C6443" si="3038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3037"/>
        <v>40659</v>
      </c>
      <c r="V6442">
        <f t="shared" si="3020"/>
        <v>26</v>
      </c>
      <c r="W6442">
        <f t="shared" si="3017"/>
        <v>4</v>
      </c>
      <c r="X6442">
        <f t="shared" si="3018"/>
        <v>2011</v>
      </c>
    </row>
    <row r="6443" spans="1:24" ht="12" customHeight="1">
      <c r="A6443" s="4">
        <v>8302</v>
      </c>
      <c r="B6443" s="4">
        <v>59271</v>
      </c>
      <c r="C6443" s="5">
        <f t="shared" si="3038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  <c r="V6443">
        <f t="shared" si="3020"/>
        <v>27</v>
      </c>
      <c r="W6443">
        <f t="shared" si="3017"/>
        <v>4</v>
      </c>
      <c r="X6443">
        <f t="shared" si="3018"/>
        <v>2011</v>
      </c>
    </row>
    <row r="6444" spans="1:24" ht="12" customHeight="1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3039">C6444+1</f>
        <v>41079</v>
      </c>
      <c r="V6444">
        <f t="shared" si="3020"/>
        <v>19</v>
      </c>
      <c r="W6444">
        <f t="shared" si="3017"/>
        <v>6</v>
      </c>
      <c r="X6444">
        <f t="shared" si="3018"/>
        <v>2012</v>
      </c>
    </row>
    <row r="6445" spans="1:24" ht="12" customHeight="1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3039"/>
        <v>40207</v>
      </c>
      <c r="V6445">
        <f t="shared" si="3020"/>
        <v>29</v>
      </c>
      <c r="W6445">
        <f t="shared" si="3017"/>
        <v>1</v>
      </c>
      <c r="X6445">
        <f t="shared" si="3018"/>
        <v>2010</v>
      </c>
    </row>
    <row r="6446" spans="1:24" ht="12" customHeight="1">
      <c r="A6446" s="4">
        <v>54</v>
      </c>
      <c r="B6446" s="4">
        <v>323</v>
      </c>
      <c r="C6446" s="5">
        <f t="shared" ref="C6446:C6447" si="3040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3041">C6446+2</f>
        <v>39899</v>
      </c>
      <c r="V6446">
        <f t="shared" si="3020"/>
        <v>27</v>
      </c>
      <c r="W6446">
        <f t="shared" si="3017"/>
        <v>3</v>
      </c>
      <c r="X6446">
        <f t="shared" si="3018"/>
        <v>2009</v>
      </c>
    </row>
    <row r="6447" spans="1:24" ht="12" customHeight="1">
      <c r="A6447" s="4">
        <v>55</v>
      </c>
      <c r="B6447" s="4">
        <v>323</v>
      </c>
      <c r="C6447" s="5">
        <f t="shared" si="3040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3041"/>
        <v>39899</v>
      </c>
      <c r="V6447">
        <f t="shared" si="3020"/>
        <v>27</v>
      </c>
      <c r="W6447">
        <f t="shared" si="3017"/>
        <v>3</v>
      </c>
      <c r="X6447">
        <f t="shared" si="3018"/>
        <v>2009</v>
      </c>
    </row>
    <row r="6448" spans="1:24" ht="12" customHeight="1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3041"/>
        <v>40778</v>
      </c>
      <c r="V6448">
        <f t="shared" si="3020"/>
        <v>23</v>
      </c>
      <c r="W6448">
        <f t="shared" si="3017"/>
        <v>8</v>
      </c>
      <c r="X6448">
        <f t="shared" si="3018"/>
        <v>2011</v>
      </c>
    </row>
    <row r="6449" spans="1:24" ht="12" customHeight="1">
      <c r="A6449" s="4">
        <v>367</v>
      </c>
      <c r="B6449" s="4">
        <v>2562</v>
      </c>
      <c r="C6449" s="5">
        <f t="shared" ref="C6449:C6451" si="3042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  <c r="V6449">
        <f t="shared" si="3020"/>
        <v>3</v>
      </c>
      <c r="W6449">
        <f t="shared" si="3017"/>
        <v>8</v>
      </c>
      <c r="X6449">
        <f t="shared" si="3018"/>
        <v>2012</v>
      </c>
    </row>
    <row r="6450" spans="1:24" ht="12" customHeight="1">
      <c r="A6450" s="4">
        <v>368</v>
      </c>
      <c r="B6450" s="4">
        <v>2562</v>
      </c>
      <c r="C6450" s="5">
        <f t="shared" si="3042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  <c r="V6450">
        <f t="shared" si="3020"/>
        <v>2</v>
      </c>
      <c r="W6450">
        <f t="shared" si="3017"/>
        <v>8</v>
      </c>
      <c r="X6450">
        <f t="shared" si="3018"/>
        <v>2012</v>
      </c>
    </row>
    <row r="6451" spans="1:24" ht="12" customHeight="1">
      <c r="A6451" s="4">
        <v>369</v>
      </c>
      <c r="B6451" s="4">
        <v>2562</v>
      </c>
      <c r="C6451" s="5">
        <f t="shared" si="3042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3043">C6451+1</f>
        <v>41122</v>
      </c>
      <c r="V6451">
        <f t="shared" si="3020"/>
        <v>1</v>
      </c>
      <c r="W6451">
        <f t="shared" si="3017"/>
        <v>8</v>
      </c>
      <c r="X6451">
        <f t="shared" si="3018"/>
        <v>2012</v>
      </c>
    </row>
    <row r="6452" spans="1:24" ht="12" customHeight="1">
      <c r="A6452" s="4">
        <v>600</v>
      </c>
      <c r="B6452" s="4">
        <v>4099</v>
      </c>
      <c r="C6452" s="5">
        <f t="shared" ref="C6452:C6455" si="3044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3043"/>
        <v>41142</v>
      </c>
      <c r="V6452">
        <f t="shared" si="3020"/>
        <v>21</v>
      </c>
      <c r="W6452">
        <f t="shared" si="3017"/>
        <v>8</v>
      </c>
      <c r="X6452">
        <f t="shared" si="3018"/>
        <v>2012</v>
      </c>
    </row>
    <row r="6453" spans="1:24" ht="12" customHeight="1">
      <c r="A6453" s="4">
        <v>601</v>
      </c>
      <c r="B6453" s="4">
        <v>4099</v>
      </c>
      <c r="C6453" s="5">
        <f t="shared" si="3044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  <c r="V6453">
        <f t="shared" si="3020"/>
        <v>23</v>
      </c>
      <c r="W6453">
        <f t="shared" si="3017"/>
        <v>8</v>
      </c>
      <c r="X6453">
        <f t="shared" si="3018"/>
        <v>2012</v>
      </c>
    </row>
    <row r="6454" spans="1:24" ht="12" customHeight="1">
      <c r="A6454" s="4">
        <v>602</v>
      </c>
      <c r="B6454" s="4">
        <v>4099</v>
      </c>
      <c r="C6454" s="5">
        <f t="shared" si="3044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  <c r="V6454">
        <f t="shared" si="3020"/>
        <v>21</v>
      </c>
      <c r="W6454">
        <f t="shared" si="3017"/>
        <v>8</v>
      </c>
      <c r="X6454">
        <f t="shared" si="3018"/>
        <v>2012</v>
      </c>
    </row>
    <row r="6455" spans="1:24" ht="12" customHeight="1">
      <c r="A6455" s="4">
        <v>603</v>
      </c>
      <c r="B6455" s="4">
        <v>4099</v>
      </c>
      <c r="C6455" s="5">
        <f t="shared" si="3044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  <c r="V6455">
        <f t="shared" si="3020"/>
        <v>22</v>
      </c>
      <c r="W6455">
        <f t="shared" si="3017"/>
        <v>8</v>
      </c>
      <c r="X6455">
        <f t="shared" si="3018"/>
        <v>2012</v>
      </c>
    </row>
    <row r="6456" spans="1:24" ht="12" customHeight="1">
      <c r="A6456" s="4">
        <v>770</v>
      </c>
      <c r="B6456" s="4">
        <v>5509</v>
      </c>
      <c r="C6456" s="5">
        <f t="shared" ref="C6456:C6457" si="3045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  <c r="V6456">
        <f t="shared" si="3020"/>
        <v>12</v>
      </c>
      <c r="W6456">
        <f t="shared" si="3017"/>
        <v>4</v>
      </c>
      <c r="X6456">
        <f t="shared" si="3018"/>
        <v>2009</v>
      </c>
    </row>
    <row r="6457" spans="1:24" ht="12" customHeight="1">
      <c r="A6457" s="4">
        <v>771</v>
      </c>
      <c r="B6457" s="4">
        <v>5509</v>
      </c>
      <c r="C6457" s="5">
        <f t="shared" si="3045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  <c r="V6457">
        <f t="shared" si="3020"/>
        <v>14</v>
      </c>
      <c r="W6457">
        <f t="shared" si="3017"/>
        <v>4</v>
      </c>
      <c r="X6457">
        <f t="shared" si="3018"/>
        <v>2009</v>
      </c>
    </row>
    <row r="6458" spans="1:24" ht="12" customHeight="1">
      <c r="A6458" s="4">
        <v>1107</v>
      </c>
      <c r="B6458" s="4">
        <v>8132</v>
      </c>
      <c r="C6458" s="5">
        <f t="shared" ref="C6458:C6459" si="3046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  <c r="V6458">
        <f t="shared" si="3020"/>
        <v>14</v>
      </c>
      <c r="W6458">
        <f t="shared" si="3017"/>
        <v>5</v>
      </c>
      <c r="X6458">
        <f t="shared" si="3018"/>
        <v>2009</v>
      </c>
    </row>
    <row r="6459" spans="1:24" ht="12" customHeight="1">
      <c r="A6459" s="4">
        <v>1108</v>
      </c>
      <c r="B6459" s="4">
        <v>8132</v>
      </c>
      <c r="C6459" s="5">
        <f t="shared" si="3046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  <c r="V6459">
        <f t="shared" si="3020"/>
        <v>21</v>
      </c>
      <c r="W6459">
        <f t="shared" si="3017"/>
        <v>5</v>
      </c>
      <c r="X6459">
        <f t="shared" si="3018"/>
        <v>2009</v>
      </c>
    </row>
    <row r="6460" spans="1:24" ht="12" customHeight="1">
      <c r="A6460" s="4">
        <v>1209</v>
      </c>
      <c r="B6460" s="4">
        <v>8868</v>
      </c>
      <c r="C6460" s="5">
        <f t="shared" ref="C6460:C6461" si="3047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  <c r="V6460">
        <f t="shared" si="3020"/>
        <v>6</v>
      </c>
      <c r="W6460">
        <f t="shared" si="3017"/>
        <v>2</v>
      </c>
      <c r="X6460">
        <f t="shared" si="3018"/>
        <v>2009</v>
      </c>
    </row>
    <row r="6461" spans="1:24" ht="12" customHeight="1">
      <c r="A6461" s="4">
        <v>1210</v>
      </c>
      <c r="B6461" s="4">
        <v>8868</v>
      </c>
      <c r="C6461" s="5">
        <f t="shared" si="3047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  <c r="V6461">
        <f t="shared" si="3020"/>
        <v>1</v>
      </c>
      <c r="W6461">
        <f t="shared" si="3017"/>
        <v>2</v>
      </c>
      <c r="X6461">
        <f t="shared" si="3018"/>
        <v>2009</v>
      </c>
    </row>
    <row r="6462" spans="1:24" ht="12" customHeight="1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3048">C6462+2</f>
        <v>40311</v>
      </c>
      <c r="V6462">
        <f t="shared" si="3020"/>
        <v>13</v>
      </c>
      <c r="W6462">
        <f t="shared" si="3017"/>
        <v>5</v>
      </c>
      <c r="X6462">
        <f t="shared" si="3018"/>
        <v>2010</v>
      </c>
    </row>
    <row r="6463" spans="1:24" ht="12" customHeight="1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3048"/>
        <v>40593</v>
      </c>
      <c r="V6463">
        <f t="shared" si="3020"/>
        <v>19</v>
      </c>
      <c r="W6463">
        <f t="shared" si="3017"/>
        <v>2</v>
      </c>
      <c r="X6463">
        <f t="shared" si="3018"/>
        <v>2011</v>
      </c>
    </row>
    <row r="6464" spans="1:24" ht="12" customHeight="1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  <c r="V6464">
        <f t="shared" si="3020"/>
        <v>2</v>
      </c>
      <c r="W6464">
        <f t="shared" si="3017"/>
        <v>12</v>
      </c>
      <c r="X6464">
        <f t="shared" si="3018"/>
        <v>2009</v>
      </c>
    </row>
    <row r="6465" spans="1:24" ht="12" customHeight="1">
      <c r="A6465" s="4">
        <v>1638</v>
      </c>
      <c r="B6465" s="4">
        <v>11843</v>
      </c>
      <c r="C6465" s="5">
        <f t="shared" ref="C6465:C6466" si="3049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3050">C6465+2</f>
        <v>40013</v>
      </c>
      <c r="V6465">
        <f t="shared" si="3020"/>
        <v>19</v>
      </c>
      <c r="W6465">
        <f t="shared" si="3017"/>
        <v>7</v>
      </c>
      <c r="X6465">
        <f t="shared" si="3018"/>
        <v>2009</v>
      </c>
    </row>
    <row r="6466" spans="1:24" ht="12" customHeight="1">
      <c r="A6466" s="4">
        <v>1639</v>
      </c>
      <c r="B6466" s="4">
        <v>11843</v>
      </c>
      <c r="C6466" s="5">
        <f t="shared" si="3049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3050"/>
        <v>40013</v>
      </c>
      <c r="V6466">
        <f t="shared" si="3020"/>
        <v>19</v>
      </c>
      <c r="W6466">
        <f t="shared" si="3017"/>
        <v>7</v>
      </c>
      <c r="X6466">
        <f t="shared" si="3018"/>
        <v>2009</v>
      </c>
    </row>
    <row r="6467" spans="1:24" ht="12" customHeight="1">
      <c r="A6467" s="4">
        <v>1679</v>
      </c>
      <c r="B6467" s="4">
        <v>12099</v>
      </c>
      <c r="C6467" s="5">
        <f t="shared" ref="C6467:C6468" si="3051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  <c r="V6467">
        <f t="shared" si="3020"/>
        <v>11</v>
      </c>
      <c r="W6467">
        <f t="shared" ref="W6467:W6530" si="3052">MONTH(U6467)</f>
        <v>9</v>
      </c>
      <c r="X6467">
        <f t="shared" ref="X6467:X6530" si="3053">YEAR(U6467)</f>
        <v>2009</v>
      </c>
    </row>
    <row r="6468" spans="1:24" ht="12" customHeight="1">
      <c r="A6468" s="4">
        <v>1680</v>
      </c>
      <c r="B6468" s="4">
        <v>12099</v>
      </c>
      <c r="C6468" s="5">
        <f t="shared" si="3051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3054">C6468+2</f>
        <v>40069</v>
      </c>
      <c r="V6468">
        <f t="shared" ref="V6468:V6531" si="3055">DAY(U6468)</f>
        <v>13</v>
      </c>
      <c r="W6468">
        <f t="shared" si="3052"/>
        <v>9</v>
      </c>
      <c r="X6468">
        <f t="shared" si="3053"/>
        <v>2009</v>
      </c>
    </row>
    <row r="6469" spans="1:24" ht="12" customHeight="1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3054"/>
        <v>40959</v>
      </c>
      <c r="V6469">
        <f t="shared" si="3055"/>
        <v>20</v>
      </c>
      <c r="W6469">
        <f t="shared" si="3052"/>
        <v>2</v>
      </c>
      <c r="X6469">
        <f t="shared" si="3053"/>
        <v>2012</v>
      </c>
    </row>
    <row r="6470" spans="1:24" ht="12" customHeight="1">
      <c r="A6470" s="4">
        <v>1944</v>
      </c>
      <c r="B6470" s="4">
        <v>13923</v>
      </c>
      <c r="C6470" s="5">
        <f t="shared" ref="C6470:C6472" si="3056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3054"/>
        <v>41100</v>
      </c>
      <c r="V6470">
        <f t="shared" si="3055"/>
        <v>10</v>
      </c>
      <c r="W6470">
        <f t="shared" si="3052"/>
        <v>7</v>
      </c>
      <c r="X6470">
        <f t="shared" si="3053"/>
        <v>2012</v>
      </c>
    </row>
    <row r="6471" spans="1:24" ht="12" customHeight="1">
      <c r="A6471" s="4">
        <v>1945</v>
      </c>
      <c r="B6471" s="4">
        <v>13923</v>
      </c>
      <c r="C6471" s="5">
        <f t="shared" si="3056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  <c r="V6471">
        <f t="shared" si="3055"/>
        <v>9</v>
      </c>
      <c r="W6471">
        <f t="shared" si="3052"/>
        <v>7</v>
      </c>
      <c r="X6471">
        <f t="shared" si="3053"/>
        <v>2012</v>
      </c>
    </row>
    <row r="6472" spans="1:24" ht="12" customHeight="1">
      <c r="A6472" s="4">
        <v>1946</v>
      </c>
      <c r="B6472" s="4">
        <v>13923</v>
      </c>
      <c r="C6472" s="5">
        <f t="shared" si="3056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  <c r="V6472">
        <f t="shared" si="3055"/>
        <v>10</v>
      </c>
      <c r="W6472">
        <f t="shared" si="3052"/>
        <v>7</v>
      </c>
      <c r="X6472">
        <f t="shared" si="3053"/>
        <v>2012</v>
      </c>
    </row>
    <row r="6473" spans="1:24" ht="12" customHeight="1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  <c r="V6473">
        <f t="shared" si="3055"/>
        <v>31</v>
      </c>
      <c r="W6473">
        <f t="shared" si="3052"/>
        <v>8</v>
      </c>
      <c r="X6473">
        <f t="shared" si="3053"/>
        <v>2012</v>
      </c>
    </row>
    <row r="6474" spans="1:24" ht="12" customHeight="1">
      <c r="A6474" s="4">
        <v>2310</v>
      </c>
      <c r="B6474" s="4">
        <v>16643</v>
      </c>
      <c r="C6474" s="5">
        <f t="shared" ref="C6474:C6475" si="3057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3058">C6474+4</f>
        <v>40283</v>
      </c>
      <c r="V6474">
        <f t="shared" si="3055"/>
        <v>15</v>
      </c>
      <c r="W6474">
        <f t="shared" si="3052"/>
        <v>4</v>
      </c>
      <c r="X6474">
        <f t="shared" si="3053"/>
        <v>2010</v>
      </c>
    </row>
    <row r="6475" spans="1:24" ht="12" customHeight="1">
      <c r="A6475" s="4">
        <v>2311</v>
      </c>
      <c r="B6475" s="4">
        <v>16643</v>
      </c>
      <c r="C6475" s="5">
        <f t="shared" si="3057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3058"/>
        <v>40283</v>
      </c>
      <c r="V6475">
        <f t="shared" si="3055"/>
        <v>15</v>
      </c>
      <c r="W6475">
        <f t="shared" si="3052"/>
        <v>4</v>
      </c>
      <c r="X6475">
        <f t="shared" si="3053"/>
        <v>2010</v>
      </c>
    </row>
    <row r="6476" spans="1:24" ht="12" customHeight="1">
      <c r="A6476" s="4">
        <v>2337</v>
      </c>
      <c r="B6476" s="4">
        <v>16807</v>
      </c>
      <c r="C6476" s="5">
        <f t="shared" ref="C6476:C6477" si="3059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  <c r="V6476">
        <f t="shared" si="3055"/>
        <v>16</v>
      </c>
      <c r="W6476">
        <f t="shared" si="3052"/>
        <v>1</v>
      </c>
      <c r="X6476">
        <f t="shared" si="3053"/>
        <v>2012</v>
      </c>
    </row>
    <row r="6477" spans="1:24" ht="12" customHeight="1">
      <c r="A6477" s="4">
        <v>2338</v>
      </c>
      <c r="B6477" s="4">
        <v>16807</v>
      </c>
      <c r="C6477" s="5">
        <f t="shared" si="3059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  <c r="V6477">
        <f t="shared" si="3055"/>
        <v>17</v>
      </c>
      <c r="W6477">
        <f t="shared" si="3052"/>
        <v>1</v>
      </c>
      <c r="X6477">
        <f t="shared" si="3053"/>
        <v>2012</v>
      </c>
    </row>
    <row r="6478" spans="1:24" ht="12" customHeight="1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  <c r="V6478">
        <f t="shared" si="3055"/>
        <v>29</v>
      </c>
      <c r="W6478">
        <f t="shared" si="3052"/>
        <v>10</v>
      </c>
      <c r="X6478">
        <f t="shared" si="3053"/>
        <v>2012</v>
      </c>
    </row>
    <row r="6479" spans="1:24" ht="12" customHeight="1">
      <c r="A6479" s="4">
        <v>2494</v>
      </c>
      <c r="B6479" s="4">
        <v>18147</v>
      </c>
      <c r="C6479" s="5">
        <f t="shared" ref="C6479:C6480" si="3060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3061">C6479+1</f>
        <v>40012</v>
      </c>
      <c r="V6479">
        <f t="shared" si="3055"/>
        <v>18</v>
      </c>
      <c r="W6479">
        <f t="shared" si="3052"/>
        <v>7</v>
      </c>
      <c r="X6479">
        <f t="shared" si="3053"/>
        <v>2009</v>
      </c>
    </row>
    <row r="6480" spans="1:24" ht="12" customHeight="1">
      <c r="A6480" s="4">
        <v>2495</v>
      </c>
      <c r="B6480" s="4">
        <v>18147</v>
      </c>
      <c r="C6480" s="5">
        <f t="shared" si="3060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3061"/>
        <v>40012</v>
      </c>
      <c r="V6480">
        <f t="shared" si="3055"/>
        <v>18</v>
      </c>
      <c r="W6480">
        <f t="shared" si="3052"/>
        <v>7</v>
      </c>
      <c r="X6480">
        <f t="shared" si="3053"/>
        <v>2009</v>
      </c>
    </row>
    <row r="6481" spans="1:24" ht="12" customHeight="1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3061"/>
        <v>41210</v>
      </c>
      <c r="V6481">
        <f t="shared" si="3055"/>
        <v>28</v>
      </c>
      <c r="W6481">
        <f t="shared" si="3052"/>
        <v>10</v>
      </c>
      <c r="X6481">
        <f t="shared" si="3053"/>
        <v>2012</v>
      </c>
    </row>
    <row r="6482" spans="1:24" ht="12" customHeight="1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  <c r="V6482">
        <f t="shared" si="3055"/>
        <v>3</v>
      </c>
      <c r="W6482">
        <f t="shared" si="3052"/>
        <v>7</v>
      </c>
      <c r="X6482">
        <f t="shared" si="3053"/>
        <v>2009</v>
      </c>
    </row>
    <row r="6483" spans="1:24" ht="12" customHeight="1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3062">C6483+2</f>
        <v>40402</v>
      </c>
      <c r="V6483">
        <f t="shared" si="3055"/>
        <v>12</v>
      </c>
      <c r="W6483">
        <f t="shared" si="3052"/>
        <v>8</v>
      </c>
      <c r="X6483">
        <f t="shared" si="3053"/>
        <v>2010</v>
      </c>
    </row>
    <row r="6484" spans="1:24" ht="12" customHeight="1">
      <c r="A6484" s="4">
        <v>2659</v>
      </c>
      <c r="B6484" s="4">
        <v>19207</v>
      </c>
      <c r="C6484" s="5">
        <f t="shared" ref="C6484:C6485" si="3063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3062"/>
        <v>40985</v>
      </c>
      <c r="V6484">
        <f t="shared" si="3055"/>
        <v>17</v>
      </c>
      <c r="W6484">
        <f t="shared" si="3052"/>
        <v>3</v>
      </c>
      <c r="X6484">
        <f t="shared" si="3053"/>
        <v>2012</v>
      </c>
    </row>
    <row r="6485" spans="1:24" ht="12" customHeight="1">
      <c r="A6485" s="4">
        <v>2660</v>
      </c>
      <c r="B6485" s="4">
        <v>19207</v>
      </c>
      <c r="C6485" s="5">
        <f t="shared" si="3063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  <c r="V6485">
        <f t="shared" si="3055"/>
        <v>16</v>
      </c>
      <c r="W6485">
        <f t="shared" si="3052"/>
        <v>3</v>
      </c>
      <c r="X6485">
        <f t="shared" si="3053"/>
        <v>2012</v>
      </c>
    </row>
    <row r="6486" spans="1:24" ht="12" customHeight="1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  <c r="V6486">
        <f t="shared" si="3055"/>
        <v>27</v>
      </c>
      <c r="W6486">
        <f t="shared" si="3052"/>
        <v>5</v>
      </c>
      <c r="X6486">
        <f t="shared" si="3053"/>
        <v>2010</v>
      </c>
    </row>
    <row r="6487" spans="1:24" ht="12" customHeight="1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3064">C6487+1</f>
        <v>40142</v>
      </c>
      <c r="V6487">
        <f t="shared" si="3055"/>
        <v>25</v>
      </c>
      <c r="W6487">
        <f t="shared" si="3052"/>
        <v>11</v>
      </c>
      <c r="X6487">
        <f t="shared" si="3053"/>
        <v>2009</v>
      </c>
    </row>
    <row r="6488" spans="1:24" ht="12" customHeight="1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3064"/>
        <v>41134</v>
      </c>
      <c r="V6488">
        <f t="shared" si="3055"/>
        <v>13</v>
      </c>
      <c r="W6488">
        <f t="shared" si="3052"/>
        <v>8</v>
      </c>
      <c r="X6488">
        <f t="shared" si="3053"/>
        <v>2012</v>
      </c>
    </row>
    <row r="6489" spans="1:24" ht="12" customHeight="1">
      <c r="A6489" s="4">
        <v>2778</v>
      </c>
      <c r="B6489" s="4">
        <v>20066</v>
      </c>
      <c r="C6489" s="5">
        <f t="shared" ref="C6489:C6490" si="3065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3064"/>
        <v>41155</v>
      </c>
      <c r="V6489">
        <f t="shared" si="3055"/>
        <v>3</v>
      </c>
      <c r="W6489">
        <f t="shared" si="3052"/>
        <v>9</v>
      </c>
      <c r="X6489">
        <f t="shared" si="3053"/>
        <v>2012</v>
      </c>
    </row>
    <row r="6490" spans="1:24" ht="12" customHeight="1">
      <c r="A6490" s="4">
        <v>2779</v>
      </c>
      <c r="B6490" s="4">
        <v>20066</v>
      </c>
      <c r="C6490" s="5">
        <f t="shared" si="3065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  <c r="V6490">
        <f t="shared" si="3055"/>
        <v>4</v>
      </c>
      <c r="W6490">
        <f t="shared" si="3052"/>
        <v>9</v>
      </c>
      <c r="X6490">
        <f t="shared" si="3053"/>
        <v>2012</v>
      </c>
    </row>
    <row r="6491" spans="1:24" ht="12" customHeight="1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  <c r="V6491">
        <f t="shared" si="3055"/>
        <v>16</v>
      </c>
      <c r="W6491">
        <f t="shared" si="3052"/>
        <v>4</v>
      </c>
      <c r="X6491">
        <f t="shared" si="3053"/>
        <v>2012</v>
      </c>
    </row>
    <row r="6492" spans="1:24" ht="12" customHeight="1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  <c r="V6492">
        <f t="shared" si="3055"/>
        <v>8</v>
      </c>
      <c r="W6492">
        <f t="shared" si="3052"/>
        <v>12</v>
      </c>
      <c r="X6492">
        <f t="shared" si="3053"/>
        <v>2011</v>
      </c>
    </row>
    <row r="6493" spans="1:24" ht="12" customHeight="1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  <c r="V6493">
        <f t="shared" si="3055"/>
        <v>16</v>
      </c>
      <c r="W6493">
        <f t="shared" si="3052"/>
        <v>10</v>
      </c>
      <c r="X6493">
        <f t="shared" si="3053"/>
        <v>2010</v>
      </c>
    </row>
    <row r="6494" spans="1:24" ht="12" customHeight="1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  <c r="V6494">
        <f t="shared" si="3055"/>
        <v>10</v>
      </c>
      <c r="W6494">
        <f t="shared" si="3052"/>
        <v>10</v>
      </c>
      <c r="X6494">
        <f t="shared" si="3053"/>
        <v>2009</v>
      </c>
    </row>
    <row r="6495" spans="1:24" ht="12" customHeight="1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  <c r="V6495">
        <f t="shared" si="3055"/>
        <v>29</v>
      </c>
      <c r="W6495">
        <f t="shared" si="3052"/>
        <v>9</v>
      </c>
      <c r="X6495">
        <f t="shared" si="3053"/>
        <v>2010</v>
      </c>
    </row>
    <row r="6496" spans="1:24" ht="12" customHeight="1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  <c r="V6496">
        <f t="shared" si="3055"/>
        <v>11</v>
      </c>
      <c r="W6496">
        <f t="shared" si="3052"/>
        <v>10</v>
      </c>
      <c r="X6496">
        <f t="shared" si="3053"/>
        <v>2011</v>
      </c>
    </row>
    <row r="6497" spans="1:24" ht="12" customHeight="1">
      <c r="A6497" s="4">
        <v>3263</v>
      </c>
      <c r="B6497" s="4">
        <v>23361</v>
      </c>
      <c r="C6497" s="5">
        <f t="shared" ref="C6497:C6499" si="3066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3067">C6497+1</f>
        <v>40363</v>
      </c>
      <c r="V6497">
        <f t="shared" si="3055"/>
        <v>4</v>
      </c>
      <c r="W6497">
        <f t="shared" si="3052"/>
        <v>7</v>
      </c>
      <c r="X6497">
        <f t="shared" si="3053"/>
        <v>2010</v>
      </c>
    </row>
    <row r="6498" spans="1:24" ht="12" customHeight="1">
      <c r="A6498" s="4">
        <v>3264</v>
      </c>
      <c r="B6498" s="4">
        <v>23361</v>
      </c>
      <c r="C6498" s="5">
        <f t="shared" si="3066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3067"/>
        <v>40363</v>
      </c>
      <c r="V6498">
        <f t="shared" si="3055"/>
        <v>4</v>
      </c>
      <c r="W6498">
        <f t="shared" si="3052"/>
        <v>7</v>
      </c>
      <c r="X6498">
        <f t="shared" si="3053"/>
        <v>2010</v>
      </c>
    </row>
    <row r="6499" spans="1:24" ht="12" customHeight="1">
      <c r="A6499" s="4">
        <v>3265</v>
      </c>
      <c r="B6499" s="4">
        <v>23361</v>
      </c>
      <c r="C6499" s="5">
        <f t="shared" si="3066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  <c r="V6499">
        <f t="shared" si="3055"/>
        <v>3</v>
      </c>
      <c r="W6499">
        <f t="shared" si="3052"/>
        <v>7</v>
      </c>
      <c r="X6499">
        <f t="shared" si="3053"/>
        <v>2010</v>
      </c>
    </row>
    <row r="6500" spans="1:24" ht="12" customHeight="1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  <c r="V6500">
        <f t="shared" si="3055"/>
        <v>20</v>
      </c>
      <c r="W6500">
        <f t="shared" si="3052"/>
        <v>6</v>
      </c>
      <c r="X6500">
        <f t="shared" si="3053"/>
        <v>2010</v>
      </c>
    </row>
    <row r="6501" spans="1:24" ht="12" customHeight="1">
      <c r="A6501" s="4">
        <v>3278</v>
      </c>
      <c r="B6501" s="4">
        <v>23427</v>
      </c>
      <c r="C6501" s="5">
        <f t="shared" ref="C6501:C6502" si="3068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  <c r="V6501">
        <f t="shared" si="3055"/>
        <v>15</v>
      </c>
      <c r="W6501">
        <f t="shared" si="3052"/>
        <v>8</v>
      </c>
      <c r="X6501">
        <f t="shared" si="3053"/>
        <v>2011</v>
      </c>
    </row>
    <row r="6502" spans="1:24" ht="12" customHeight="1">
      <c r="A6502" s="4">
        <v>3279</v>
      </c>
      <c r="B6502" s="4">
        <v>23427</v>
      </c>
      <c r="C6502" s="5">
        <f t="shared" si="3068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  <c r="V6502">
        <f t="shared" si="3055"/>
        <v>17</v>
      </c>
      <c r="W6502">
        <f t="shared" si="3052"/>
        <v>8</v>
      </c>
      <c r="X6502">
        <f t="shared" si="3053"/>
        <v>2011</v>
      </c>
    </row>
    <row r="6503" spans="1:24" ht="12" customHeight="1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  <c r="V6503">
        <f t="shared" si="3055"/>
        <v>19</v>
      </c>
      <c r="W6503">
        <f t="shared" si="3052"/>
        <v>3</v>
      </c>
      <c r="X6503">
        <f t="shared" si="3053"/>
        <v>2009</v>
      </c>
    </row>
    <row r="6504" spans="1:24" ht="12" customHeight="1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  <c r="V6504">
        <f t="shared" si="3055"/>
        <v>25</v>
      </c>
      <c r="W6504">
        <f t="shared" si="3052"/>
        <v>6</v>
      </c>
      <c r="X6504">
        <f t="shared" si="3053"/>
        <v>2011</v>
      </c>
    </row>
    <row r="6505" spans="1:24" ht="12" customHeight="1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3069">C6505+1</f>
        <v>41136</v>
      </c>
      <c r="V6505">
        <f t="shared" si="3055"/>
        <v>15</v>
      </c>
      <c r="W6505">
        <f t="shared" si="3052"/>
        <v>8</v>
      </c>
      <c r="X6505">
        <f t="shared" si="3053"/>
        <v>2012</v>
      </c>
    </row>
    <row r="6506" spans="1:24" ht="12" customHeight="1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3069"/>
        <v>40031</v>
      </c>
      <c r="V6506">
        <f t="shared" si="3055"/>
        <v>6</v>
      </c>
      <c r="W6506">
        <f t="shared" si="3052"/>
        <v>8</v>
      </c>
      <c r="X6506">
        <f t="shared" si="3053"/>
        <v>2009</v>
      </c>
    </row>
    <row r="6507" spans="1:24" ht="12" customHeight="1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  <c r="V6507">
        <f t="shared" si="3055"/>
        <v>24</v>
      </c>
      <c r="W6507">
        <f t="shared" si="3052"/>
        <v>5</v>
      </c>
      <c r="X6507">
        <f t="shared" si="3053"/>
        <v>2009</v>
      </c>
    </row>
    <row r="6508" spans="1:24" ht="12" customHeight="1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  <c r="V6508">
        <f t="shared" si="3055"/>
        <v>5</v>
      </c>
      <c r="W6508">
        <f t="shared" si="3052"/>
        <v>9</v>
      </c>
      <c r="X6508">
        <f t="shared" si="3053"/>
        <v>2010</v>
      </c>
    </row>
    <row r="6509" spans="1:24" ht="12" customHeight="1">
      <c r="A6509" s="4">
        <v>3680</v>
      </c>
      <c r="B6509" s="4">
        <v>26336</v>
      </c>
      <c r="C6509" s="5">
        <f t="shared" ref="C6509:C6510" si="3070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  <c r="V6509">
        <f t="shared" si="3055"/>
        <v>28</v>
      </c>
      <c r="W6509">
        <f t="shared" si="3052"/>
        <v>5</v>
      </c>
      <c r="X6509">
        <f t="shared" si="3053"/>
        <v>2012</v>
      </c>
    </row>
    <row r="6510" spans="1:24" ht="12" customHeight="1">
      <c r="A6510" s="4">
        <v>3681</v>
      </c>
      <c r="B6510" s="4">
        <v>26336</v>
      </c>
      <c r="C6510" s="5">
        <f t="shared" si="3070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3071">C6510+1</f>
        <v>41056</v>
      </c>
      <c r="V6510">
        <f t="shared" si="3055"/>
        <v>27</v>
      </c>
      <c r="W6510">
        <f t="shared" si="3052"/>
        <v>5</v>
      </c>
      <c r="X6510">
        <f t="shared" si="3053"/>
        <v>2012</v>
      </c>
    </row>
    <row r="6511" spans="1:24" ht="12" customHeight="1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3071"/>
        <v>40732</v>
      </c>
      <c r="V6511">
        <f t="shared" si="3055"/>
        <v>8</v>
      </c>
      <c r="W6511">
        <f t="shared" si="3052"/>
        <v>7</v>
      </c>
      <c r="X6511">
        <f t="shared" si="3053"/>
        <v>2011</v>
      </c>
    </row>
    <row r="6512" spans="1:24" ht="12" customHeight="1">
      <c r="A6512" s="4">
        <v>3920</v>
      </c>
      <c r="B6512" s="4">
        <v>27969</v>
      </c>
      <c r="C6512" s="5">
        <f t="shared" ref="C6512:C6514" si="3072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  <c r="V6512">
        <f t="shared" si="3055"/>
        <v>15</v>
      </c>
      <c r="W6512">
        <f t="shared" si="3052"/>
        <v>6</v>
      </c>
      <c r="X6512">
        <f t="shared" si="3053"/>
        <v>2010</v>
      </c>
    </row>
    <row r="6513" spans="1:24" ht="12" customHeight="1">
      <c r="A6513" s="4">
        <v>3921</v>
      </c>
      <c r="B6513" s="4">
        <v>27969</v>
      </c>
      <c r="C6513" s="5">
        <f t="shared" si="3072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  <c r="V6513">
        <f t="shared" si="3055"/>
        <v>12</v>
      </c>
      <c r="W6513">
        <f t="shared" si="3052"/>
        <v>6</v>
      </c>
      <c r="X6513">
        <f t="shared" si="3053"/>
        <v>2010</v>
      </c>
    </row>
    <row r="6514" spans="1:24" ht="12" customHeight="1">
      <c r="A6514" s="4">
        <v>3922</v>
      </c>
      <c r="B6514" s="4">
        <v>27969</v>
      </c>
      <c r="C6514" s="5">
        <f t="shared" si="3072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  <c r="V6514">
        <f t="shared" si="3055"/>
        <v>13</v>
      </c>
      <c r="W6514">
        <f t="shared" si="3052"/>
        <v>6</v>
      </c>
      <c r="X6514">
        <f t="shared" si="3053"/>
        <v>2010</v>
      </c>
    </row>
    <row r="6515" spans="1:24" ht="12" customHeight="1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3073">C6515+2</f>
        <v>39960</v>
      </c>
      <c r="V6515">
        <f t="shared" si="3055"/>
        <v>27</v>
      </c>
      <c r="W6515">
        <f t="shared" si="3052"/>
        <v>5</v>
      </c>
      <c r="X6515">
        <f t="shared" si="3053"/>
        <v>2009</v>
      </c>
    </row>
    <row r="6516" spans="1:24" ht="12" customHeight="1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3073"/>
        <v>41270</v>
      </c>
      <c r="V6516">
        <f t="shared" si="3055"/>
        <v>27</v>
      </c>
      <c r="W6516">
        <f t="shared" si="3052"/>
        <v>12</v>
      </c>
      <c r="X6516">
        <f t="shared" si="3053"/>
        <v>2012</v>
      </c>
    </row>
    <row r="6517" spans="1:24" ht="12" customHeight="1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3073"/>
        <v>41149</v>
      </c>
      <c r="V6517">
        <f t="shared" si="3055"/>
        <v>28</v>
      </c>
      <c r="W6517">
        <f t="shared" si="3052"/>
        <v>8</v>
      </c>
      <c r="X6517">
        <f t="shared" si="3053"/>
        <v>2012</v>
      </c>
    </row>
    <row r="6518" spans="1:24" ht="12" customHeight="1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3073"/>
        <v>40721</v>
      </c>
      <c r="V6518">
        <f t="shared" si="3055"/>
        <v>27</v>
      </c>
      <c r="W6518">
        <f t="shared" si="3052"/>
        <v>6</v>
      </c>
      <c r="X6518">
        <f t="shared" si="3053"/>
        <v>2011</v>
      </c>
    </row>
    <row r="6519" spans="1:24" ht="12" customHeight="1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  <c r="V6519">
        <f t="shared" si="3055"/>
        <v>23</v>
      </c>
      <c r="W6519">
        <f t="shared" si="3052"/>
        <v>12</v>
      </c>
      <c r="X6519">
        <f t="shared" si="3053"/>
        <v>2010</v>
      </c>
    </row>
    <row r="6520" spans="1:24" ht="12" customHeight="1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  <c r="V6520">
        <f t="shared" si="3055"/>
        <v>10</v>
      </c>
      <c r="W6520">
        <f t="shared" si="3052"/>
        <v>9</v>
      </c>
      <c r="X6520">
        <f t="shared" si="3053"/>
        <v>2011</v>
      </c>
    </row>
    <row r="6521" spans="1:24" ht="12" customHeight="1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3074">C6521+2</f>
        <v>41234</v>
      </c>
      <c r="V6521">
        <f t="shared" si="3055"/>
        <v>21</v>
      </c>
      <c r="W6521">
        <f t="shared" si="3052"/>
        <v>11</v>
      </c>
      <c r="X6521">
        <f t="shared" si="3053"/>
        <v>2012</v>
      </c>
    </row>
    <row r="6522" spans="1:24" ht="12" customHeight="1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3074"/>
        <v>39851</v>
      </c>
      <c r="V6522">
        <f t="shared" si="3055"/>
        <v>7</v>
      </c>
      <c r="W6522">
        <f t="shared" si="3052"/>
        <v>2</v>
      </c>
      <c r="X6522">
        <f t="shared" si="3053"/>
        <v>2009</v>
      </c>
    </row>
    <row r="6523" spans="1:24" ht="12" customHeight="1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3074"/>
        <v>41216</v>
      </c>
      <c r="V6523">
        <f t="shared" si="3055"/>
        <v>3</v>
      </c>
      <c r="W6523">
        <f t="shared" si="3052"/>
        <v>11</v>
      </c>
      <c r="X6523">
        <f t="shared" si="3053"/>
        <v>2012</v>
      </c>
    </row>
    <row r="6524" spans="1:24" ht="12" customHeight="1">
      <c r="A6524" s="4">
        <v>5025</v>
      </c>
      <c r="B6524" s="4">
        <v>35840</v>
      </c>
      <c r="C6524" s="5">
        <f t="shared" ref="C6524:C6525" si="3075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  <c r="V6524">
        <f t="shared" si="3055"/>
        <v>30</v>
      </c>
      <c r="W6524">
        <f t="shared" si="3052"/>
        <v>5</v>
      </c>
      <c r="X6524">
        <f t="shared" si="3053"/>
        <v>2010</v>
      </c>
    </row>
    <row r="6525" spans="1:24" ht="12" customHeight="1">
      <c r="A6525" s="4">
        <v>5026</v>
      </c>
      <c r="B6525" s="4">
        <v>35840</v>
      </c>
      <c r="C6525" s="5">
        <f t="shared" si="3075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  <c r="V6525">
        <f t="shared" si="3055"/>
        <v>31</v>
      </c>
      <c r="W6525">
        <f t="shared" si="3052"/>
        <v>5</v>
      </c>
      <c r="X6525">
        <f t="shared" si="3053"/>
        <v>2010</v>
      </c>
    </row>
    <row r="6526" spans="1:24" ht="12" customHeight="1">
      <c r="A6526" s="4">
        <v>5059</v>
      </c>
      <c r="B6526" s="4">
        <v>36069</v>
      </c>
      <c r="C6526" s="5">
        <f t="shared" ref="C6526:C6528" si="3076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  <c r="V6526">
        <f t="shared" si="3055"/>
        <v>10</v>
      </c>
      <c r="W6526">
        <f t="shared" si="3052"/>
        <v>12</v>
      </c>
      <c r="X6526">
        <f t="shared" si="3053"/>
        <v>2009</v>
      </c>
    </row>
    <row r="6527" spans="1:24" ht="12" customHeight="1">
      <c r="A6527" s="4">
        <v>5060</v>
      </c>
      <c r="B6527" s="4">
        <v>36069</v>
      </c>
      <c r="C6527" s="5">
        <f t="shared" si="3076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  <c r="V6527">
        <f t="shared" si="3055"/>
        <v>12</v>
      </c>
      <c r="W6527">
        <f t="shared" si="3052"/>
        <v>12</v>
      </c>
      <c r="X6527">
        <f t="shared" si="3053"/>
        <v>2009</v>
      </c>
    </row>
    <row r="6528" spans="1:24" ht="12" customHeight="1">
      <c r="A6528" s="4">
        <v>5061</v>
      </c>
      <c r="B6528" s="4">
        <v>36069</v>
      </c>
      <c r="C6528" s="5">
        <f t="shared" si="3076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3077">C6528+2</f>
        <v>40154</v>
      </c>
      <c r="V6528">
        <f t="shared" si="3055"/>
        <v>7</v>
      </c>
      <c r="W6528">
        <f t="shared" si="3052"/>
        <v>12</v>
      </c>
      <c r="X6528">
        <f t="shared" si="3053"/>
        <v>2009</v>
      </c>
    </row>
    <row r="6529" spans="1:24" ht="12" customHeight="1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3077"/>
        <v>40867</v>
      </c>
      <c r="V6529">
        <f t="shared" si="3055"/>
        <v>20</v>
      </c>
      <c r="W6529">
        <f t="shared" si="3052"/>
        <v>11</v>
      </c>
      <c r="X6529">
        <f t="shared" si="3053"/>
        <v>2011</v>
      </c>
    </row>
    <row r="6530" spans="1:24" ht="12" customHeight="1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  <c r="V6530">
        <f t="shared" si="3055"/>
        <v>19</v>
      </c>
      <c r="W6530">
        <f t="shared" si="3052"/>
        <v>1</v>
      </c>
      <c r="X6530">
        <f t="shared" si="3053"/>
        <v>2011</v>
      </c>
    </row>
    <row r="6531" spans="1:24" ht="12" customHeight="1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  <c r="V6531">
        <f t="shared" si="3055"/>
        <v>1</v>
      </c>
      <c r="W6531">
        <f t="shared" ref="W6531:W6594" si="3078">MONTH(U6531)</f>
        <v>1</v>
      </c>
      <c r="X6531">
        <f t="shared" ref="X6531:X6594" si="3079">YEAR(U6531)</f>
        <v>2012</v>
      </c>
    </row>
    <row r="6532" spans="1:24" ht="12" customHeight="1">
      <c r="A6532" s="4">
        <v>5517</v>
      </c>
      <c r="B6532" s="4">
        <v>39111</v>
      </c>
      <c r="C6532" s="5">
        <f t="shared" ref="C6532:C6533" si="3080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  <c r="V6532">
        <f t="shared" ref="V6532:V6595" si="3081">DAY(U6532)</f>
        <v>28</v>
      </c>
      <c r="W6532">
        <f t="shared" si="3078"/>
        <v>7</v>
      </c>
      <c r="X6532">
        <f t="shared" si="3079"/>
        <v>2011</v>
      </c>
    </row>
    <row r="6533" spans="1:24" ht="12" customHeight="1">
      <c r="A6533" s="4">
        <v>5518</v>
      </c>
      <c r="B6533" s="4">
        <v>39111</v>
      </c>
      <c r="C6533" s="5">
        <f t="shared" si="3080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  <c r="V6533">
        <f t="shared" si="3081"/>
        <v>27</v>
      </c>
      <c r="W6533">
        <f t="shared" si="3078"/>
        <v>7</v>
      </c>
      <c r="X6533">
        <f t="shared" si="3079"/>
        <v>2011</v>
      </c>
    </row>
    <row r="6534" spans="1:24" ht="12" customHeight="1">
      <c r="A6534" s="4">
        <v>5520</v>
      </c>
      <c r="B6534" s="4">
        <v>39139</v>
      </c>
      <c r="C6534" s="5">
        <f t="shared" ref="C6534:C6536" si="3082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  <c r="V6534">
        <f t="shared" si="3081"/>
        <v>13</v>
      </c>
      <c r="W6534">
        <f t="shared" si="3078"/>
        <v>11</v>
      </c>
      <c r="X6534">
        <f t="shared" si="3079"/>
        <v>2010</v>
      </c>
    </row>
    <row r="6535" spans="1:24" ht="12" customHeight="1">
      <c r="A6535" s="4">
        <v>5521</v>
      </c>
      <c r="B6535" s="4">
        <v>39139</v>
      </c>
      <c r="C6535" s="5">
        <f t="shared" si="3082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3083">C6535+2</f>
        <v>40497</v>
      </c>
      <c r="V6535">
        <f t="shared" si="3081"/>
        <v>15</v>
      </c>
      <c r="W6535">
        <f t="shared" si="3078"/>
        <v>11</v>
      </c>
      <c r="X6535">
        <f t="shared" si="3079"/>
        <v>2010</v>
      </c>
    </row>
    <row r="6536" spans="1:24" ht="12" customHeight="1">
      <c r="A6536" s="4">
        <v>5522</v>
      </c>
      <c r="B6536" s="4">
        <v>39139</v>
      </c>
      <c r="C6536" s="5">
        <f t="shared" si="3082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3083"/>
        <v>40497</v>
      </c>
      <c r="V6536">
        <f t="shared" si="3081"/>
        <v>15</v>
      </c>
      <c r="W6536">
        <f t="shared" si="3078"/>
        <v>11</v>
      </c>
      <c r="X6536">
        <f t="shared" si="3079"/>
        <v>2010</v>
      </c>
    </row>
    <row r="6537" spans="1:24" ht="12" customHeight="1">
      <c r="A6537" s="4">
        <v>5573</v>
      </c>
      <c r="B6537" s="4">
        <v>39490</v>
      </c>
      <c r="C6537" s="5">
        <f t="shared" ref="C6537:C6538" si="3084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  <c r="V6537">
        <f t="shared" si="3081"/>
        <v>12</v>
      </c>
      <c r="W6537">
        <f t="shared" si="3078"/>
        <v>8</v>
      </c>
      <c r="X6537">
        <f t="shared" si="3079"/>
        <v>2012</v>
      </c>
    </row>
    <row r="6538" spans="1:24" ht="12" customHeight="1">
      <c r="A6538" s="4">
        <v>5574</v>
      </c>
      <c r="B6538" s="4">
        <v>39490</v>
      </c>
      <c r="C6538" s="5">
        <f t="shared" si="3084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  <c r="V6538">
        <f t="shared" si="3081"/>
        <v>16</v>
      </c>
      <c r="W6538">
        <f t="shared" si="3078"/>
        <v>8</v>
      </c>
      <c r="X6538">
        <f t="shared" si="3079"/>
        <v>2012</v>
      </c>
    </row>
    <row r="6539" spans="1:24" ht="12" customHeight="1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  <c r="V6539">
        <f t="shared" si="3081"/>
        <v>11</v>
      </c>
      <c r="W6539">
        <f t="shared" si="3078"/>
        <v>6</v>
      </c>
      <c r="X6539">
        <f t="shared" si="3079"/>
        <v>2012</v>
      </c>
    </row>
    <row r="6540" spans="1:24" ht="12" customHeight="1">
      <c r="A6540" s="4">
        <v>5667</v>
      </c>
      <c r="B6540" s="4">
        <v>40098</v>
      </c>
      <c r="C6540" s="5">
        <f t="shared" ref="C6540:C6541" si="3085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  <c r="V6540">
        <f t="shared" si="3081"/>
        <v>7</v>
      </c>
      <c r="W6540">
        <f t="shared" si="3078"/>
        <v>2</v>
      </c>
      <c r="X6540">
        <f t="shared" si="3079"/>
        <v>2012</v>
      </c>
    </row>
    <row r="6541" spans="1:24" ht="12" customHeight="1">
      <c r="A6541" s="4">
        <v>5668</v>
      </c>
      <c r="B6541" s="4">
        <v>40098</v>
      </c>
      <c r="C6541" s="5">
        <f t="shared" si="3085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  <c r="V6541">
        <f t="shared" si="3081"/>
        <v>9</v>
      </c>
      <c r="W6541">
        <f t="shared" si="3078"/>
        <v>2</v>
      </c>
      <c r="X6541">
        <f t="shared" si="3079"/>
        <v>2012</v>
      </c>
    </row>
    <row r="6542" spans="1:24" ht="12" customHeight="1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  <c r="V6542">
        <f t="shared" si="3081"/>
        <v>29</v>
      </c>
      <c r="W6542">
        <f t="shared" si="3078"/>
        <v>3</v>
      </c>
      <c r="X6542">
        <f t="shared" si="3079"/>
        <v>2012</v>
      </c>
    </row>
    <row r="6543" spans="1:24" ht="12" customHeight="1">
      <c r="A6543" s="4">
        <v>5937</v>
      </c>
      <c r="B6543" s="4">
        <v>42115</v>
      </c>
      <c r="C6543" s="5">
        <f t="shared" ref="C6543:C6544" si="3086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  <c r="V6543">
        <f t="shared" si="3081"/>
        <v>18</v>
      </c>
      <c r="W6543">
        <f t="shared" si="3078"/>
        <v>2</v>
      </c>
      <c r="X6543">
        <f t="shared" si="3079"/>
        <v>2012</v>
      </c>
    </row>
    <row r="6544" spans="1:24" ht="12" customHeight="1">
      <c r="A6544" s="4">
        <v>5938</v>
      </c>
      <c r="B6544" s="4">
        <v>42115</v>
      </c>
      <c r="C6544" s="5">
        <f t="shared" si="3086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3087">C6544+1</f>
        <v>40958</v>
      </c>
      <c r="V6544">
        <f t="shared" si="3081"/>
        <v>19</v>
      </c>
      <c r="W6544">
        <f t="shared" si="3078"/>
        <v>2</v>
      </c>
      <c r="X6544">
        <f t="shared" si="3079"/>
        <v>2012</v>
      </c>
    </row>
    <row r="6545" spans="1:24" ht="12" customHeight="1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3087"/>
        <v>40855</v>
      </c>
      <c r="V6545">
        <f t="shared" si="3081"/>
        <v>8</v>
      </c>
      <c r="W6545">
        <f t="shared" si="3078"/>
        <v>11</v>
      </c>
      <c r="X6545">
        <f t="shared" si="3079"/>
        <v>2011</v>
      </c>
    </row>
    <row r="6546" spans="1:24" ht="12" customHeight="1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  <c r="V6546">
        <f t="shared" si="3081"/>
        <v>18</v>
      </c>
      <c r="W6546">
        <f t="shared" si="3078"/>
        <v>4</v>
      </c>
      <c r="X6546">
        <f t="shared" si="3079"/>
        <v>2012</v>
      </c>
    </row>
    <row r="6547" spans="1:24" ht="12" customHeight="1">
      <c r="A6547" s="4">
        <v>6452</v>
      </c>
      <c r="B6547" s="4">
        <v>45958</v>
      </c>
      <c r="C6547" s="5">
        <f t="shared" ref="C6547:C6548" si="3088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  <c r="V6547">
        <f t="shared" si="3081"/>
        <v>26</v>
      </c>
      <c r="W6547">
        <f t="shared" si="3078"/>
        <v>5</v>
      </c>
      <c r="X6547">
        <f t="shared" si="3079"/>
        <v>2011</v>
      </c>
    </row>
    <row r="6548" spans="1:24" ht="12" customHeight="1">
      <c r="A6548" s="4">
        <v>6453</v>
      </c>
      <c r="B6548" s="4">
        <v>45958</v>
      </c>
      <c r="C6548" s="5">
        <f t="shared" si="3088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  <c r="V6548">
        <f t="shared" si="3081"/>
        <v>27</v>
      </c>
      <c r="W6548">
        <f t="shared" si="3078"/>
        <v>5</v>
      </c>
      <c r="X6548">
        <f t="shared" si="3079"/>
        <v>2011</v>
      </c>
    </row>
    <row r="6549" spans="1:24" ht="12" customHeight="1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  <c r="V6549">
        <f t="shared" si="3081"/>
        <v>3</v>
      </c>
      <c r="W6549">
        <f t="shared" si="3078"/>
        <v>1</v>
      </c>
      <c r="X6549">
        <f t="shared" si="3079"/>
        <v>2012</v>
      </c>
    </row>
    <row r="6550" spans="1:24" ht="12" customHeight="1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  <c r="V6550">
        <f t="shared" si="3081"/>
        <v>7</v>
      </c>
      <c r="W6550">
        <f t="shared" si="3078"/>
        <v>10</v>
      </c>
      <c r="X6550">
        <f t="shared" si="3079"/>
        <v>2010</v>
      </c>
    </row>
    <row r="6551" spans="1:24" ht="12" customHeight="1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3089">C6551+1</f>
        <v>40256</v>
      </c>
      <c r="V6551">
        <f t="shared" si="3081"/>
        <v>19</v>
      </c>
      <c r="W6551">
        <f t="shared" si="3078"/>
        <v>3</v>
      </c>
      <c r="X6551">
        <f t="shared" si="3079"/>
        <v>2010</v>
      </c>
    </row>
    <row r="6552" spans="1:24" ht="12" customHeight="1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3089"/>
        <v>40323</v>
      </c>
      <c r="V6552">
        <f t="shared" si="3081"/>
        <v>25</v>
      </c>
      <c r="W6552">
        <f t="shared" si="3078"/>
        <v>5</v>
      </c>
      <c r="X6552">
        <f t="shared" si="3079"/>
        <v>2010</v>
      </c>
    </row>
    <row r="6553" spans="1:24" ht="12" customHeight="1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  <c r="V6553">
        <f t="shared" si="3081"/>
        <v>19</v>
      </c>
      <c r="W6553">
        <f t="shared" si="3078"/>
        <v>10</v>
      </c>
      <c r="X6553">
        <f t="shared" si="3079"/>
        <v>2009</v>
      </c>
    </row>
    <row r="6554" spans="1:24" ht="12" customHeight="1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  <c r="V6554">
        <f t="shared" si="3081"/>
        <v>2</v>
      </c>
      <c r="W6554">
        <f t="shared" si="3078"/>
        <v>4</v>
      </c>
      <c r="X6554">
        <f t="shared" si="3079"/>
        <v>2012</v>
      </c>
    </row>
    <row r="6555" spans="1:24" ht="12" customHeight="1">
      <c r="A6555" s="4">
        <v>7147</v>
      </c>
      <c r="B6555" s="4">
        <v>50983</v>
      </c>
      <c r="C6555" s="5">
        <f t="shared" ref="C6555:C6556" si="3090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  <c r="V6555">
        <f t="shared" si="3081"/>
        <v>29</v>
      </c>
      <c r="W6555">
        <f t="shared" si="3078"/>
        <v>6</v>
      </c>
      <c r="X6555">
        <f t="shared" si="3079"/>
        <v>2011</v>
      </c>
    </row>
    <row r="6556" spans="1:24" ht="12" customHeight="1">
      <c r="A6556" s="4">
        <v>7148</v>
      </c>
      <c r="B6556" s="4">
        <v>50983</v>
      </c>
      <c r="C6556" s="5">
        <f t="shared" si="3090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  <c r="V6556">
        <f t="shared" si="3081"/>
        <v>30</v>
      </c>
      <c r="W6556">
        <f t="shared" si="3078"/>
        <v>6</v>
      </c>
      <c r="X6556">
        <f t="shared" si="3079"/>
        <v>2011</v>
      </c>
    </row>
    <row r="6557" spans="1:24" ht="12" customHeight="1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  <c r="V6557">
        <f t="shared" si="3081"/>
        <v>5</v>
      </c>
      <c r="W6557">
        <f t="shared" si="3078"/>
        <v>6</v>
      </c>
      <c r="X6557">
        <f t="shared" si="3079"/>
        <v>2009</v>
      </c>
    </row>
    <row r="6558" spans="1:24" ht="12" customHeight="1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  <c r="V6558">
        <f t="shared" si="3081"/>
        <v>15</v>
      </c>
      <c r="W6558">
        <f t="shared" si="3078"/>
        <v>2</v>
      </c>
      <c r="X6558">
        <f t="shared" si="3079"/>
        <v>2009</v>
      </c>
    </row>
    <row r="6559" spans="1:24" ht="12" customHeight="1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  <c r="V6559">
        <f t="shared" si="3081"/>
        <v>22</v>
      </c>
      <c r="W6559">
        <f t="shared" si="3078"/>
        <v>4</v>
      </c>
      <c r="X6559">
        <f t="shared" si="3079"/>
        <v>2011</v>
      </c>
    </row>
    <row r="6560" spans="1:24" ht="12" customHeight="1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  <c r="V6560">
        <f t="shared" si="3081"/>
        <v>4</v>
      </c>
      <c r="W6560">
        <f t="shared" si="3078"/>
        <v>7</v>
      </c>
      <c r="X6560">
        <f t="shared" si="3079"/>
        <v>2010</v>
      </c>
    </row>
    <row r="6561" spans="1:24" ht="12" customHeight="1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3091">C6561+2</f>
        <v>41048</v>
      </c>
      <c r="V6561">
        <f t="shared" si="3081"/>
        <v>19</v>
      </c>
      <c r="W6561">
        <f t="shared" si="3078"/>
        <v>5</v>
      </c>
      <c r="X6561">
        <f t="shared" si="3079"/>
        <v>2012</v>
      </c>
    </row>
    <row r="6562" spans="1:24" ht="12" customHeight="1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3091"/>
        <v>39892</v>
      </c>
      <c r="V6562">
        <f t="shared" si="3081"/>
        <v>20</v>
      </c>
      <c r="W6562">
        <f t="shared" si="3078"/>
        <v>3</v>
      </c>
      <c r="X6562">
        <f t="shared" si="3079"/>
        <v>2009</v>
      </c>
    </row>
    <row r="6563" spans="1:24" ht="12" customHeight="1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  <c r="V6563">
        <f t="shared" si="3081"/>
        <v>14</v>
      </c>
      <c r="W6563">
        <f t="shared" si="3078"/>
        <v>8</v>
      </c>
      <c r="X6563">
        <f t="shared" si="3079"/>
        <v>2012</v>
      </c>
    </row>
    <row r="6564" spans="1:24" ht="12" customHeight="1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  <c r="V6564">
        <f t="shared" si="3081"/>
        <v>30</v>
      </c>
      <c r="W6564">
        <f t="shared" si="3078"/>
        <v>3</v>
      </c>
      <c r="X6564">
        <f t="shared" si="3079"/>
        <v>2012</v>
      </c>
    </row>
    <row r="6565" spans="1:24" ht="12" customHeight="1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3092">C6565+1</f>
        <v>40671</v>
      </c>
      <c r="V6565">
        <f t="shared" si="3081"/>
        <v>8</v>
      </c>
      <c r="W6565">
        <f t="shared" si="3078"/>
        <v>5</v>
      </c>
      <c r="X6565">
        <f t="shared" si="3079"/>
        <v>2011</v>
      </c>
    </row>
    <row r="6566" spans="1:24" ht="12" customHeight="1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3092"/>
        <v>40509</v>
      </c>
      <c r="V6566">
        <f t="shared" si="3081"/>
        <v>27</v>
      </c>
      <c r="W6566">
        <f t="shared" si="3078"/>
        <v>11</v>
      </c>
      <c r="X6566">
        <f t="shared" si="3079"/>
        <v>2010</v>
      </c>
    </row>
    <row r="6567" spans="1:24" ht="12" customHeight="1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3092"/>
        <v>40850</v>
      </c>
      <c r="V6567">
        <f t="shared" si="3081"/>
        <v>3</v>
      </c>
      <c r="W6567">
        <f t="shared" si="3078"/>
        <v>11</v>
      </c>
      <c r="X6567">
        <f t="shared" si="3079"/>
        <v>2011</v>
      </c>
    </row>
    <row r="6568" spans="1:24" ht="12" customHeight="1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  <c r="V6568">
        <f t="shared" si="3081"/>
        <v>11</v>
      </c>
      <c r="W6568">
        <f t="shared" si="3078"/>
        <v>2</v>
      </c>
      <c r="X6568">
        <f t="shared" si="3079"/>
        <v>2011</v>
      </c>
    </row>
    <row r="6569" spans="1:24" ht="12" customHeight="1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  <c r="V6569">
        <f t="shared" si="3081"/>
        <v>1</v>
      </c>
      <c r="W6569">
        <f t="shared" si="3078"/>
        <v>12</v>
      </c>
      <c r="X6569">
        <f t="shared" si="3079"/>
        <v>2010</v>
      </c>
    </row>
    <row r="6570" spans="1:24" ht="12" customHeight="1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  <c r="V6570">
        <f t="shared" si="3081"/>
        <v>30</v>
      </c>
      <c r="W6570">
        <f t="shared" si="3078"/>
        <v>7</v>
      </c>
      <c r="X6570">
        <f t="shared" si="3079"/>
        <v>2010</v>
      </c>
    </row>
    <row r="6571" spans="1:24" ht="12" customHeight="1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  <c r="V6571">
        <f t="shared" si="3081"/>
        <v>11</v>
      </c>
      <c r="W6571">
        <f t="shared" si="3078"/>
        <v>4</v>
      </c>
      <c r="X6571">
        <f t="shared" si="3079"/>
        <v>2010</v>
      </c>
    </row>
    <row r="6572" spans="1:24" ht="12" customHeight="1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  <c r="V6572">
        <f t="shared" si="3081"/>
        <v>13</v>
      </c>
      <c r="W6572">
        <f t="shared" si="3078"/>
        <v>11</v>
      </c>
      <c r="X6572">
        <f t="shared" si="3079"/>
        <v>2012</v>
      </c>
    </row>
    <row r="6573" spans="1:24" ht="12" customHeight="1">
      <c r="A6573" s="4">
        <v>8259</v>
      </c>
      <c r="B6573" s="4">
        <v>59072</v>
      </c>
      <c r="C6573" s="5">
        <f t="shared" ref="C6573:C6576" si="3093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  <c r="V6573">
        <f t="shared" si="3081"/>
        <v>27</v>
      </c>
      <c r="W6573">
        <f t="shared" si="3078"/>
        <v>5</v>
      </c>
      <c r="X6573">
        <f t="shared" si="3079"/>
        <v>2009</v>
      </c>
    </row>
    <row r="6574" spans="1:24" ht="12" customHeight="1">
      <c r="A6574" s="4">
        <v>8260</v>
      </c>
      <c r="B6574" s="4">
        <v>59072</v>
      </c>
      <c r="C6574" s="5">
        <f t="shared" si="3093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  <c r="V6574">
        <f t="shared" si="3081"/>
        <v>26</v>
      </c>
      <c r="W6574">
        <f t="shared" si="3078"/>
        <v>5</v>
      </c>
      <c r="X6574">
        <f t="shared" si="3079"/>
        <v>2009</v>
      </c>
    </row>
    <row r="6575" spans="1:24" ht="12" customHeight="1">
      <c r="A6575" s="4">
        <v>8261</v>
      </c>
      <c r="B6575" s="4">
        <v>59072</v>
      </c>
      <c r="C6575" s="5">
        <f t="shared" si="3093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3094">C6575+2</f>
        <v>39960</v>
      </c>
      <c r="V6575">
        <f t="shared" si="3081"/>
        <v>27</v>
      </c>
      <c r="W6575">
        <f t="shared" si="3078"/>
        <v>5</v>
      </c>
      <c r="X6575">
        <f t="shared" si="3079"/>
        <v>2009</v>
      </c>
    </row>
    <row r="6576" spans="1:24" ht="12" customHeight="1">
      <c r="A6576" s="4">
        <v>8262</v>
      </c>
      <c r="B6576" s="4">
        <v>59072</v>
      </c>
      <c r="C6576" s="5">
        <f t="shared" si="3093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3094"/>
        <v>39960</v>
      </c>
      <c r="V6576">
        <f t="shared" si="3081"/>
        <v>27</v>
      </c>
      <c r="W6576">
        <f t="shared" si="3078"/>
        <v>5</v>
      </c>
      <c r="X6576">
        <f t="shared" si="3079"/>
        <v>2009</v>
      </c>
    </row>
    <row r="6577" spans="1:24" ht="12" customHeight="1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3094"/>
        <v>40572</v>
      </c>
      <c r="V6577">
        <f t="shared" si="3081"/>
        <v>29</v>
      </c>
      <c r="W6577">
        <f t="shared" si="3078"/>
        <v>1</v>
      </c>
      <c r="X6577">
        <f t="shared" si="3079"/>
        <v>2011</v>
      </c>
    </row>
    <row r="6578" spans="1:24" ht="12" customHeight="1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  <c r="V6578">
        <f t="shared" si="3081"/>
        <v>24</v>
      </c>
      <c r="W6578">
        <f t="shared" si="3078"/>
        <v>8</v>
      </c>
      <c r="X6578">
        <f t="shared" si="3079"/>
        <v>2010</v>
      </c>
    </row>
    <row r="6579" spans="1:24" ht="12" customHeight="1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  <c r="V6579">
        <f t="shared" si="3081"/>
        <v>29</v>
      </c>
      <c r="W6579">
        <f t="shared" si="3078"/>
        <v>12</v>
      </c>
      <c r="X6579">
        <f t="shared" si="3079"/>
        <v>2010</v>
      </c>
    </row>
    <row r="6580" spans="1:24" ht="12" customHeight="1">
      <c r="A6580" s="4">
        <v>32</v>
      </c>
      <c r="B6580" s="4">
        <v>224</v>
      </c>
      <c r="C6580" s="5">
        <f t="shared" ref="C6580:C6582" si="3095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3096">C6580+1</f>
        <v>39982</v>
      </c>
      <c r="V6580">
        <f t="shared" si="3081"/>
        <v>18</v>
      </c>
      <c r="W6580">
        <f t="shared" si="3078"/>
        <v>6</v>
      </c>
      <c r="X6580">
        <f t="shared" si="3079"/>
        <v>2009</v>
      </c>
    </row>
    <row r="6581" spans="1:24" ht="12" customHeight="1">
      <c r="A6581" s="4">
        <v>33</v>
      </c>
      <c r="B6581" s="4">
        <v>224</v>
      </c>
      <c r="C6581" s="5">
        <f t="shared" si="3095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3096"/>
        <v>39982</v>
      </c>
      <c r="V6581">
        <f t="shared" si="3081"/>
        <v>18</v>
      </c>
      <c r="W6581">
        <f t="shared" si="3078"/>
        <v>6</v>
      </c>
      <c r="X6581">
        <f t="shared" si="3079"/>
        <v>2009</v>
      </c>
    </row>
    <row r="6582" spans="1:24" ht="12" customHeight="1">
      <c r="A6582" s="4">
        <v>34</v>
      </c>
      <c r="B6582" s="4">
        <v>224</v>
      </c>
      <c r="C6582" s="5">
        <f t="shared" si="3095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3096"/>
        <v>39982</v>
      </c>
      <c r="V6582">
        <f t="shared" si="3081"/>
        <v>18</v>
      </c>
      <c r="W6582">
        <f t="shared" si="3078"/>
        <v>6</v>
      </c>
      <c r="X6582">
        <f t="shared" si="3079"/>
        <v>2009</v>
      </c>
    </row>
    <row r="6583" spans="1:24" ht="12" customHeight="1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3096"/>
        <v>39950</v>
      </c>
      <c r="V6583">
        <f t="shared" si="3081"/>
        <v>17</v>
      </c>
      <c r="W6583">
        <f t="shared" si="3078"/>
        <v>5</v>
      </c>
      <c r="X6583">
        <f t="shared" si="3079"/>
        <v>2009</v>
      </c>
    </row>
    <row r="6584" spans="1:24" ht="12" customHeight="1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  <c r="V6584">
        <f t="shared" si="3081"/>
        <v>1</v>
      </c>
      <c r="W6584">
        <f t="shared" si="3078"/>
        <v>4</v>
      </c>
      <c r="X6584">
        <f t="shared" si="3079"/>
        <v>2011</v>
      </c>
    </row>
    <row r="6585" spans="1:24" ht="12" customHeight="1">
      <c r="A6585" s="4">
        <v>70</v>
      </c>
      <c r="B6585" s="4">
        <v>417</v>
      </c>
      <c r="C6585" s="5">
        <f t="shared" ref="C6585:C6586" si="3097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  <c r="V6585">
        <f t="shared" si="3081"/>
        <v>6</v>
      </c>
      <c r="W6585">
        <f t="shared" si="3078"/>
        <v>2</v>
      </c>
      <c r="X6585">
        <f t="shared" si="3079"/>
        <v>2009</v>
      </c>
    </row>
    <row r="6586" spans="1:24" ht="12" customHeight="1">
      <c r="A6586" s="4">
        <v>71</v>
      </c>
      <c r="B6586" s="4">
        <v>417</v>
      </c>
      <c r="C6586" s="5">
        <f t="shared" si="3097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3098">C6586+2</f>
        <v>39851</v>
      </c>
      <c r="V6586">
        <f t="shared" si="3081"/>
        <v>7</v>
      </c>
      <c r="W6586">
        <f t="shared" si="3078"/>
        <v>2</v>
      </c>
      <c r="X6586">
        <f t="shared" si="3079"/>
        <v>2009</v>
      </c>
    </row>
    <row r="6587" spans="1:24" ht="12" customHeight="1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3098"/>
        <v>40777</v>
      </c>
      <c r="V6587">
        <f t="shared" si="3081"/>
        <v>22</v>
      </c>
      <c r="W6587">
        <f t="shared" si="3078"/>
        <v>8</v>
      </c>
      <c r="X6587">
        <f t="shared" si="3079"/>
        <v>2011</v>
      </c>
    </row>
    <row r="6588" spans="1:24" ht="12" customHeight="1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  <c r="V6588">
        <f t="shared" si="3081"/>
        <v>14</v>
      </c>
      <c r="W6588">
        <f t="shared" si="3078"/>
        <v>11</v>
      </c>
      <c r="X6588">
        <f t="shared" si="3079"/>
        <v>2011</v>
      </c>
    </row>
    <row r="6589" spans="1:24" ht="12" customHeight="1">
      <c r="A6589" s="4">
        <v>145</v>
      </c>
      <c r="B6589" s="4">
        <v>929</v>
      </c>
      <c r="C6589" s="5">
        <f t="shared" ref="C6589:C6590" si="3099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  <c r="V6589">
        <f t="shared" si="3081"/>
        <v>4</v>
      </c>
      <c r="W6589">
        <f t="shared" si="3078"/>
        <v>10</v>
      </c>
      <c r="X6589">
        <f t="shared" si="3079"/>
        <v>2012</v>
      </c>
    </row>
    <row r="6590" spans="1:24" ht="12" customHeight="1">
      <c r="A6590" s="4">
        <v>146</v>
      </c>
      <c r="B6590" s="4">
        <v>929</v>
      </c>
      <c r="C6590" s="5">
        <f t="shared" si="3099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3100">C6590+2</f>
        <v>41185</v>
      </c>
      <c r="V6590">
        <f t="shared" si="3081"/>
        <v>3</v>
      </c>
      <c r="W6590">
        <f t="shared" si="3078"/>
        <v>10</v>
      </c>
      <c r="X6590">
        <f t="shared" si="3079"/>
        <v>2012</v>
      </c>
    </row>
    <row r="6591" spans="1:24" ht="12" customHeight="1">
      <c r="A6591" s="4">
        <v>156</v>
      </c>
      <c r="B6591" s="4">
        <v>967</v>
      </c>
      <c r="C6591" s="5">
        <f t="shared" ref="C6591:C6593" si="3101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3100"/>
        <v>41082</v>
      </c>
      <c r="V6591">
        <f t="shared" si="3081"/>
        <v>22</v>
      </c>
      <c r="W6591">
        <f t="shared" si="3078"/>
        <v>6</v>
      </c>
      <c r="X6591">
        <f t="shared" si="3079"/>
        <v>2012</v>
      </c>
    </row>
    <row r="6592" spans="1:24" ht="12" customHeight="1">
      <c r="A6592" s="4">
        <v>157</v>
      </c>
      <c r="B6592" s="4">
        <v>967</v>
      </c>
      <c r="C6592" s="5">
        <f t="shared" si="3101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  <c r="V6592">
        <f t="shared" si="3081"/>
        <v>21</v>
      </c>
      <c r="W6592">
        <f t="shared" si="3078"/>
        <v>6</v>
      </c>
      <c r="X6592">
        <f t="shared" si="3079"/>
        <v>2012</v>
      </c>
    </row>
    <row r="6593" spans="1:24" ht="12" customHeight="1">
      <c r="A6593" s="4">
        <v>158</v>
      </c>
      <c r="B6593" s="4">
        <v>967</v>
      </c>
      <c r="C6593" s="5">
        <f t="shared" si="3101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  <c r="V6593">
        <f t="shared" si="3081"/>
        <v>23</v>
      </c>
      <c r="W6593">
        <f t="shared" si="3078"/>
        <v>6</v>
      </c>
      <c r="X6593">
        <f t="shared" si="3079"/>
        <v>2012</v>
      </c>
    </row>
    <row r="6594" spans="1:24" ht="12" customHeight="1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3102">C6594+2</f>
        <v>40169</v>
      </c>
      <c r="V6594">
        <f t="shared" si="3081"/>
        <v>22</v>
      </c>
      <c r="W6594">
        <f t="shared" si="3078"/>
        <v>12</v>
      </c>
      <c r="X6594">
        <f t="shared" si="3079"/>
        <v>2009</v>
      </c>
    </row>
    <row r="6595" spans="1:24" ht="12" customHeight="1">
      <c r="A6595" s="4">
        <v>235</v>
      </c>
      <c r="B6595" s="4">
        <v>1575</v>
      </c>
      <c r="C6595" s="5">
        <f t="shared" ref="C6595:C6596" si="3103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3102"/>
        <v>40800</v>
      </c>
      <c r="V6595">
        <f t="shared" si="3081"/>
        <v>14</v>
      </c>
      <c r="W6595">
        <f t="shared" ref="W6595:W6658" si="3104">MONTH(U6595)</f>
        <v>9</v>
      </c>
      <c r="X6595">
        <f t="shared" ref="X6595:X6658" si="3105">YEAR(U6595)</f>
        <v>2011</v>
      </c>
    </row>
    <row r="6596" spans="1:24" ht="12" customHeight="1">
      <c r="A6596" s="4">
        <v>236</v>
      </c>
      <c r="B6596" s="4">
        <v>1575</v>
      </c>
      <c r="C6596" s="5">
        <f t="shared" si="3103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3102"/>
        <v>40800</v>
      </c>
      <c r="V6596">
        <f t="shared" ref="V6596:V6659" si="3106">DAY(U6596)</f>
        <v>14</v>
      </c>
      <c r="W6596">
        <f t="shared" si="3104"/>
        <v>9</v>
      </c>
      <c r="X6596">
        <f t="shared" si="3105"/>
        <v>2011</v>
      </c>
    </row>
    <row r="6597" spans="1:24" ht="12" customHeight="1">
      <c r="A6597" s="4">
        <v>240</v>
      </c>
      <c r="B6597" s="4">
        <v>1637</v>
      </c>
      <c r="C6597" s="5">
        <f t="shared" ref="C6597:C6599" si="3107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3108">C6597+0</f>
        <v>40581</v>
      </c>
      <c r="V6597">
        <f t="shared" si="3106"/>
        <v>7</v>
      </c>
      <c r="W6597">
        <f t="shared" si="3104"/>
        <v>2</v>
      </c>
      <c r="X6597">
        <f t="shared" si="3105"/>
        <v>2011</v>
      </c>
    </row>
    <row r="6598" spans="1:24" ht="12" customHeight="1">
      <c r="A6598" s="4">
        <v>241</v>
      </c>
      <c r="B6598" s="4">
        <v>1637</v>
      </c>
      <c r="C6598" s="5">
        <f t="shared" si="3107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3108"/>
        <v>40581</v>
      </c>
      <c r="V6598">
        <f t="shared" si="3106"/>
        <v>7</v>
      </c>
      <c r="W6598">
        <f t="shared" si="3104"/>
        <v>2</v>
      </c>
      <c r="X6598">
        <f t="shared" si="3105"/>
        <v>2011</v>
      </c>
    </row>
    <row r="6599" spans="1:24" ht="12" customHeight="1">
      <c r="A6599" s="4">
        <v>242</v>
      </c>
      <c r="B6599" s="4">
        <v>1637</v>
      </c>
      <c r="C6599" s="5">
        <f t="shared" si="3107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  <c r="V6599">
        <f t="shared" si="3106"/>
        <v>9</v>
      </c>
      <c r="W6599">
        <f t="shared" si="3104"/>
        <v>2</v>
      </c>
      <c r="X6599">
        <f t="shared" si="3105"/>
        <v>2011</v>
      </c>
    </row>
    <row r="6600" spans="1:24" ht="12" customHeight="1">
      <c r="A6600" s="4">
        <v>272</v>
      </c>
      <c r="B6600" s="4">
        <v>1888</v>
      </c>
      <c r="C6600" s="5">
        <f t="shared" ref="C6600:C6601" si="3109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  <c r="V6600">
        <f t="shared" si="3106"/>
        <v>30</v>
      </c>
      <c r="W6600">
        <f t="shared" si="3104"/>
        <v>10</v>
      </c>
      <c r="X6600">
        <f t="shared" si="3105"/>
        <v>2010</v>
      </c>
    </row>
    <row r="6601" spans="1:24" ht="12" customHeight="1">
      <c r="A6601" s="4">
        <v>273</v>
      </c>
      <c r="B6601" s="4">
        <v>1888</v>
      </c>
      <c r="C6601" s="5">
        <f t="shared" si="3109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  <c r="V6601">
        <f t="shared" si="3106"/>
        <v>31</v>
      </c>
      <c r="W6601">
        <f t="shared" si="3104"/>
        <v>10</v>
      </c>
      <c r="X6601">
        <f t="shared" si="3105"/>
        <v>2010</v>
      </c>
    </row>
    <row r="6602" spans="1:24" ht="12" customHeight="1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3110">C6602+2</f>
        <v>41013</v>
      </c>
      <c r="V6602">
        <f t="shared" si="3106"/>
        <v>14</v>
      </c>
      <c r="W6602">
        <f t="shared" si="3104"/>
        <v>4</v>
      </c>
      <c r="X6602">
        <f t="shared" si="3105"/>
        <v>2012</v>
      </c>
    </row>
    <row r="6603" spans="1:24" ht="12" customHeight="1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3110"/>
        <v>40426</v>
      </c>
      <c r="V6603">
        <f t="shared" si="3106"/>
        <v>5</v>
      </c>
      <c r="W6603">
        <f t="shared" si="3104"/>
        <v>9</v>
      </c>
      <c r="X6603">
        <f t="shared" si="3105"/>
        <v>2010</v>
      </c>
    </row>
    <row r="6604" spans="1:24" ht="12" customHeight="1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3110"/>
        <v>40791</v>
      </c>
      <c r="V6604">
        <f t="shared" si="3106"/>
        <v>5</v>
      </c>
      <c r="W6604">
        <f t="shared" si="3104"/>
        <v>9</v>
      </c>
      <c r="X6604">
        <f t="shared" si="3105"/>
        <v>2011</v>
      </c>
    </row>
    <row r="6605" spans="1:24" ht="12" customHeight="1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  <c r="V6605">
        <f t="shared" si="3106"/>
        <v>5</v>
      </c>
      <c r="W6605">
        <f t="shared" si="3104"/>
        <v>6</v>
      </c>
      <c r="X6605">
        <f t="shared" si="3105"/>
        <v>2010</v>
      </c>
    </row>
    <row r="6606" spans="1:24" ht="12" customHeight="1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  <c r="V6606">
        <f t="shared" si="3106"/>
        <v>13</v>
      </c>
      <c r="W6606">
        <f t="shared" si="3104"/>
        <v>9</v>
      </c>
      <c r="X6606">
        <f t="shared" si="3105"/>
        <v>2011</v>
      </c>
    </row>
    <row r="6607" spans="1:24" ht="12" customHeight="1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3111">C6607+2</f>
        <v>41137</v>
      </c>
      <c r="V6607">
        <f t="shared" si="3106"/>
        <v>16</v>
      </c>
      <c r="W6607">
        <f t="shared" si="3104"/>
        <v>8</v>
      </c>
      <c r="X6607">
        <f t="shared" si="3105"/>
        <v>2012</v>
      </c>
    </row>
    <row r="6608" spans="1:24" ht="12" customHeight="1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3111"/>
        <v>40324</v>
      </c>
      <c r="V6608">
        <f t="shared" si="3106"/>
        <v>26</v>
      </c>
      <c r="W6608">
        <f t="shared" si="3104"/>
        <v>5</v>
      </c>
      <c r="X6608">
        <f t="shared" si="3105"/>
        <v>2010</v>
      </c>
    </row>
    <row r="6609" spans="1:24" ht="12" customHeight="1">
      <c r="A6609" s="4">
        <v>386</v>
      </c>
      <c r="B6609" s="4">
        <v>2658</v>
      </c>
      <c r="C6609" s="5">
        <f t="shared" ref="C6609:C6610" si="3112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  <c r="V6609">
        <f t="shared" si="3106"/>
        <v>23</v>
      </c>
      <c r="W6609">
        <f t="shared" si="3104"/>
        <v>9</v>
      </c>
      <c r="X6609">
        <f t="shared" si="3105"/>
        <v>2011</v>
      </c>
    </row>
    <row r="6610" spans="1:24" ht="12" customHeight="1">
      <c r="A6610" s="4">
        <v>387</v>
      </c>
      <c r="B6610" s="4">
        <v>2658</v>
      </c>
      <c r="C6610" s="5">
        <f t="shared" si="3112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  <c r="V6610">
        <f t="shared" si="3106"/>
        <v>22</v>
      </c>
      <c r="W6610">
        <f t="shared" si="3104"/>
        <v>9</v>
      </c>
      <c r="X6610">
        <f t="shared" si="3105"/>
        <v>2011</v>
      </c>
    </row>
    <row r="6611" spans="1:24" ht="12" customHeight="1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3113">C6611+1</f>
        <v>39954</v>
      </c>
      <c r="V6611">
        <f t="shared" si="3106"/>
        <v>21</v>
      </c>
      <c r="W6611">
        <f t="shared" si="3104"/>
        <v>5</v>
      </c>
      <c r="X6611">
        <f t="shared" si="3105"/>
        <v>2009</v>
      </c>
    </row>
    <row r="6612" spans="1:24" ht="12" customHeight="1">
      <c r="A6612" s="4">
        <v>404</v>
      </c>
      <c r="B6612" s="4">
        <v>2756</v>
      </c>
      <c r="C6612" s="5">
        <f t="shared" ref="C6612:C6613" si="3114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3113"/>
        <v>39921</v>
      </c>
      <c r="V6612">
        <f t="shared" si="3106"/>
        <v>18</v>
      </c>
      <c r="W6612">
        <f t="shared" si="3104"/>
        <v>4</v>
      </c>
      <c r="X6612">
        <f t="shared" si="3105"/>
        <v>2009</v>
      </c>
    </row>
    <row r="6613" spans="1:24" ht="12" customHeight="1">
      <c r="A6613" s="4">
        <v>405</v>
      </c>
      <c r="B6613" s="4">
        <v>2756</v>
      </c>
      <c r="C6613" s="5">
        <f t="shared" si="3114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  <c r="V6613">
        <f t="shared" si="3106"/>
        <v>17</v>
      </c>
      <c r="W6613">
        <f t="shared" si="3104"/>
        <v>4</v>
      </c>
      <c r="X6613">
        <f t="shared" si="3105"/>
        <v>2009</v>
      </c>
    </row>
    <row r="6614" spans="1:24" ht="12" customHeight="1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  <c r="V6614">
        <f t="shared" si="3106"/>
        <v>7</v>
      </c>
      <c r="W6614">
        <f t="shared" si="3104"/>
        <v>5</v>
      </c>
      <c r="X6614">
        <f t="shared" si="3105"/>
        <v>2009</v>
      </c>
    </row>
    <row r="6615" spans="1:24" ht="12" customHeight="1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3115">C6615+1</f>
        <v>40240</v>
      </c>
      <c r="V6615">
        <f t="shared" si="3106"/>
        <v>3</v>
      </c>
      <c r="W6615">
        <f t="shared" si="3104"/>
        <v>3</v>
      </c>
      <c r="X6615">
        <f t="shared" si="3105"/>
        <v>2010</v>
      </c>
    </row>
    <row r="6616" spans="1:24" ht="12" customHeight="1">
      <c r="A6616" s="4">
        <v>441</v>
      </c>
      <c r="B6616" s="4">
        <v>2978</v>
      </c>
      <c r="C6616" s="5">
        <f t="shared" ref="C6616:C6617" si="3116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3115"/>
        <v>40666</v>
      </c>
      <c r="V6616">
        <f t="shared" si="3106"/>
        <v>3</v>
      </c>
      <c r="W6616">
        <f t="shared" si="3104"/>
        <v>5</v>
      </c>
      <c r="X6616">
        <f t="shared" si="3105"/>
        <v>2011</v>
      </c>
    </row>
    <row r="6617" spans="1:24" ht="12" customHeight="1">
      <c r="A6617" s="4">
        <v>442</v>
      </c>
      <c r="B6617" s="4">
        <v>2978</v>
      </c>
      <c r="C6617" s="5">
        <f t="shared" si="3116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  <c r="V6617">
        <f t="shared" si="3106"/>
        <v>4</v>
      </c>
      <c r="W6617">
        <f t="shared" si="3104"/>
        <v>5</v>
      </c>
      <c r="X6617">
        <f t="shared" si="3105"/>
        <v>2011</v>
      </c>
    </row>
    <row r="6618" spans="1:24" ht="12" customHeight="1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3117">C6618+1</f>
        <v>40855</v>
      </c>
      <c r="V6618">
        <f t="shared" si="3106"/>
        <v>8</v>
      </c>
      <c r="W6618">
        <f t="shared" si="3104"/>
        <v>11</v>
      </c>
      <c r="X6618">
        <f t="shared" si="3105"/>
        <v>2011</v>
      </c>
    </row>
    <row r="6619" spans="1:24" ht="12" customHeight="1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3117"/>
        <v>40138</v>
      </c>
      <c r="V6619">
        <f t="shared" si="3106"/>
        <v>21</v>
      </c>
      <c r="W6619">
        <f t="shared" si="3104"/>
        <v>11</v>
      </c>
      <c r="X6619">
        <f t="shared" si="3105"/>
        <v>2009</v>
      </c>
    </row>
    <row r="6620" spans="1:24" ht="12" customHeight="1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3117"/>
        <v>40221</v>
      </c>
      <c r="V6620">
        <f t="shared" si="3106"/>
        <v>12</v>
      </c>
      <c r="W6620">
        <f t="shared" si="3104"/>
        <v>2</v>
      </c>
      <c r="X6620">
        <f t="shared" si="3105"/>
        <v>2010</v>
      </c>
    </row>
    <row r="6621" spans="1:24" ht="12" customHeight="1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  <c r="V6621">
        <f t="shared" si="3106"/>
        <v>16</v>
      </c>
      <c r="W6621">
        <f t="shared" si="3104"/>
        <v>7</v>
      </c>
      <c r="X6621">
        <f t="shared" si="3105"/>
        <v>2009</v>
      </c>
    </row>
    <row r="6622" spans="1:24" ht="12" customHeight="1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  <c r="V6622">
        <f t="shared" si="3106"/>
        <v>19</v>
      </c>
      <c r="W6622">
        <f t="shared" si="3104"/>
        <v>7</v>
      </c>
      <c r="X6622">
        <f t="shared" si="3105"/>
        <v>2011</v>
      </c>
    </row>
    <row r="6623" spans="1:24" ht="12" customHeight="1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  <c r="V6623">
        <f t="shared" si="3106"/>
        <v>25</v>
      </c>
      <c r="W6623">
        <f t="shared" si="3104"/>
        <v>11</v>
      </c>
      <c r="X6623">
        <f t="shared" si="3105"/>
        <v>2012</v>
      </c>
    </row>
    <row r="6624" spans="1:24" ht="12" customHeight="1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3118">C6624+2</f>
        <v>40900</v>
      </c>
      <c r="V6624">
        <f t="shared" si="3106"/>
        <v>23</v>
      </c>
      <c r="W6624">
        <f t="shared" si="3104"/>
        <v>12</v>
      </c>
      <c r="X6624">
        <f t="shared" si="3105"/>
        <v>2011</v>
      </c>
    </row>
    <row r="6625" spans="1:24" ht="12" customHeight="1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3118"/>
        <v>40619</v>
      </c>
      <c r="V6625">
        <f t="shared" si="3106"/>
        <v>17</v>
      </c>
      <c r="W6625">
        <f t="shared" si="3104"/>
        <v>3</v>
      </c>
      <c r="X6625">
        <f t="shared" si="3105"/>
        <v>2011</v>
      </c>
    </row>
    <row r="6626" spans="1:24" ht="12" customHeight="1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  <c r="V6626">
        <f t="shared" si="3106"/>
        <v>6</v>
      </c>
      <c r="W6626">
        <f t="shared" si="3104"/>
        <v>5</v>
      </c>
      <c r="X6626">
        <f t="shared" si="3105"/>
        <v>2010</v>
      </c>
    </row>
    <row r="6627" spans="1:24" ht="12" customHeight="1">
      <c r="A6627" s="4">
        <v>536</v>
      </c>
      <c r="B6627" s="4">
        <v>3649</v>
      </c>
      <c r="C6627" s="5">
        <f t="shared" ref="C6627:C6628" si="3119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  <c r="V6627">
        <f t="shared" si="3106"/>
        <v>10</v>
      </c>
      <c r="W6627">
        <f t="shared" si="3104"/>
        <v>7</v>
      </c>
      <c r="X6627">
        <f t="shared" si="3105"/>
        <v>2009</v>
      </c>
    </row>
    <row r="6628" spans="1:24" ht="12" customHeight="1">
      <c r="A6628" s="4">
        <v>537</v>
      </c>
      <c r="B6628" s="4">
        <v>3649</v>
      </c>
      <c r="C6628" s="5">
        <f t="shared" si="3119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  <c r="V6628">
        <f t="shared" si="3106"/>
        <v>14</v>
      </c>
      <c r="W6628">
        <f t="shared" si="3104"/>
        <v>7</v>
      </c>
      <c r="X6628">
        <f t="shared" si="3105"/>
        <v>2009</v>
      </c>
    </row>
    <row r="6629" spans="1:24" ht="12" customHeight="1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  <c r="V6629">
        <f t="shared" si="3106"/>
        <v>7</v>
      </c>
      <c r="W6629">
        <f t="shared" si="3104"/>
        <v>6</v>
      </c>
      <c r="X6629">
        <f t="shared" si="3105"/>
        <v>2012</v>
      </c>
    </row>
    <row r="6630" spans="1:24" ht="12" customHeight="1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  <c r="V6630">
        <f t="shared" si="3106"/>
        <v>27</v>
      </c>
      <c r="W6630">
        <f t="shared" si="3104"/>
        <v>2</v>
      </c>
      <c r="X6630">
        <f t="shared" si="3105"/>
        <v>2011</v>
      </c>
    </row>
    <row r="6631" spans="1:24" ht="12" customHeight="1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  <c r="V6631">
        <f t="shared" si="3106"/>
        <v>16</v>
      </c>
      <c r="W6631">
        <f t="shared" si="3104"/>
        <v>3</v>
      </c>
      <c r="X6631">
        <f t="shared" si="3105"/>
        <v>2011</v>
      </c>
    </row>
    <row r="6632" spans="1:24" ht="12" customHeight="1">
      <c r="A6632" s="4">
        <v>607</v>
      </c>
      <c r="B6632" s="4">
        <v>4134</v>
      </c>
      <c r="C6632" s="5">
        <f t="shared" ref="C6632:C6633" si="3120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  <c r="V6632">
        <f t="shared" si="3106"/>
        <v>13</v>
      </c>
      <c r="W6632">
        <f t="shared" si="3104"/>
        <v>1</v>
      </c>
      <c r="X6632">
        <f t="shared" si="3105"/>
        <v>2011</v>
      </c>
    </row>
    <row r="6633" spans="1:24" ht="12" customHeight="1">
      <c r="A6633" s="4">
        <v>608</v>
      </c>
      <c r="B6633" s="4">
        <v>4134</v>
      </c>
      <c r="C6633" s="5">
        <f t="shared" si="3120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  <c r="V6633">
        <f t="shared" si="3106"/>
        <v>11</v>
      </c>
      <c r="W6633">
        <f t="shared" si="3104"/>
        <v>1</v>
      </c>
      <c r="X6633">
        <f t="shared" si="3105"/>
        <v>2011</v>
      </c>
    </row>
    <row r="6634" spans="1:24" ht="12" customHeight="1">
      <c r="A6634" s="4">
        <v>615</v>
      </c>
      <c r="B6634" s="4">
        <v>4230</v>
      </c>
      <c r="C6634" s="5">
        <f t="shared" ref="C6634:C6635" si="3121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  <c r="V6634">
        <f t="shared" si="3106"/>
        <v>4</v>
      </c>
      <c r="W6634">
        <f t="shared" si="3104"/>
        <v>3</v>
      </c>
      <c r="X6634">
        <f t="shared" si="3105"/>
        <v>2012</v>
      </c>
    </row>
    <row r="6635" spans="1:24" ht="12" customHeight="1">
      <c r="A6635" s="4">
        <v>616</v>
      </c>
      <c r="B6635" s="4">
        <v>4230</v>
      </c>
      <c r="C6635" s="5">
        <f t="shared" si="3121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3122">C6635+2</f>
        <v>40973</v>
      </c>
      <c r="V6635">
        <f t="shared" si="3106"/>
        <v>5</v>
      </c>
      <c r="W6635">
        <f t="shared" si="3104"/>
        <v>3</v>
      </c>
      <c r="X6635">
        <f t="shared" si="3105"/>
        <v>2012</v>
      </c>
    </row>
    <row r="6636" spans="1:24" ht="12" customHeight="1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3122"/>
        <v>40742</v>
      </c>
      <c r="V6636">
        <f t="shared" si="3106"/>
        <v>18</v>
      </c>
      <c r="W6636">
        <f t="shared" si="3104"/>
        <v>7</v>
      </c>
      <c r="X6636">
        <f t="shared" si="3105"/>
        <v>2011</v>
      </c>
    </row>
    <row r="6637" spans="1:24" ht="12" customHeight="1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3122"/>
        <v>41157</v>
      </c>
      <c r="V6637">
        <f t="shared" si="3106"/>
        <v>5</v>
      </c>
      <c r="W6637">
        <f t="shared" si="3104"/>
        <v>9</v>
      </c>
      <c r="X6637">
        <f t="shared" si="3105"/>
        <v>2012</v>
      </c>
    </row>
    <row r="6638" spans="1:24" ht="12" customHeight="1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3122"/>
        <v>41273</v>
      </c>
      <c r="V6638">
        <f t="shared" si="3106"/>
        <v>30</v>
      </c>
      <c r="W6638">
        <f t="shared" si="3104"/>
        <v>12</v>
      </c>
      <c r="X6638">
        <f t="shared" si="3105"/>
        <v>2012</v>
      </c>
    </row>
    <row r="6639" spans="1:24" ht="12" customHeight="1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  <c r="V6639">
        <f t="shared" si="3106"/>
        <v>8</v>
      </c>
      <c r="W6639">
        <f t="shared" si="3104"/>
        <v>4</v>
      </c>
      <c r="X6639">
        <f t="shared" si="3105"/>
        <v>2012</v>
      </c>
    </row>
    <row r="6640" spans="1:24" ht="12" customHeight="1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  <c r="V6640">
        <f t="shared" si="3106"/>
        <v>15</v>
      </c>
      <c r="W6640">
        <f t="shared" si="3104"/>
        <v>12</v>
      </c>
      <c r="X6640">
        <f t="shared" si="3105"/>
        <v>2012</v>
      </c>
    </row>
    <row r="6641" spans="1:24" ht="12" customHeight="1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3123">C6641+1</f>
        <v>40936</v>
      </c>
      <c r="V6641">
        <f t="shared" si="3106"/>
        <v>28</v>
      </c>
      <c r="W6641">
        <f t="shared" si="3104"/>
        <v>1</v>
      </c>
      <c r="X6641">
        <f t="shared" si="3105"/>
        <v>2012</v>
      </c>
    </row>
    <row r="6642" spans="1:24" ht="12" customHeight="1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3123"/>
        <v>40031</v>
      </c>
      <c r="V6642">
        <f t="shared" si="3106"/>
        <v>6</v>
      </c>
      <c r="W6642">
        <f t="shared" si="3104"/>
        <v>8</v>
      </c>
      <c r="X6642">
        <f t="shared" si="3105"/>
        <v>2009</v>
      </c>
    </row>
    <row r="6643" spans="1:24" ht="12" customHeight="1">
      <c r="A6643" s="4">
        <v>702</v>
      </c>
      <c r="B6643" s="4">
        <v>4931</v>
      </c>
      <c r="C6643" s="5">
        <f t="shared" ref="C6643:C6644" si="3124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  <c r="V6643">
        <f t="shared" si="3106"/>
        <v>16</v>
      </c>
      <c r="W6643">
        <f t="shared" si="3104"/>
        <v>11</v>
      </c>
      <c r="X6643">
        <f t="shared" si="3105"/>
        <v>2009</v>
      </c>
    </row>
    <row r="6644" spans="1:24" ht="12" customHeight="1">
      <c r="A6644" s="4">
        <v>703</v>
      </c>
      <c r="B6644" s="4">
        <v>4931</v>
      </c>
      <c r="C6644" s="5">
        <f t="shared" si="3124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3125">C6644+2</f>
        <v>40135</v>
      </c>
      <c r="V6644">
        <f t="shared" si="3106"/>
        <v>18</v>
      </c>
      <c r="W6644">
        <f t="shared" si="3104"/>
        <v>11</v>
      </c>
      <c r="X6644">
        <f t="shared" si="3105"/>
        <v>2009</v>
      </c>
    </row>
    <row r="6645" spans="1:24" ht="12" customHeight="1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3125"/>
        <v>40267</v>
      </c>
      <c r="V6645">
        <f t="shared" si="3106"/>
        <v>30</v>
      </c>
      <c r="W6645">
        <f t="shared" si="3104"/>
        <v>3</v>
      </c>
      <c r="X6645">
        <f t="shared" si="3105"/>
        <v>2010</v>
      </c>
    </row>
    <row r="6646" spans="1:24" ht="12" customHeight="1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  <c r="V6646">
        <f t="shared" si="3106"/>
        <v>4</v>
      </c>
      <c r="W6646">
        <f t="shared" si="3104"/>
        <v>3</v>
      </c>
      <c r="X6646">
        <f t="shared" si="3105"/>
        <v>2011</v>
      </c>
    </row>
    <row r="6647" spans="1:24" ht="12" customHeight="1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3126">C6647+7</f>
        <v>40514</v>
      </c>
      <c r="V6647">
        <f t="shared" si="3106"/>
        <v>2</v>
      </c>
      <c r="W6647">
        <f t="shared" si="3104"/>
        <v>12</v>
      </c>
      <c r="X6647">
        <f t="shared" si="3105"/>
        <v>2010</v>
      </c>
    </row>
    <row r="6648" spans="1:24" ht="12" customHeight="1">
      <c r="A6648" s="4">
        <v>753</v>
      </c>
      <c r="B6648" s="4">
        <v>5408</v>
      </c>
      <c r="C6648" s="5">
        <f t="shared" ref="C6648:C6649" si="3127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3126"/>
        <v>41117</v>
      </c>
      <c r="V6648">
        <f t="shared" si="3106"/>
        <v>27</v>
      </c>
      <c r="W6648">
        <f t="shared" si="3104"/>
        <v>7</v>
      </c>
      <c r="X6648">
        <f t="shared" si="3105"/>
        <v>2012</v>
      </c>
    </row>
    <row r="6649" spans="1:24" ht="12" customHeight="1">
      <c r="A6649" s="4">
        <v>754</v>
      </c>
      <c r="B6649" s="4">
        <v>5408</v>
      </c>
      <c r="C6649" s="5">
        <f t="shared" si="3127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  <c r="V6649">
        <f t="shared" si="3106"/>
        <v>29</v>
      </c>
      <c r="W6649">
        <f t="shared" si="3104"/>
        <v>7</v>
      </c>
      <c r="X6649">
        <f t="shared" si="3105"/>
        <v>2012</v>
      </c>
    </row>
    <row r="6650" spans="1:24" ht="12" customHeight="1">
      <c r="A6650" s="4">
        <v>763</v>
      </c>
      <c r="B6650" s="4">
        <v>5472</v>
      </c>
      <c r="C6650" s="5">
        <f t="shared" ref="C6650:C6652" si="3128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  <c r="V6650">
        <f t="shared" si="3106"/>
        <v>12</v>
      </c>
      <c r="W6650">
        <f t="shared" si="3104"/>
        <v>4</v>
      </c>
      <c r="X6650">
        <f t="shared" si="3105"/>
        <v>2010</v>
      </c>
    </row>
    <row r="6651" spans="1:24" ht="12" customHeight="1">
      <c r="A6651" s="4">
        <v>764</v>
      </c>
      <c r="B6651" s="4">
        <v>5472</v>
      </c>
      <c r="C6651" s="5">
        <f t="shared" si="3128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  <c r="V6651">
        <f t="shared" si="3106"/>
        <v>14</v>
      </c>
      <c r="W6651">
        <f t="shared" si="3104"/>
        <v>4</v>
      </c>
      <c r="X6651">
        <f t="shared" si="3105"/>
        <v>2010</v>
      </c>
    </row>
    <row r="6652" spans="1:24" ht="12" customHeight="1">
      <c r="A6652" s="4">
        <v>765</v>
      </c>
      <c r="B6652" s="4">
        <v>5472</v>
      </c>
      <c r="C6652" s="5">
        <f t="shared" si="3128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3129">C6652+2</f>
        <v>40280</v>
      </c>
      <c r="V6652">
        <f t="shared" si="3106"/>
        <v>12</v>
      </c>
      <c r="W6652">
        <f t="shared" si="3104"/>
        <v>4</v>
      </c>
      <c r="X6652">
        <f t="shared" si="3105"/>
        <v>2010</v>
      </c>
    </row>
    <row r="6653" spans="1:24" ht="12" customHeight="1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3129"/>
        <v>40429</v>
      </c>
      <c r="V6653">
        <f t="shared" si="3106"/>
        <v>8</v>
      </c>
      <c r="W6653">
        <f t="shared" si="3104"/>
        <v>9</v>
      </c>
      <c r="X6653">
        <f t="shared" si="3105"/>
        <v>2010</v>
      </c>
    </row>
    <row r="6654" spans="1:24" ht="12" customHeight="1">
      <c r="A6654" s="4">
        <v>827</v>
      </c>
      <c r="B6654" s="4">
        <v>5958</v>
      </c>
      <c r="C6654" s="5">
        <f t="shared" ref="C6654:C6655" si="3130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3129"/>
        <v>40803</v>
      </c>
      <c r="V6654">
        <f t="shared" si="3106"/>
        <v>17</v>
      </c>
      <c r="W6654">
        <f t="shared" si="3104"/>
        <v>9</v>
      </c>
      <c r="X6654">
        <f t="shared" si="3105"/>
        <v>2011</v>
      </c>
    </row>
    <row r="6655" spans="1:24" ht="12" customHeight="1">
      <c r="A6655" s="4">
        <v>828</v>
      </c>
      <c r="B6655" s="4">
        <v>5958</v>
      </c>
      <c r="C6655" s="5">
        <f t="shared" si="3130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  <c r="V6655">
        <f t="shared" si="3106"/>
        <v>15</v>
      </c>
      <c r="W6655">
        <f t="shared" si="3104"/>
        <v>9</v>
      </c>
      <c r="X6655">
        <f t="shared" si="3105"/>
        <v>2011</v>
      </c>
    </row>
    <row r="6656" spans="1:24" ht="12" customHeight="1">
      <c r="A6656" s="4">
        <v>829</v>
      </c>
      <c r="B6656" s="4">
        <v>5984</v>
      </c>
      <c r="C6656" s="5">
        <f t="shared" ref="C6656:C6658" si="3131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3132">C6656+5</f>
        <v>39986</v>
      </c>
      <c r="V6656">
        <f t="shared" si="3106"/>
        <v>22</v>
      </c>
      <c r="W6656">
        <f t="shared" si="3104"/>
        <v>6</v>
      </c>
      <c r="X6656">
        <f t="shared" si="3105"/>
        <v>2009</v>
      </c>
    </row>
    <row r="6657" spans="1:24" ht="12" customHeight="1">
      <c r="A6657" s="4">
        <v>830</v>
      </c>
      <c r="B6657" s="4">
        <v>5984</v>
      </c>
      <c r="C6657" s="5">
        <f t="shared" si="3131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3132"/>
        <v>39986</v>
      </c>
      <c r="V6657">
        <f t="shared" si="3106"/>
        <v>22</v>
      </c>
      <c r="W6657">
        <f t="shared" si="3104"/>
        <v>6</v>
      </c>
      <c r="X6657">
        <f t="shared" si="3105"/>
        <v>2009</v>
      </c>
    </row>
    <row r="6658" spans="1:24" ht="12" customHeight="1">
      <c r="A6658" s="4">
        <v>831</v>
      </c>
      <c r="B6658" s="4">
        <v>5984</v>
      </c>
      <c r="C6658" s="5">
        <f t="shared" si="3131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3133">C6658+2</f>
        <v>39983</v>
      </c>
      <c r="V6658">
        <f t="shared" si="3106"/>
        <v>19</v>
      </c>
      <c r="W6658">
        <f t="shared" si="3104"/>
        <v>6</v>
      </c>
      <c r="X6658">
        <f t="shared" si="3105"/>
        <v>2009</v>
      </c>
    </row>
    <row r="6659" spans="1:24" ht="12" customHeight="1">
      <c r="A6659" s="4">
        <v>836</v>
      </c>
      <c r="B6659" s="4">
        <v>5989</v>
      </c>
      <c r="C6659" s="5">
        <f t="shared" ref="C6659:C6660" si="3134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3133"/>
        <v>40832</v>
      </c>
      <c r="V6659">
        <f t="shared" si="3106"/>
        <v>16</v>
      </c>
      <c r="W6659">
        <f t="shared" ref="W6659:W6722" si="3135">MONTH(U6659)</f>
        <v>10</v>
      </c>
      <c r="X6659">
        <f t="shared" ref="X6659:X6722" si="3136">YEAR(U6659)</f>
        <v>2011</v>
      </c>
    </row>
    <row r="6660" spans="1:24" ht="12" customHeight="1">
      <c r="A6660" s="4">
        <v>837</v>
      </c>
      <c r="B6660" s="4">
        <v>5989</v>
      </c>
      <c r="C6660" s="5">
        <f t="shared" si="3134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3137">C6660+1</f>
        <v>40831</v>
      </c>
      <c r="V6660">
        <f t="shared" ref="V6660:V6723" si="3138">DAY(U6660)</f>
        <v>15</v>
      </c>
      <c r="W6660">
        <f t="shared" si="3135"/>
        <v>10</v>
      </c>
      <c r="X6660">
        <f t="shared" si="3136"/>
        <v>2011</v>
      </c>
    </row>
    <row r="6661" spans="1:24" ht="12" customHeight="1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3137"/>
        <v>40276</v>
      </c>
      <c r="V6661">
        <f t="shared" si="3138"/>
        <v>8</v>
      </c>
      <c r="W6661">
        <f t="shared" si="3135"/>
        <v>4</v>
      </c>
      <c r="X6661">
        <f t="shared" si="3136"/>
        <v>2010</v>
      </c>
    </row>
    <row r="6662" spans="1:24" ht="12" customHeight="1">
      <c r="A6662" s="4">
        <v>846</v>
      </c>
      <c r="B6662" s="4">
        <v>6054</v>
      </c>
      <c r="C6662" s="5">
        <f t="shared" ref="C6662:C6663" si="3139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  <c r="V6662">
        <f t="shared" si="3138"/>
        <v>10</v>
      </c>
      <c r="W6662">
        <f t="shared" si="3135"/>
        <v>9</v>
      </c>
      <c r="X6662">
        <f t="shared" si="3136"/>
        <v>2011</v>
      </c>
    </row>
    <row r="6663" spans="1:24" ht="12" customHeight="1">
      <c r="A6663" s="4">
        <v>847</v>
      </c>
      <c r="B6663" s="4">
        <v>6054</v>
      </c>
      <c r="C6663" s="5">
        <f t="shared" si="3139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  <c r="V6663">
        <f t="shared" si="3138"/>
        <v>13</v>
      </c>
      <c r="W6663">
        <f t="shared" si="3135"/>
        <v>9</v>
      </c>
      <c r="X6663">
        <f t="shared" si="3136"/>
        <v>2011</v>
      </c>
    </row>
    <row r="6664" spans="1:24" ht="12" customHeight="1">
      <c r="A6664" s="4">
        <v>909</v>
      </c>
      <c r="B6664" s="4">
        <v>6531</v>
      </c>
      <c r="C6664" s="5">
        <f t="shared" ref="C6664:C6665" si="3140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3141">C6664+2</f>
        <v>40378</v>
      </c>
      <c r="V6664">
        <f t="shared" si="3138"/>
        <v>19</v>
      </c>
      <c r="W6664">
        <f t="shared" si="3135"/>
        <v>7</v>
      </c>
      <c r="X6664">
        <f t="shared" si="3136"/>
        <v>2010</v>
      </c>
    </row>
    <row r="6665" spans="1:24" ht="12" customHeight="1">
      <c r="A6665" s="4">
        <v>910</v>
      </c>
      <c r="B6665" s="4">
        <v>6531</v>
      </c>
      <c r="C6665" s="5">
        <f t="shared" si="3140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3141"/>
        <v>40378</v>
      </c>
      <c r="V6665">
        <f t="shared" si="3138"/>
        <v>19</v>
      </c>
      <c r="W6665">
        <f t="shared" si="3135"/>
        <v>7</v>
      </c>
      <c r="X6665">
        <f t="shared" si="3136"/>
        <v>2010</v>
      </c>
    </row>
    <row r="6666" spans="1:24" ht="12" customHeight="1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3142">C6666+0</f>
        <v>40564</v>
      </c>
      <c r="V6666">
        <f t="shared" si="3138"/>
        <v>21</v>
      </c>
      <c r="W6666">
        <f t="shared" si="3135"/>
        <v>1</v>
      </c>
      <c r="X6666">
        <f t="shared" si="3136"/>
        <v>2011</v>
      </c>
    </row>
    <row r="6667" spans="1:24" ht="12" customHeight="1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3142"/>
        <v>40684</v>
      </c>
      <c r="V6667">
        <f t="shared" si="3138"/>
        <v>21</v>
      </c>
      <c r="W6667">
        <f t="shared" si="3135"/>
        <v>5</v>
      </c>
      <c r="X6667">
        <f t="shared" si="3136"/>
        <v>2011</v>
      </c>
    </row>
    <row r="6668" spans="1:24" ht="12" customHeight="1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3143">C6668+2</f>
        <v>41055</v>
      </c>
      <c r="V6668">
        <f t="shared" si="3138"/>
        <v>26</v>
      </c>
      <c r="W6668">
        <f t="shared" si="3135"/>
        <v>5</v>
      </c>
      <c r="X6668">
        <f t="shared" si="3136"/>
        <v>2012</v>
      </c>
    </row>
    <row r="6669" spans="1:24" ht="12" customHeight="1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3143"/>
        <v>40449</v>
      </c>
      <c r="V6669">
        <f t="shared" si="3138"/>
        <v>28</v>
      </c>
      <c r="W6669">
        <f t="shared" si="3135"/>
        <v>9</v>
      </c>
      <c r="X6669">
        <f t="shared" si="3136"/>
        <v>2010</v>
      </c>
    </row>
    <row r="6670" spans="1:24" ht="12" customHeight="1">
      <c r="A6670" s="4">
        <v>937</v>
      </c>
      <c r="B6670" s="4">
        <v>6788</v>
      </c>
      <c r="C6670" s="5">
        <f t="shared" ref="C6670:C6671" si="3144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3143"/>
        <v>40761</v>
      </c>
      <c r="V6670">
        <f t="shared" si="3138"/>
        <v>6</v>
      </c>
      <c r="W6670">
        <f t="shared" si="3135"/>
        <v>8</v>
      </c>
      <c r="X6670">
        <f t="shared" si="3136"/>
        <v>2011</v>
      </c>
    </row>
    <row r="6671" spans="1:24" ht="12" customHeight="1">
      <c r="A6671" s="4">
        <v>938</v>
      </c>
      <c r="B6671" s="4">
        <v>6788</v>
      </c>
      <c r="C6671" s="5">
        <f t="shared" si="3144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  <c r="V6671">
        <f t="shared" si="3138"/>
        <v>5</v>
      </c>
      <c r="W6671">
        <f t="shared" si="3135"/>
        <v>8</v>
      </c>
      <c r="X6671">
        <f t="shared" si="3136"/>
        <v>2011</v>
      </c>
    </row>
    <row r="6672" spans="1:24" ht="12" customHeight="1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  <c r="V6672">
        <f t="shared" si="3138"/>
        <v>27</v>
      </c>
      <c r="W6672">
        <f t="shared" si="3135"/>
        <v>5</v>
      </c>
      <c r="X6672">
        <f t="shared" si="3136"/>
        <v>2009</v>
      </c>
    </row>
    <row r="6673" spans="1:24" ht="12" customHeight="1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  <c r="V6673">
        <f t="shared" si="3138"/>
        <v>20</v>
      </c>
      <c r="W6673">
        <f t="shared" si="3135"/>
        <v>1</v>
      </c>
      <c r="X6673">
        <f t="shared" si="3136"/>
        <v>2012</v>
      </c>
    </row>
    <row r="6674" spans="1:24" ht="12" customHeight="1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  <c r="V6674">
        <f t="shared" si="3138"/>
        <v>10</v>
      </c>
      <c r="W6674">
        <f t="shared" si="3135"/>
        <v>1</v>
      </c>
      <c r="X6674">
        <f t="shared" si="3136"/>
        <v>2012</v>
      </c>
    </row>
    <row r="6675" spans="1:24" ht="12" customHeight="1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  <c r="V6675">
        <f t="shared" si="3138"/>
        <v>26</v>
      </c>
      <c r="W6675">
        <f t="shared" si="3135"/>
        <v>1</v>
      </c>
      <c r="X6675">
        <f t="shared" si="3136"/>
        <v>2009</v>
      </c>
    </row>
    <row r="6676" spans="1:24" ht="12" customHeight="1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3145">C6676+2</f>
        <v>40980</v>
      </c>
      <c r="V6676">
        <f t="shared" si="3138"/>
        <v>12</v>
      </c>
      <c r="W6676">
        <f t="shared" si="3135"/>
        <v>3</v>
      </c>
      <c r="X6676">
        <f t="shared" si="3136"/>
        <v>2012</v>
      </c>
    </row>
    <row r="6677" spans="1:24" ht="12" customHeight="1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3145"/>
        <v>41005</v>
      </c>
      <c r="V6677">
        <f t="shared" si="3138"/>
        <v>6</v>
      </c>
      <c r="W6677">
        <f t="shared" si="3135"/>
        <v>4</v>
      </c>
      <c r="X6677">
        <f t="shared" si="3136"/>
        <v>2012</v>
      </c>
    </row>
    <row r="6678" spans="1:24" ht="12" customHeight="1">
      <c r="A6678" s="4">
        <v>1056</v>
      </c>
      <c r="B6678" s="4">
        <v>7812</v>
      </c>
      <c r="C6678" s="5">
        <f t="shared" ref="C6678:C6679" si="3146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  <c r="V6678">
        <f t="shared" si="3138"/>
        <v>27</v>
      </c>
      <c r="W6678">
        <f t="shared" si="3135"/>
        <v>4</v>
      </c>
      <c r="X6678">
        <f t="shared" si="3136"/>
        <v>2011</v>
      </c>
    </row>
    <row r="6679" spans="1:24" ht="12" customHeight="1">
      <c r="A6679" s="4">
        <v>1057</v>
      </c>
      <c r="B6679" s="4">
        <v>7812</v>
      </c>
      <c r="C6679" s="5">
        <f t="shared" si="3146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  <c r="V6679">
        <f t="shared" si="3138"/>
        <v>22</v>
      </c>
      <c r="W6679">
        <f t="shared" si="3135"/>
        <v>4</v>
      </c>
      <c r="X6679">
        <f t="shared" si="3136"/>
        <v>2011</v>
      </c>
    </row>
    <row r="6680" spans="1:24" ht="12" customHeight="1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  <c r="V6680">
        <f t="shared" si="3138"/>
        <v>12</v>
      </c>
      <c r="W6680">
        <f t="shared" si="3135"/>
        <v>1</v>
      </c>
      <c r="X6680">
        <f t="shared" si="3136"/>
        <v>2011</v>
      </c>
    </row>
    <row r="6681" spans="1:24" ht="12" customHeight="1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3147">C6681+2</f>
        <v>40252</v>
      </c>
      <c r="V6681">
        <f t="shared" si="3138"/>
        <v>15</v>
      </c>
      <c r="W6681">
        <f t="shared" si="3135"/>
        <v>3</v>
      </c>
      <c r="X6681">
        <f t="shared" si="3136"/>
        <v>2010</v>
      </c>
    </row>
    <row r="6682" spans="1:24" ht="12" customHeight="1">
      <c r="A6682" s="4">
        <v>1086</v>
      </c>
      <c r="B6682" s="4">
        <v>8001</v>
      </c>
      <c r="C6682" s="5">
        <f t="shared" ref="C6682:C6683" si="3148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3147"/>
        <v>40503</v>
      </c>
      <c r="V6682">
        <f t="shared" si="3138"/>
        <v>21</v>
      </c>
      <c r="W6682">
        <f t="shared" si="3135"/>
        <v>11</v>
      </c>
      <c r="X6682">
        <f t="shared" si="3136"/>
        <v>2010</v>
      </c>
    </row>
    <row r="6683" spans="1:24" ht="12" customHeight="1">
      <c r="A6683" s="4">
        <v>1087</v>
      </c>
      <c r="B6683" s="4">
        <v>8001</v>
      </c>
      <c r="C6683" s="5">
        <f t="shared" si="3148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3147"/>
        <v>40503</v>
      </c>
      <c r="V6683">
        <f t="shared" si="3138"/>
        <v>21</v>
      </c>
      <c r="W6683">
        <f t="shared" si="3135"/>
        <v>11</v>
      </c>
      <c r="X6683">
        <f t="shared" si="3136"/>
        <v>2010</v>
      </c>
    </row>
    <row r="6684" spans="1:24" ht="12" customHeight="1">
      <c r="A6684" s="4">
        <v>1102</v>
      </c>
      <c r="B6684" s="4">
        <v>8101</v>
      </c>
      <c r="C6684" s="5">
        <f t="shared" ref="C6684:C6685" si="3149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3147"/>
        <v>40243</v>
      </c>
      <c r="V6684">
        <f t="shared" si="3138"/>
        <v>6</v>
      </c>
      <c r="W6684">
        <f t="shared" si="3135"/>
        <v>3</v>
      </c>
      <c r="X6684">
        <f t="shared" si="3136"/>
        <v>2010</v>
      </c>
    </row>
    <row r="6685" spans="1:24" ht="12" customHeight="1">
      <c r="A6685" s="4">
        <v>1103</v>
      </c>
      <c r="B6685" s="4">
        <v>8101</v>
      </c>
      <c r="C6685" s="5">
        <f t="shared" si="3149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3147"/>
        <v>40243</v>
      </c>
      <c r="V6685">
        <f t="shared" si="3138"/>
        <v>6</v>
      </c>
      <c r="W6685">
        <f t="shared" si="3135"/>
        <v>3</v>
      </c>
      <c r="X6685">
        <f t="shared" si="3136"/>
        <v>2010</v>
      </c>
    </row>
    <row r="6686" spans="1:24" ht="12" customHeight="1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3147"/>
        <v>39969</v>
      </c>
      <c r="V6686">
        <f t="shared" si="3138"/>
        <v>5</v>
      </c>
      <c r="W6686">
        <f t="shared" si="3135"/>
        <v>6</v>
      </c>
      <c r="X6686">
        <f t="shared" si="3136"/>
        <v>2009</v>
      </c>
    </row>
    <row r="6687" spans="1:24" ht="12" customHeight="1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3147"/>
        <v>40077</v>
      </c>
      <c r="V6687">
        <f t="shared" si="3138"/>
        <v>21</v>
      </c>
      <c r="W6687">
        <f t="shared" si="3135"/>
        <v>9</v>
      </c>
      <c r="X6687">
        <f t="shared" si="3136"/>
        <v>2009</v>
      </c>
    </row>
    <row r="6688" spans="1:24" ht="12" customHeight="1">
      <c r="A6688" s="4">
        <v>1144</v>
      </c>
      <c r="B6688" s="4">
        <v>8325</v>
      </c>
      <c r="C6688" s="5">
        <f t="shared" ref="C6688:C6689" si="3150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3147"/>
        <v>39829</v>
      </c>
      <c r="V6688">
        <f t="shared" si="3138"/>
        <v>16</v>
      </c>
      <c r="W6688">
        <f t="shared" si="3135"/>
        <v>1</v>
      </c>
      <c r="X6688">
        <f t="shared" si="3136"/>
        <v>2009</v>
      </c>
    </row>
    <row r="6689" spans="1:24" ht="12" customHeight="1">
      <c r="A6689" s="4">
        <v>1145</v>
      </c>
      <c r="B6689" s="4">
        <v>8325</v>
      </c>
      <c r="C6689" s="5">
        <f t="shared" si="3150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  <c r="V6689">
        <f t="shared" si="3138"/>
        <v>17</v>
      </c>
      <c r="W6689">
        <f t="shared" si="3135"/>
        <v>1</v>
      </c>
      <c r="X6689">
        <f t="shared" si="3136"/>
        <v>2009</v>
      </c>
    </row>
    <row r="6690" spans="1:24" ht="12" customHeight="1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  <c r="V6690">
        <f t="shared" si="3138"/>
        <v>11</v>
      </c>
      <c r="W6690">
        <f t="shared" si="3135"/>
        <v>1</v>
      </c>
      <c r="X6690">
        <f t="shared" si="3136"/>
        <v>2009</v>
      </c>
    </row>
    <row r="6691" spans="1:24" ht="12" customHeight="1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  <c r="V6691">
        <f t="shared" si="3138"/>
        <v>20</v>
      </c>
      <c r="W6691">
        <f t="shared" si="3135"/>
        <v>11</v>
      </c>
      <c r="X6691">
        <f t="shared" si="3136"/>
        <v>2010</v>
      </c>
    </row>
    <row r="6692" spans="1:24" ht="12" customHeight="1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  <c r="V6692">
        <f t="shared" si="3138"/>
        <v>6</v>
      </c>
      <c r="W6692">
        <f t="shared" si="3135"/>
        <v>2</v>
      </c>
      <c r="X6692">
        <f t="shared" si="3136"/>
        <v>2012</v>
      </c>
    </row>
    <row r="6693" spans="1:24" ht="12" customHeight="1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  <c r="V6693">
        <f t="shared" si="3138"/>
        <v>27</v>
      </c>
      <c r="W6693">
        <f t="shared" si="3135"/>
        <v>8</v>
      </c>
      <c r="X6693">
        <f t="shared" si="3136"/>
        <v>2011</v>
      </c>
    </row>
    <row r="6694" spans="1:24" ht="12" customHeight="1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3151">C6694+2</f>
        <v>39954</v>
      </c>
      <c r="V6694">
        <f t="shared" si="3138"/>
        <v>21</v>
      </c>
      <c r="W6694">
        <f t="shared" si="3135"/>
        <v>5</v>
      </c>
      <c r="X6694">
        <f t="shared" si="3136"/>
        <v>2009</v>
      </c>
    </row>
    <row r="6695" spans="1:24" ht="12" customHeight="1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3151"/>
        <v>39978</v>
      </c>
      <c r="V6695">
        <f t="shared" si="3138"/>
        <v>14</v>
      </c>
      <c r="W6695">
        <f t="shared" si="3135"/>
        <v>6</v>
      </c>
      <c r="X6695">
        <f t="shared" si="3136"/>
        <v>2009</v>
      </c>
    </row>
    <row r="6696" spans="1:24" ht="12" customHeight="1">
      <c r="A6696" s="4">
        <v>1249</v>
      </c>
      <c r="B6696" s="4">
        <v>9091</v>
      </c>
      <c r="C6696" s="5">
        <f t="shared" ref="C6696:C6697" si="3152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3153">C6696+1</f>
        <v>40494</v>
      </c>
      <c r="V6696">
        <f t="shared" si="3138"/>
        <v>12</v>
      </c>
      <c r="W6696">
        <f t="shared" si="3135"/>
        <v>11</v>
      </c>
      <c r="X6696">
        <f t="shared" si="3136"/>
        <v>2010</v>
      </c>
    </row>
    <row r="6697" spans="1:24" ht="12" customHeight="1">
      <c r="A6697" s="4">
        <v>1250</v>
      </c>
      <c r="B6697" s="4">
        <v>9091</v>
      </c>
      <c r="C6697" s="5">
        <f t="shared" si="3152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3153"/>
        <v>40494</v>
      </c>
      <c r="V6697">
        <f t="shared" si="3138"/>
        <v>12</v>
      </c>
      <c r="W6697">
        <f t="shared" si="3135"/>
        <v>11</v>
      </c>
      <c r="X6697">
        <f t="shared" si="3136"/>
        <v>2010</v>
      </c>
    </row>
    <row r="6698" spans="1:24" ht="12" customHeight="1">
      <c r="A6698" s="4">
        <v>1251</v>
      </c>
      <c r="B6698" s="4">
        <v>9092</v>
      </c>
      <c r="C6698" s="5">
        <f t="shared" ref="C6698:C6699" si="3154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3153"/>
        <v>40019</v>
      </c>
      <c r="V6698">
        <f t="shared" si="3138"/>
        <v>25</v>
      </c>
      <c r="W6698">
        <f t="shared" si="3135"/>
        <v>7</v>
      </c>
      <c r="X6698">
        <f t="shared" si="3136"/>
        <v>2009</v>
      </c>
    </row>
    <row r="6699" spans="1:24" ht="12" customHeight="1">
      <c r="A6699" s="4">
        <v>1252</v>
      </c>
      <c r="B6699" s="4">
        <v>9092</v>
      </c>
      <c r="C6699" s="5">
        <f t="shared" si="3154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3153"/>
        <v>40019</v>
      </c>
      <c r="V6699">
        <f t="shared" si="3138"/>
        <v>25</v>
      </c>
      <c r="W6699">
        <f t="shared" si="3135"/>
        <v>7</v>
      </c>
      <c r="X6699">
        <f t="shared" si="3136"/>
        <v>2009</v>
      </c>
    </row>
    <row r="6700" spans="1:24" ht="12" customHeight="1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  <c r="V6700">
        <f t="shared" si="3138"/>
        <v>9</v>
      </c>
      <c r="W6700">
        <f t="shared" si="3135"/>
        <v>12</v>
      </c>
      <c r="X6700">
        <f t="shared" si="3136"/>
        <v>2011</v>
      </c>
    </row>
    <row r="6701" spans="1:24" ht="12" customHeight="1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3155">C6701+2</f>
        <v>40421</v>
      </c>
      <c r="V6701">
        <f t="shared" si="3138"/>
        <v>31</v>
      </c>
      <c r="W6701">
        <f t="shared" si="3135"/>
        <v>8</v>
      </c>
      <c r="X6701">
        <f t="shared" si="3136"/>
        <v>2010</v>
      </c>
    </row>
    <row r="6702" spans="1:24" ht="12" customHeight="1">
      <c r="A6702" s="4">
        <v>1282</v>
      </c>
      <c r="B6702" s="4">
        <v>9344</v>
      </c>
      <c r="C6702" s="5">
        <f t="shared" ref="C6702:C6703" si="3156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3155"/>
        <v>40885</v>
      </c>
      <c r="V6702">
        <f t="shared" si="3138"/>
        <v>8</v>
      </c>
      <c r="W6702">
        <f t="shared" si="3135"/>
        <v>12</v>
      </c>
      <c r="X6702">
        <f t="shared" si="3136"/>
        <v>2011</v>
      </c>
    </row>
    <row r="6703" spans="1:24" ht="12" customHeight="1">
      <c r="A6703" s="4">
        <v>1283</v>
      </c>
      <c r="B6703" s="4">
        <v>9344</v>
      </c>
      <c r="C6703" s="5">
        <f t="shared" si="3156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  <c r="V6703">
        <f t="shared" si="3138"/>
        <v>6</v>
      </c>
      <c r="W6703">
        <f t="shared" si="3135"/>
        <v>12</v>
      </c>
      <c r="X6703">
        <f t="shared" si="3136"/>
        <v>2011</v>
      </c>
    </row>
    <row r="6704" spans="1:24" ht="12" customHeight="1">
      <c r="A6704" s="4">
        <v>1342</v>
      </c>
      <c r="B6704" s="4">
        <v>9824</v>
      </c>
      <c r="C6704" s="5">
        <f t="shared" ref="C6704:C6706" si="3157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3158">C6704+2</f>
        <v>40567</v>
      </c>
      <c r="V6704">
        <f t="shared" si="3138"/>
        <v>24</v>
      </c>
      <c r="W6704">
        <f t="shared" si="3135"/>
        <v>1</v>
      </c>
      <c r="X6704">
        <f t="shared" si="3136"/>
        <v>2011</v>
      </c>
    </row>
    <row r="6705" spans="1:24" ht="12" customHeight="1">
      <c r="A6705" s="4">
        <v>1343</v>
      </c>
      <c r="B6705" s="4">
        <v>9824</v>
      </c>
      <c r="C6705" s="5">
        <f t="shared" si="3157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3158"/>
        <v>40567</v>
      </c>
      <c r="V6705">
        <f t="shared" si="3138"/>
        <v>24</v>
      </c>
      <c r="W6705">
        <f t="shared" si="3135"/>
        <v>1</v>
      </c>
      <c r="X6705">
        <f t="shared" si="3136"/>
        <v>2011</v>
      </c>
    </row>
    <row r="6706" spans="1:24" ht="12" customHeight="1">
      <c r="A6706" s="4">
        <v>1344</v>
      </c>
      <c r="B6706" s="4">
        <v>9824</v>
      </c>
      <c r="C6706" s="5">
        <f t="shared" si="3157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3158"/>
        <v>40567</v>
      </c>
      <c r="V6706">
        <f t="shared" si="3138"/>
        <v>24</v>
      </c>
      <c r="W6706">
        <f t="shared" si="3135"/>
        <v>1</v>
      </c>
      <c r="X6706">
        <f t="shared" si="3136"/>
        <v>2011</v>
      </c>
    </row>
    <row r="6707" spans="1:24" ht="12" customHeight="1">
      <c r="A6707" s="4">
        <v>1383</v>
      </c>
      <c r="B6707" s="4">
        <v>10052</v>
      </c>
      <c r="C6707" s="5">
        <f t="shared" ref="C6707:C6709" si="3159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  <c r="V6707">
        <f t="shared" si="3138"/>
        <v>8</v>
      </c>
      <c r="W6707">
        <f t="shared" si="3135"/>
        <v>9</v>
      </c>
      <c r="X6707">
        <f t="shared" si="3136"/>
        <v>2009</v>
      </c>
    </row>
    <row r="6708" spans="1:24" ht="12" customHeight="1">
      <c r="A6708" s="4">
        <v>1384</v>
      </c>
      <c r="B6708" s="4">
        <v>10052</v>
      </c>
      <c r="C6708" s="5">
        <f t="shared" si="3159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3160">C6708+2</f>
        <v>40065</v>
      </c>
      <c r="V6708">
        <f t="shared" si="3138"/>
        <v>9</v>
      </c>
      <c r="W6708">
        <f t="shared" si="3135"/>
        <v>9</v>
      </c>
      <c r="X6708">
        <f t="shared" si="3136"/>
        <v>2009</v>
      </c>
    </row>
    <row r="6709" spans="1:24" ht="12" customHeight="1">
      <c r="A6709" s="4">
        <v>1385</v>
      </c>
      <c r="B6709" s="4">
        <v>10052</v>
      </c>
      <c r="C6709" s="5">
        <f t="shared" si="3159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3160"/>
        <v>40065</v>
      </c>
      <c r="V6709">
        <f t="shared" si="3138"/>
        <v>9</v>
      </c>
      <c r="W6709">
        <f t="shared" si="3135"/>
        <v>9</v>
      </c>
      <c r="X6709">
        <f t="shared" si="3136"/>
        <v>2009</v>
      </c>
    </row>
    <row r="6710" spans="1:24" ht="12" customHeight="1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  <c r="V6710">
        <f t="shared" si="3138"/>
        <v>19</v>
      </c>
      <c r="W6710">
        <f t="shared" si="3135"/>
        <v>2</v>
      </c>
      <c r="X6710">
        <f t="shared" si="3136"/>
        <v>2010</v>
      </c>
    </row>
    <row r="6711" spans="1:24" ht="12" customHeight="1">
      <c r="A6711" s="4">
        <v>1393</v>
      </c>
      <c r="B6711" s="4">
        <v>10117</v>
      </c>
      <c r="C6711" s="5">
        <f t="shared" ref="C6711:C6712" si="3161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  <c r="V6711">
        <f t="shared" si="3138"/>
        <v>17</v>
      </c>
      <c r="W6711">
        <f t="shared" si="3135"/>
        <v>11</v>
      </c>
      <c r="X6711">
        <f t="shared" si="3136"/>
        <v>2010</v>
      </c>
    </row>
    <row r="6712" spans="1:24" ht="12" customHeight="1">
      <c r="A6712" s="4">
        <v>1394</v>
      </c>
      <c r="B6712" s="4">
        <v>10117</v>
      </c>
      <c r="C6712" s="5">
        <f t="shared" si="3161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  <c r="V6712">
        <f t="shared" si="3138"/>
        <v>18</v>
      </c>
      <c r="W6712">
        <f t="shared" si="3135"/>
        <v>11</v>
      </c>
      <c r="X6712">
        <f t="shared" si="3136"/>
        <v>2010</v>
      </c>
    </row>
    <row r="6713" spans="1:24" ht="12" customHeight="1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  <c r="V6713">
        <f t="shared" si="3138"/>
        <v>6</v>
      </c>
      <c r="W6713">
        <f t="shared" si="3135"/>
        <v>5</v>
      </c>
      <c r="X6713">
        <f t="shared" si="3136"/>
        <v>2009</v>
      </c>
    </row>
    <row r="6714" spans="1:24" ht="12" customHeight="1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3162">C6714+1</f>
        <v>40588</v>
      </c>
      <c r="V6714">
        <f t="shared" si="3138"/>
        <v>14</v>
      </c>
      <c r="W6714">
        <f t="shared" si="3135"/>
        <v>2</v>
      </c>
      <c r="X6714">
        <f t="shared" si="3136"/>
        <v>2011</v>
      </c>
    </row>
    <row r="6715" spans="1:24" ht="12" customHeight="1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3162"/>
        <v>39911</v>
      </c>
      <c r="V6715">
        <f t="shared" si="3138"/>
        <v>8</v>
      </c>
      <c r="W6715">
        <f t="shared" si="3135"/>
        <v>4</v>
      </c>
      <c r="X6715">
        <f t="shared" si="3136"/>
        <v>2009</v>
      </c>
    </row>
    <row r="6716" spans="1:24" ht="12" customHeight="1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  <c r="V6716">
        <f t="shared" si="3138"/>
        <v>12</v>
      </c>
      <c r="W6716">
        <f t="shared" si="3135"/>
        <v>7</v>
      </c>
      <c r="X6716">
        <f t="shared" si="3136"/>
        <v>2009</v>
      </c>
    </row>
    <row r="6717" spans="1:24" ht="12" customHeight="1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  <c r="V6717">
        <f t="shared" si="3138"/>
        <v>15</v>
      </c>
      <c r="W6717">
        <f t="shared" si="3135"/>
        <v>10</v>
      </c>
      <c r="X6717">
        <f t="shared" si="3136"/>
        <v>2011</v>
      </c>
    </row>
    <row r="6718" spans="1:24" ht="12" customHeight="1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3163">C6718+1</f>
        <v>41269</v>
      </c>
      <c r="V6718">
        <f t="shared" si="3138"/>
        <v>26</v>
      </c>
      <c r="W6718">
        <f t="shared" si="3135"/>
        <v>12</v>
      </c>
      <c r="X6718">
        <f t="shared" si="3136"/>
        <v>2012</v>
      </c>
    </row>
    <row r="6719" spans="1:24" ht="12" customHeight="1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3163"/>
        <v>40129</v>
      </c>
      <c r="V6719">
        <f t="shared" si="3138"/>
        <v>12</v>
      </c>
      <c r="W6719">
        <f t="shared" si="3135"/>
        <v>11</v>
      </c>
      <c r="X6719">
        <f t="shared" si="3136"/>
        <v>2009</v>
      </c>
    </row>
    <row r="6720" spans="1:24" ht="12" customHeight="1">
      <c r="A6720" s="4">
        <v>1465</v>
      </c>
      <c r="B6720" s="4">
        <v>10563</v>
      </c>
      <c r="C6720" s="5">
        <f t="shared" ref="C6720:C6721" si="3164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3163"/>
        <v>40451</v>
      </c>
      <c r="V6720">
        <f t="shared" si="3138"/>
        <v>30</v>
      </c>
      <c r="W6720">
        <f t="shared" si="3135"/>
        <v>9</v>
      </c>
      <c r="X6720">
        <f t="shared" si="3136"/>
        <v>2010</v>
      </c>
    </row>
    <row r="6721" spans="1:24" ht="12" customHeight="1">
      <c r="A6721" s="4">
        <v>1466</v>
      </c>
      <c r="B6721" s="4">
        <v>10563</v>
      </c>
      <c r="C6721" s="5">
        <f t="shared" si="3164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  <c r="V6721">
        <f t="shared" si="3138"/>
        <v>1</v>
      </c>
      <c r="W6721">
        <f t="shared" si="3135"/>
        <v>10</v>
      </c>
      <c r="X6721">
        <f t="shared" si="3136"/>
        <v>2010</v>
      </c>
    </row>
    <row r="6722" spans="1:24" ht="12" customHeight="1">
      <c r="A6722" s="4">
        <v>1477</v>
      </c>
      <c r="B6722" s="4">
        <v>10658</v>
      </c>
      <c r="C6722" s="5">
        <f t="shared" ref="C6722:C6724" si="3165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  <c r="V6722">
        <f t="shared" si="3138"/>
        <v>31</v>
      </c>
      <c r="W6722">
        <f t="shared" si="3135"/>
        <v>8</v>
      </c>
      <c r="X6722">
        <f t="shared" si="3136"/>
        <v>2009</v>
      </c>
    </row>
    <row r="6723" spans="1:24" ht="12" customHeight="1">
      <c r="A6723" s="4">
        <v>1478</v>
      </c>
      <c r="B6723" s="4">
        <v>10658</v>
      </c>
      <c r="C6723" s="5">
        <f t="shared" si="3165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  <c r="V6723">
        <f t="shared" si="3138"/>
        <v>27</v>
      </c>
      <c r="W6723">
        <f t="shared" ref="W6723:W6786" si="3166">MONTH(U6723)</f>
        <v>8</v>
      </c>
      <c r="X6723">
        <f t="shared" ref="X6723:X6786" si="3167">YEAR(U6723)</f>
        <v>2009</v>
      </c>
    </row>
    <row r="6724" spans="1:24" ht="12" customHeight="1">
      <c r="A6724" s="4">
        <v>1479</v>
      </c>
      <c r="B6724" s="4">
        <v>10658</v>
      </c>
      <c r="C6724" s="5">
        <f t="shared" si="3165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  <c r="V6724">
        <f t="shared" ref="V6724:V6787" si="3168">DAY(U6724)</f>
        <v>3</v>
      </c>
      <c r="W6724">
        <f t="shared" si="3166"/>
        <v>9</v>
      </c>
      <c r="X6724">
        <f t="shared" si="3167"/>
        <v>2009</v>
      </c>
    </row>
    <row r="6725" spans="1:24" ht="12" customHeight="1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  <c r="V6725">
        <f t="shared" si="3168"/>
        <v>21</v>
      </c>
      <c r="W6725">
        <f t="shared" si="3166"/>
        <v>5</v>
      </c>
      <c r="X6725">
        <f t="shared" si="3167"/>
        <v>2011</v>
      </c>
    </row>
    <row r="6726" spans="1:24" ht="12" customHeight="1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  <c r="V6726">
        <f t="shared" si="3168"/>
        <v>13</v>
      </c>
      <c r="W6726">
        <f t="shared" si="3166"/>
        <v>8</v>
      </c>
      <c r="X6726">
        <f t="shared" si="3167"/>
        <v>2012</v>
      </c>
    </row>
    <row r="6727" spans="1:24" ht="12" customHeight="1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  <c r="V6727">
        <f t="shared" si="3168"/>
        <v>9</v>
      </c>
      <c r="W6727">
        <f t="shared" si="3166"/>
        <v>9</v>
      </c>
      <c r="X6727">
        <f t="shared" si="3167"/>
        <v>2010</v>
      </c>
    </row>
    <row r="6728" spans="1:24" ht="12" customHeight="1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  <c r="V6728">
        <f t="shared" si="3168"/>
        <v>24</v>
      </c>
      <c r="W6728">
        <f t="shared" si="3166"/>
        <v>3</v>
      </c>
      <c r="X6728">
        <f t="shared" si="3167"/>
        <v>2009</v>
      </c>
    </row>
    <row r="6729" spans="1:24" ht="12" customHeight="1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  <c r="V6729">
        <f t="shared" si="3168"/>
        <v>10</v>
      </c>
      <c r="W6729">
        <f t="shared" si="3166"/>
        <v>4</v>
      </c>
      <c r="X6729">
        <f t="shared" si="3167"/>
        <v>2009</v>
      </c>
    </row>
    <row r="6730" spans="1:24" ht="12" customHeight="1">
      <c r="A6730" s="4">
        <v>1555</v>
      </c>
      <c r="B6730" s="4">
        <v>11236</v>
      </c>
      <c r="C6730" s="5">
        <f t="shared" ref="C6730:C6731" si="3169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3170">C6730+0</f>
        <v>40481</v>
      </c>
      <c r="V6730">
        <f t="shared" si="3168"/>
        <v>30</v>
      </c>
      <c r="W6730">
        <f t="shared" si="3166"/>
        <v>10</v>
      </c>
      <c r="X6730">
        <f t="shared" si="3167"/>
        <v>2010</v>
      </c>
    </row>
    <row r="6731" spans="1:24" ht="12" customHeight="1">
      <c r="A6731" s="4">
        <v>1556</v>
      </c>
      <c r="B6731" s="4">
        <v>11236</v>
      </c>
      <c r="C6731" s="5">
        <f t="shared" si="3169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3170"/>
        <v>40481</v>
      </c>
      <c r="V6731">
        <f t="shared" si="3168"/>
        <v>30</v>
      </c>
      <c r="W6731">
        <f t="shared" si="3166"/>
        <v>10</v>
      </c>
      <c r="X6731">
        <f t="shared" si="3167"/>
        <v>2010</v>
      </c>
    </row>
    <row r="6732" spans="1:24" ht="12" customHeight="1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  <c r="V6732">
        <f t="shared" si="3168"/>
        <v>6</v>
      </c>
      <c r="W6732">
        <f t="shared" si="3166"/>
        <v>9</v>
      </c>
      <c r="X6732">
        <f t="shared" si="3167"/>
        <v>2009</v>
      </c>
    </row>
    <row r="6733" spans="1:24" ht="12" customHeight="1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  <c r="V6733">
        <f t="shared" si="3168"/>
        <v>11</v>
      </c>
      <c r="W6733">
        <f t="shared" si="3166"/>
        <v>7</v>
      </c>
      <c r="X6733">
        <f t="shared" si="3167"/>
        <v>2010</v>
      </c>
    </row>
    <row r="6734" spans="1:24" ht="12" customHeight="1">
      <c r="A6734" s="4">
        <v>1618</v>
      </c>
      <c r="B6734" s="4">
        <v>11714</v>
      </c>
      <c r="C6734" s="5">
        <f t="shared" ref="C6734:C6735" si="3171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3172">C6734+1</f>
        <v>40030</v>
      </c>
      <c r="V6734">
        <f t="shared" si="3168"/>
        <v>5</v>
      </c>
      <c r="W6734">
        <f t="shared" si="3166"/>
        <v>8</v>
      </c>
      <c r="X6734">
        <f t="shared" si="3167"/>
        <v>2009</v>
      </c>
    </row>
    <row r="6735" spans="1:24" ht="12" customHeight="1">
      <c r="A6735" s="4">
        <v>1619</v>
      </c>
      <c r="B6735" s="4">
        <v>11714</v>
      </c>
      <c r="C6735" s="5">
        <f t="shared" si="3171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3172"/>
        <v>40030</v>
      </c>
      <c r="V6735">
        <f t="shared" si="3168"/>
        <v>5</v>
      </c>
      <c r="W6735">
        <f t="shared" si="3166"/>
        <v>8</v>
      </c>
      <c r="X6735">
        <f t="shared" si="3167"/>
        <v>2009</v>
      </c>
    </row>
    <row r="6736" spans="1:24" ht="12" customHeight="1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  <c r="V6736">
        <f t="shared" si="3168"/>
        <v>3</v>
      </c>
      <c r="W6736">
        <f t="shared" si="3166"/>
        <v>6</v>
      </c>
      <c r="X6736">
        <f t="shared" si="3167"/>
        <v>2009</v>
      </c>
    </row>
    <row r="6737" spans="1:24" ht="12" customHeight="1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  <c r="V6737">
        <f t="shared" si="3168"/>
        <v>22</v>
      </c>
      <c r="W6737">
        <f t="shared" si="3166"/>
        <v>9</v>
      </c>
      <c r="X6737">
        <f t="shared" si="3167"/>
        <v>2010</v>
      </c>
    </row>
    <row r="6738" spans="1:24" ht="12" customHeight="1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3173">C6738+2</f>
        <v>40085</v>
      </c>
      <c r="V6738">
        <f t="shared" si="3168"/>
        <v>29</v>
      </c>
      <c r="W6738">
        <f t="shared" si="3166"/>
        <v>9</v>
      </c>
      <c r="X6738">
        <f t="shared" si="3167"/>
        <v>2009</v>
      </c>
    </row>
    <row r="6739" spans="1:24" ht="12" customHeight="1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3173"/>
        <v>40347</v>
      </c>
      <c r="V6739">
        <f t="shared" si="3168"/>
        <v>18</v>
      </c>
      <c r="W6739">
        <f t="shared" si="3166"/>
        <v>6</v>
      </c>
      <c r="X6739">
        <f t="shared" si="3167"/>
        <v>2010</v>
      </c>
    </row>
    <row r="6740" spans="1:24" ht="12" customHeight="1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  <c r="V6740">
        <f t="shared" si="3168"/>
        <v>7</v>
      </c>
      <c r="W6740">
        <f t="shared" si="3166"/>
        <v>2</v>
      </c>
      <c r="X6740">
        <f t="shared" si="3167"/>
        <v>2011</v>
      </c>
    </row>
    <row r="6741" spans="1:24" ht="12" customHeight="1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  <c r="V6741">
        <f t="shared" si="3168"/>
        <v>15</v>
      </c>
      <c r="W6741">
        <f t="shared" si="3166"/>
        <v>12</v>
      </c>
      <c r="X6741">
        <f t="shared" si="3167"/>
        <v>2011</v>
      </c>
    </row>
    <row r="6742" spans="1:24" ht="12" customHeight="1">
      <c r="A6742" s="4">
        <v>1746</v>
      </c>
      <c r="B6742" s="4">
        <v>12486</v>
      </c>
      <c r="C6742" s="5">
        <f t="shared" ref="C6742:C6743" si="3174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3175">C6742+1</f>
        <v>40595</v>
      </c>
      <c r="V6742">
        <f t="shared" si="3168"/>
        <v>21</v>
      </c>
      <c r="W6742">
        <f t="shared" si="3166"/>
        <v>2</v>
      </c>
      <c r="X6742">
        <f t="shared" si="3167"/>
        <v>2011</v>
      </c>
    </row>
    <row r="6743" spans="1:24" ht="12" customHeight="1">
      <c r="A6743" s="4">
        <v>1747</v>
      </c>
      <c r="B6743" s="4">
        <v>12486</v>
      </c>
      <c r="C6743" s="5">
        <f t="shared" si="3174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3175"/>
        <v>40595</v>
      </c>
      <c r="V6743">
        <f t="shared" si="3168"/>
        <v>21</v>
      </c>
      <c r="W6743">
        <f t="shared" si="3166"/>
        <v>2</v>
      </c>
      <c r="X6743">
        <f t="shared" si="3167"/>
        <v>2011</v>
      </c>
    </row>
    <row r="6744" spans="1:24" ht="12" customHeight="1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  <c r="V6744">
        <f t="shared" si="3168"/>
        <v>15</v>
      </c>
      <c r="W6744">
        <f t="shared" si="3166"/>
        <v>1</v>
      </c>
      <c r="X6744">
        <f t="shared" si="3167"/>
        <v>2010</v>
      </c>
    </row>
    <row r="6745" spans="1:24" ht="12" customHeight="1">
      <c r="A6745" s="4">
        <v>1758</v>
      </c>
      <c r="B6745" s="4">
        <v>12612</v>
      </c>
      <c r="C6745" s="5">
        <f t="shared" ref="C6745:C6746" si="3176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  <c r="V6745">
        <f t="shared" si="3168"/>
        <v>21</v>
      </c>
      <c r="W6745">
        <f t="shared" si="3166"/>
        <v>12</v>
      </c>
      <c r="X6745">
        <f t="shared" si="3167"/>
        <v>2010</v>
      </c>
    </row>
    <row r="6746" spans="1:24" ht="12" customHeight="1">
      <c r="A6746" s="4">
        <v>1759</v>
      </c>
      <c r="B6746" s="4">
        <v>12612</v>
      </c>
      <c r="C6746" s="5">
        <f t="shared" si="3176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  <c r="V6746">
        <f t="shared" si="3168"/>
        <v>26</v>
      </c>
      <c r="W6746">
        <f t="shared" si="3166"/>
        <v>12</v>
      </c>
      <c r="X6746">
        <f t="shared" si="3167"/>
        <v>2010</v>
      </c>
    </row>
    <row r="6747" spans="1:24" ht="12" customHeight="1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  <c r="V6747">
        <f t="shared" si="3168"/>
        <v>21</v>
      </c>
      <c r="W6747">
        <f t="shared" si="3166"/>
        <v>11</v>
      </c>
      <c r="X6747">
        <f t="shared" si="3167"/>
        <v>2009</v>
      </c>
    </row>
    <row r="6748" spans="1:24" ht="12" customHeight="1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  <c r="V6748">
        <f t="shared" si="3168"/>
        <v>12</v>
      </c>
      <c r="W6748">
        <f t="shared" si="3166"/>
        <v>1</v>
      </c>
      <c r="X6748">
        <f t="shared" si="3167"/>
        <v>2010</v>
      </c>
    </row>
    <row r="6749" spans="1:24" ht="12" customHeight="1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3177">C6749+1</f>
        <v>40872</v>
      </c>
      <c r="V6749">
        <f t="shared" si="3168"/>
        <v>25</v>
      </c>
      <c r="W6749">
        <f t="shared" si="3166"/>
        <v>11</v>
      </c>
      <c r="X6749">
        <f t="shared" si="3167"/>
        <v>2011</v>
      </c>
    </row>
    <row r="6750" spans="1:24" ht="12" customHeight="1">
      <c r="A6750" s="4">
        <v>1812</v>
      </c>
      <c r="B6750" s="4">
        <v>12965</v>
      </c>
      <c r="C6750" s="5">
        <f t="shared" ref="C6750:C6751" si="3178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3177"/>
        <v>40355</v>
      </c>
      <c r="V6750">
        <f t="shared" si="3168"/>
        <v>26</v>
      </c>
      <c r="W6750">
        <f t="shared" si="3166"/>
        <v>6</v>
      </c>
      <c r="X6750">
        <f t="shared" si="3167"/>
        <v>2010</v>
      </c>
    </row>
    <row r="6751" spans="1:24" ht="12" customHeight="1">
      <c r="A6751" s="4">
        <v>1813</v>
      </c>
      <c r="B6751" s="4">
        <v>12965</v>
      </c>
      <c r="C6751" s="5">
        <f t="shared" si="3178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3177"/>
        <v>40355</v>
      </c>
      <c r="V6751">
        <f t="shared" si="3168"/>
        <v>26</v>
      </c>
      <c r="W6751">
        <f t="shared" si="3166"/>
        <v>6</v>
      </c>
      <c r="X6751">
        <f t="shared" si="3167"/>
        <v>2010</v>
      </c>
    </row>
    <row r="6752" spans="1:24" ht="12" customHeight="1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3177"/>
        <v>40386</v>
      </c>
      <c r="V6752">
        <f t="shared" si="3168"/>
        <v>27</v>
      </c>
      <c r="W6752">
        <f t="shared" si="3166"/>
        <v>7</v>
      </c>
      <c r="X6752">
        <f t="shared" si="3167"/>
        <v>2010</v>
      </c>
    </row>
    <row r="6753" spans="1:24" ht="12" customHeight="1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3177"/>
        <v>40951</v>
      </c>
      <c r="V6753">
        <f t="shared" si="3168"/>
        <v>12</v>
      </c>
      <c r="W6753">
        <f t="shared" si="3166"/>
        <v>2</v>
      </c>
      <c r="X6753">
        <f t="shared" si="3167"/>
        <v>2012</v>
      </c>
    </row>
    <row r="6754" spans="1:24" ht="12" customHeight="1">
      <c r="A6754" s="4">
        <v>1838</v>
      </c>
      <c r="B6754" s="4">
        <v>13218</v>
      </c>
      <c r="C6754" s="5">
        <f t="shared" ref="C6754:C6755" si="3179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3177"/>
        <v>39950</v>
      </c>
      <c r="V6754">
        <f t="shared" si="3168"/>
        <v>17</v>
      </c>
      <c r="W6754">
        <f t="shared" si="3166"/>
        <v>5</v>
      </c>
      <c r="X6754">
        <f t="shared" si="3167"/>
        <v>2009</v>
      </c>
    </row>
    <row r="6755" spans="1:24" ht="12" customHeight="1">
      <c r="A6755" s="4">
        <v>1839</v>
      </c>
      <c r="B6755" s="4">
        <v>13218</v>
      </c>
      <c r="C6755" s="5">
        <f t="shared" si="3179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3180">C6755+2</f>
        <v>39951</v>
      </c>
      <c r="V6755">
        <f t="shared" si="3168"/>
        <v>18</v>
      </c>
      <c r="W6755">
        <f t="shared" si="3166"/>
        <v>5</v>
      </c>
      <c r="X6755">
        <f t="shared" si="3167"/>
        <v>2009</v>
      </c>
    </row>
    <row r="6756" spans="1:24" ht="12" customHeight="1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3180"/>
        <v>39948</v>
      </c>
      <c r="V6756">
        <f t="shared" si="3168"/>
        <v>15</v>
      </c>
      <c r="W6756">
        <f t="shared" si="3166"/>
        <v>5</v>
      </c>
      <c r="X6756">
        <f t="shared" si="3167"/>
        <v>2009</v>
      </c>
    </row>
    <row r="6757" spans="1:24" ht="12" customHeight="1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3180"/>
        <v>40045</v>
      </c>
      <c r="V6757">
        <f t="shared" si="3168"/>
        <v>20</v>
      </c>
      <c r="W6757">
        <f t="shared" si="3166"/>
        <v>8</v>
      </c>
      <c r="X6757">
        <f t="shared" si="3167"/>
        <v>2009</v>
      </c>
    </row>
    <row r="6758" spans="1:24" ht="12" customHeight="1">
      <c r="A6758" s="4">
        <v>1887</v>
      </c>
      <c r="B6758" s="4">
        <v>13569</v>
      </c>
      <c r="C6758" s="5">
        <f t="shared" ref="C6758:C6759" si="3181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3180"/>
        <v>40645</v>
      </c>
      <c r="V6758">
        <f t="shared" si="3168"/>
        <v>12</v>
      </c>
      <c r="W6758">
        <f t="shared" si="3166"/>
        <v>4</v>
      </c>
      <c r="X6758">
        <f t="shared" si="3167"/>
        <v>2011</v>
      </c>
    </row>
    <row r="6759" spans="1:24" ht="12" customHeight="1">
      <c r="A6759" s="4">
        <v>1888</v>
      </c>
      <c r="B6759" s="4">
        <v>13569</v>
      </c>
      <c r="C6759" s="5">
        <f t="shared" si="3181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3182">C6759+1</f>
        <v>40644</v>
      </c>
      <c r="V6759">
        <f t="shared" si="3168"/>
        <v>11</v>
      </c>
      <c r="W6759">
        <f t="shared" si="3166"/>
        <v>4</v>
      </c>
      <c r="X6759">
        <f t="shared" si="3167"/>
        <v>2011</v>
      </c>
    </row>
    <row r="6760" spans="1:24" ht="12" customHeight="1">
      <c r="A6760" s="4">
        <v>1889</v>
      </c>
      <c r="B6760" s="4">
        <v>13570</v>
      </c>
      <c r="C6760" s="5">
        <f t="shared" ref="C6760:C6761" si="3183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3182"/>
        <v>41246</v>
      </c>
      <c r="V6760">
        <f t="shared" si="3168"/>
        <v>3</v>
      </c>
      <c r="W6760">
        <f t="shared" si="3166"/>
        <v>12</v>
      </c>
      <c r="X6760">
        <f t="shared" si="3167"/>
        <v>2012</v>
      </c>
    </row>
    <row r="6761" spans="1:24" ht="12" customHeight="1">
      <c r="A6761" s="4">
        <v>1890</v>
      </c>
      <c r="B6761" s="4">
        <v>13570</v>
      </c>
      <c r="C6761" s="5">
        <f t="shared" si="3183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  <c r="V6761">
        <f t="shared" si="3168"/>
        <v>2</v>
      </c>
      <c r="W6761">
        <f t="shared" si="3166"/>
        <v>12</v>
      </c>
      <c r="X6761">
        <f t="shared" si="3167"/>
        <v>2012</v>
      </c>
    </row>
    <row r="6762" spans="1:24" ht="12" customHeight="1">
      <c r="A6762" s="4">
        <v>1894</v>
      </c>
      <c r="B6762" s="4">
        <v>13602</v>
      </c>
      <c r="C6762" s="5">
        <f t="shared" ref="C6762:C6763" si="3184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  <c r="V6762">
        <f t="shared" si="3168"/>
        <v>18</v>
      </c>
      <c r="W6762">
        <f t="shared" si="3166"/>
        <v>1</v>
      </c>
      <c r="X6762">
        <f t="shared" si="3167"/>
        <v>2009</v>
      </c>
    </row>
    <row r="6763" spans="1:24" ht="12" customHeight="1">
      <c r="A6763" s="4">
        <v>1895</v>
      </c>
      <c r="B6763" s="4">
        <v>13602</v>
      </c>
      <c r="C6763" s="5">
        <f t="shared" si="3184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  <c r="V6763">
        <f t="shared" si="3168"/>
        <v>13</v>
      </c>
      <c r="W6763">
        <f t="shared" si="3166"/>
        <v>1</v>
      </c>
      <c r="X6763">
        <f t="shared" si="3167"/>
        <v>2009</v>
      </c>
    </row>
    <row r="6764" spans="1:24" ht="12" customHeight="1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3185">C6764+2</f>
        <v>40965</v>
      </c>
      <c r="V6764">
        <f t="shared" si="3168"/>
        <v>26</v>
      </c>
      <c r="W6764">
        <f t="shared" si="3166"/>
        <v>2</v>
      </c>
      <c r="X6764">
        <f t="shared" si="3167"/>
        <v>2012</v>
      </c>
    </row>
    <row r="6765" spans="1:24" ht="12" customHeight="1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3185"/>
        <v>41100</v>
      </c>
      <c r="V6765">
        <f t="shared" si="3168"/>
        <v>10</v>
      </c>
      <c r="W6765">
        <f t="shared" si="3166"/>
        <v>7</v>
      </c>
      <c r="X6765">
        <f t="shared" si="3167"/>
        <v>2012</v>
      </c>
    </row>
    <row r="6766" spans="1:24" ht="12" customHeight="1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  <c r="V6766">
        <f t="shared" si="3168"/>
        <v>1</v>
      </c>
      <c r="W6766">
        <f t="shared" si="3166"/>
        <v>2</v>
      </c>
      <c r="X6766">
        <f t="shared" si="3167"/>
        <v>2010</v>
      </c>
    </row>
    <row r="6767" spans="1:24" ht="12" customHeight="1">
      <c r="A6767" s="4">
        <v>1957</v>
      </c>
      <c r="B6767" s="4">
        <v>13991</v>
      </c>
      <c r="C6767" s="5">
        <f t="shared" ref="C6767:C6768" si="3186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  <c r="V6767">
        <f t="shared" si="3168"/>
        <v>8</v>
      </c>
      <c r="W6767">
        <f t="shared" si="3166"/>
        <v>3</v>
      </c>
      <c r="X6767">
        <f t="shared" si="3167"/>
        <v>2012</v>
      </c>
    </row>
    <row r="6768" spans="1:24" ht="12" customHeight="1">
      <c r="A6768" s="4">
        <v>1958</v>
      </c>
      <c r="B6768" s="4">
        <v>13991</v>
      </c>
      <c r="C6768" s="5">
        <f t="shared" si="3186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  <c r="V6768">
        <f t="shared" si="3168"/>
        <v>7</v>
      </c>
      <c r="W6768">
        <f t="shared" si="3166"/>
        <v>3</v>
      </c>
      <c r="X6768">
        <f t="shared" si="3167"/>
        <v>2012</v>
      </c>
    </row>
    <row r="6769" spans="1:24" ht="12" customHeight="1">
      <c r="A6769" s="4">
        <v>1964</v>
      </c>
      <c r="B6769" s="4">
        <v>14048</v>
      </c>
      <c r="C6769" s="5">
        <f t="shared" ref="C6769:C6771" si="3187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  <c r="V6769">
        <f t="shared" si="3168"/>
        <v>17</v>
      </c>
      <c r="W6769">
        <f t="shared" si="3166"/>
        <v>5</v>
      </c>
      <c r="X6769">
        <f t="shared" si="3167"/>
        <v>2010</v>
      </c>
    </row>
    <row r="6770" spans="1:24" ht="12" customHeight="1">
      <c r="A6770" s="4">
        <v>1965</v>
      </c>
      <c r="B6770" s="4">
        <v>14048</v>
      </c>
      <c r="C6770" s="5">
        <f t="shared" si="3187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3188">C6770+2</f>
        <v>40317</v>
      </c>
      <c r="V6770">
        <f t="shared" si="3168"/>
        <v>19</v>
      </c>
      <c r="W6770">
        <f t="shared" si="3166"/>
        <v>5</v>
      </c>
      <c r="X6770">
        <f t="shared" si="3167"/>
        <v>2010</v>
      </c>
    </row>
    <row r="6771" spans="1:24" ht="12" customHeight="1">
      <c r="A6771" s="4">
        <v>1966</v>
      </c>
      <c r="B6771" s="4">
        <v>14048</v>
      </c>
      <c r="C6771" s="5">
        <f t="shared" si="3187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3188"/>
        <v>40317</v>
      </c>
      <c r="V6771">
        <f t="shared" si="3168"/>
        <v>19</v>
      </c>
      <c r="W6771">
        <f t="shared" si="3166"/>
        <v>5</v>
      </c>
      <c r="X6771">
        <f t="shared" si="3167"/>
        <v>2010</v>
      </c>
    </row>
    <row r="6772" spans="1:24" ht="12" customHeight="1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  <c r="V6772">
        <f t="shared" si="3168"/>
        <v>2</v>
      </c>
      <c r="W6772">
        <f t="shared" si="3166"/>
        <v>8</v>
      </c>
      <c r="X6772">
        <f t="shared" si="3167"/>
        <v>2009</v>
      </c>
    </row>
    <row r="6773" spans="1:24" ht="12" customHeight="1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  <c r="V6773">
        <f t="shared" si="3168"/>
        <v>17</v>
      </c>
      <c r="W6773">
        <f t="shared" si="3166"/>
        <v>2</v>
      </c>
      <c r="X6773">
        <f t="shared" si="3167"/>
        <v>2011</v>
      </c>
    </row>
    <row r="6774" spans="1:24" ht="12" customHeight="1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  <c r="V6774">
        <f t="shared" si="3168"/>
        <v>16</v>
      </c>
      <c r="W6774">
        <f t="shared" si="3166"/>
        <v>10</v>
      </c>
      <c r="X6774">
        <f t="shared" si="3167"/>
        <v>2012</v>
      </c>
    </row>
    <row r="6775" spans="1:24" ht="12" customHeight="1">
      <c r="A6775" s="4">
        <v>2075</v>
      </c>
      <c r="B6775" s="4">
        <v>14851</v>
      </c>
      <c r="C6775" s="5">
        <f t="shared" ref="C6775:C6776" si="3189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  <c r="V6775">
        <f t="shared" si="3168"/>
        <v>12</v>
      </c>
      <c r="W6775">
        <f t="shared" si="3166"/>
        <v>5</v>
      </c>
      <c r="X6775">
        <f t="shared" si="3167"/>
        <v>2012</v>
      </c>
    </row>
    <row r="6776" spans="1:24" ht="12" customHeight="1">
      <c r="A6776" s="4">
        <v>2076</v>
      </c>
      <c r="B6776" s="4">
        <v>14851</v>
      </c>
      <c r="C6776" s="5">
        <f t="shared" si="3189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  <c r="V6776">
        <f t="shared" si="3168"/>
        <v>13</v>
      </c>
      <c r="W6776">
        <f t="shared" si="3166"/>
        <v>5</v>
      </c>
      <c r="X6776">
        <f t="shared" si="3167"/>
        <v>2012</v>
      </c>
    </row>
    <row r="6777" spans="1:24" ht="12" customHeight="1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  <c r="V6777">
        <f t="shared" si="3168"/>
        <v>26</v>
      </c>
      <c r="W6777">
        <f t="shared" si="3166"/>
        <v>9</v>
      </c>
      <c r="X6777">
        <f t="shared" si="3167"/>
        <v>2010</v>
      </c>
    </row>
    <row r="6778" spans="1:24" ht="12" customHeight="1">
      <c r="A6778" s="4">
        <v>2095</v>
      </c>
      <c r="B6778" s="4">
        <v>14981</v>
      </c>
      <c r="C6778" s="5">
        <f t="shared" ref="C6778:C6779" si="3190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  <c r="V6778">
        <f t="shared" si="3168"/>
        <v>27</v>
      </c>
      <c r="W6778">
        <f t="shared" si="3166"/>
        <v>10</v>
      </c>
      <c r="X6778">
        <f t="shared" si="3167"/>
        <v>2010</v>
      </c>
    </row>
    <row r="6779" spans="1:24" ht="12" customHeight="1">
      <c r="A6779" s="4">
        <v>2096</v>
      </c>
      <c r="B6779" s="4">
        <v>14981</v>
      </c>
      <c r="C6779" s="5">
        <f t="shared" si="3190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  <c r="V6779">
        <f t="shared" si="3168"/>
        <v>28</v>
      </c>
      <c r="W6779">
        <f t="shared" si="3166"/>
        <v>10</v>
      </c>
      <c r="X6779">
        <f t="shared" si="3167"/>
        <v>2010</v>
      </c>
    </row>
    <row r="6780" spans="1:24" ht="12" customHeight="1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  <c r="V6780">
        <f t="shared" si="3168"/>
        <v>10</v>
      </c>
      <c r="W6780">
        <f t="shared" si="3166"/>
        <v>11</v>
      </c>
      <c r="X6780">
        <f t="shared" si="3167"/>
        <v>2009</v>
      </c>
    </row>
    <row r="6781" spans="1:24" ht="12" customHeight="1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3191">C6781+2</f>
        <v>40166</v>
      </c>
      <c r="V6781">
        <f t="shared" si="3168"/>
        <v>19</v>
      </c>
      <c r="W6781">
        <f t="shared" si="3166"/>
        <v>12</v>
      </c>
      <c r="X6781">
        <f t="shared" si="3167"/>
        <v>2009</v>
      </c>
    </row>
    <row r="6782" spans="1:24" ht="12" customHeight="1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3191"/>
        <v>40370</v>
      </c>
      <c r="V6782">
        <f t="shared" si="3168"/>
        <v>11</v>
      </c>
      <c r="W6782">
        <f t="shared" si="3166"/>
        <v>7</v>
      </c>
      <c r="X6782">
        <f t="shared" si="3167"/>
        <v>2010</v>
      </c>
    </row>
    <row r="6783" spans="1:24" ht="12" customHeight="1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  <c r="V6783">
        <f t="shared" si="3168"/>
        <v>9</v>
      </c>
      <c r="W6783">
        <f t="shared" si="3166"/>
        <v>11</v>
      </c>
      <c r="X6783">
        <f t="shared" si="3167"/>
        <v>2010</v>
      </c>
    </row>
    <row r="6784" spans="1:24" ht="12" customHeight="1">
      <c r="A6784" s="4">
        <v>2162</v>
      </c>
      <c r="B6784" s="4">
        <v>15616</v>
      </c>
      <c r="C6784" s="5">
        <f t="shared" ref="C6784:C6785" si="3192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  <c r="V6784">
        <f t="shared" si="3168"/>
        <v>24</v>
      </c>
      <c r="W6784">
        <f t="shared" si="3166"/>
        <v>3</v>
      </c>
      <c r="X6784">
        <f t="shared" si="3167"/>
        <v>2012</v>
      </c>
    </row>
    <row r="6785" spans="1:24" ht="12" customHeight="1">
      <c r="A6785" s="4">
        <v>2163</v>
      </c>
      <c r="B6785" s="4">
        <v>15616</v>
      </c>
      <c r="C6785" s="5">
        <f t="shared" si="3192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3193">C6785+2</f>
        <v>40993</v>
      </c>
      <c r="V6785">
        <f t="shared" si="3168"/>
        <v>25</v>
      </c>
      <c r="W6785">
        <f t="shared" si="3166"/>
        <v>3</v>
      </c>
      <c r="X6785">
        <f t="shared" si="3167"/>
        <v>2012</v>
      </c>
    </row>
    <row r="6786" spans="1:24" ht="12" customHeight="1">
      <c r="A6786" s="4">
        <v>2176</v>
      </c>
      <c r="B6786" s="4">
        <v>15654</v>
      </c>
      <c r="C6786" s="5">
        <f t="shared" ref="C6786:C6787" si="3194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3193"/>
        <v>40090</v>
      </c>
      <c r="V6786">
        <f t="shared" si="3168"/>
        <v>4</v>
      </c>
      <c r="W6786">
        <f t="shared" si="3166"/>
        <v>10</v>
      </c>
      <c r="X6786">
        <f t="shared" si="3167"/>
        <v>2009</v>
      </c>
    </row>
    <row r="6787" spans="1:24" ht="12" customHeight="1">
      <c r="A6787" s="4">
        <v>2177</v>
      </c>
      <c r="B6787" s="4">
        <v>15654</v>
      </c>
      <c r="C6787" s="5">
        <f t="shared" si="3194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3193"/>
        <v>40090</v>
      </c>
      <c r="V6787">
        <f t="shared" si="3168"/>
        <v>4</v>
      </c>
      <c r="W6787">
        <f t="shared" ref="W6787:W6850" si="3195">MONTH(U6787)</f>
        <v>10</v>
      </c>
      <c r="X6787">
        <f t="shared" ref="X6787:X6850" si="3196">YEAR(U6787)</f>
        <v>2009</v>
      </c>
    </row>
    <row r="6788" spans="1:24" ht="12" customHeight="1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3193"/>
        <v>40162</v>
      </c>
      <c r="V6788">
        <f t="shared" ref="V6788:V6851" si="3197">DAY(U6788)</f>
        <v>15</v>
      </c>
      <c r="W6788">
        <f t="shared" si="3195"/>
        <v>12</v>
      </c>
      <c r="X6788">
        <f t="shared" si="3196"/>
        <v>2009</v>
      </c>
    </row>
    <row r="6789" spans="1:24" ht="12" customHeight="1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3198">C6789+1</f>
        <v>39902</v>
      </c>
      <c r="V6789">
        <f t="shared" si="3197"/>
        <v>30</v>
      </c>
      <c r="W6789">
        <f t="shared" si="3195"/>
        <v>3</v>
      </c>
      <c r="X6789">
        <f t="shared" si="3196"/>
        <v>2009</v>
      </c>
    </row>
    <row r="6790" spans="1:24" ht="12" customHeight="1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3198"/>
        <v>40758</v>
      </c>
      <c r="V6790">
        <f t="shared" si="3197"/>
        <v>3</v>
      </c>
      <c r="W6790">
        <f t="shared" si="3195"/>
        <v>8</v>
      </c>
      <c r="X6790">
        <f t="shared" si="3196"/>
        <v>2011</v>
      </c>
    </row>
    <row r="6791" spans="1:24" ht="12" customHeight="1">
      <c r="A6791" s="4">
        <v>2287</v>
      </c>
      <c r="B6791" s="4">
        <v>16481</v>
      </c>
      <c r="C6791" s="5">
        <f t="shared" ref="C6791:C6792" si="3199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3200">C6791+5</f>
        <v>40597</v>
      </c>
      <c r="V6791">
        <f t="shared" si="3197"/>
        <v>23</v>
      </c>
      <c r="W6791">
        <f t="shared" si="3195"/>
        <v>2</v>
      </c>
      <c r="X6791">
        <f t="shared" si="3196"/>
        <v>2011</v>
      </c>
    </row>
    <row r="6792" spans="1:24" ht="12" customHeight="1">
      <c r="A6792" s="4">
        <v>2288</v>
      </c>
      <c r="B6792" s="4">
        <v>16481</v>
      </c>
      <c r="C6792" s="5">
        <f t="shared" si="3199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3200"/>
        <v>40597</v>
      </c>
      <c r="V6792">
        <f t="shared" si="3197"/>
        <v>23</v>
      </c>
      <c r="W6792">
        <f t="shared" si="3195"/>
        <v>2</v>
      </c>
      <c r="X6792">
        <f t="shared" si="3196"/>
        <v>2011</v>
      </c>
    </row>
    <row r="6793" spans="1:24" ht="12" customHeight="1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  <c r="V6793">
        <f t="shared" si="3197"/>
        <v>11</v>
      </c>
      <c r="W6793">
        <f t="shared" si="3195"/>
        <v>5</v>
      </c>
      <c r="X6793">
        <f t="shared" si="3196"/>
        <v>2010</v>
      </c>
    </row>
    <row r="6794" spans="1:24" ht="12" customHeight="1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3201">C6794+2</f>
        <v>40606</v>
      </c>
      <c r="V6794">
        <f t="shared" si="3197"/>
        <v>4</v>
      </c>
      <c r="W6794">
        <f t="shared" si="3195"/>
        <v>3</v>
      </c>
      <c r="X6794">
        <f t="shared" si="3196"/>
        <v>2011</v>
      </c>
    </row>
    <row r="6795" spans="1:24" ht="12" customHeight="1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3201"/>
        <v>41190</v>
      </c>
      <c r="V6795">
        <f t="shared" si="3197"/>
        <v>8</v>
      </c>
      <c r="W6795">
        <f t="shared" si="3195"/>
        <v>10</v>
      </c>
      <c r="X6795">
        <f t="shared" si="3196"/>
        <v>2012</v>
      </c>
    </row>
    <row r="6796" spans="1:24" ht="12" customHeight="1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  <c r="V6796">
        <f t="shared" si="3197"/>
        <v>13</v>
      </c>
      <c r="W6796">
        <f t="shared" si="3195"/>
        <v>12</v>
      </c>
      <c r="X6796">
        <f t="shared" si="3196"/>
        <v>2010</v>
      </c>
    </row>
    <row r="6797" spans="1:24" ht="12" customHeight="1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3202">C6797+2</f>
        <v>40532</v>
      </c>
      <c r="V6797">
        <f t="shared" si="3197"/>
        <v>20</v>
      </c>
      <c r="W6797">
        <f t="shared" si="3195"/>
        <v>12</v>
      </c>
      <c r="X6797">
        <f t="shared" si="3196"/>
        <v>2010</v>
      </c>
    </row>
    <row r="6798" spans="1:24" ht="12" customHeight="1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3202"/>
        <v>40952</v>
      </c>
      <c r="V6798">
        <f t="shared" si="3197"/>
        <v>13</v>
      </c>
      <c r="W6798">
        <f t="shared" si="3195"/>
        <v>2</v>
      </c>
      <c r="X6798">
        <f t="shared" si="3196"/>
        <v>2012</v>
      </c>
    </row>
    <row r="6799" spans="1:24" ht="12" customHeight="1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  <c r="V6799">
        <f t="shared" si="3197"/>
        <v>31</v>
      </c>
      <c r="W6799">
        <f t="shared" si="3195"/>
        <v>10</v>
      </c>
      <c r="X6799">
        <f t="shared" si="3196"/>
        <v>2012</v>
      </c>
    </row>
    <row r="6800" spans="1:24" ht="12" customHeight="1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  <c r="V6800">
        <f t="shared" si="3197"/>
        <v>2</v>
      </c>
      <c r="W6800">
        <f t="shared" si="3195"/>
        <v>9</v>
      </c>
      <c r="X6800">
        <f t="shared" si="3196"/>
        <v>2010</v>
      </c>
    </row>
    <row r="6801" spans="1:24" ht="12" customHeight="1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3203">C6801+1</f>
        <v>40460</v>
      </c>
      <c r="V6801">
        <f t="shared" si="3197"/>
        <v>9</v>
      </c>
      <c r="W6801">
        <f t="shared" si="3195"/>
        <v>10</v>
      </c>
      <c r="X6801">
        <f t="shared" si="3196"/>
        <v>2010</v>
      </c>
    </row>
    <row r="6802" spans="1:24" ht="12" customHeight="1">
      <c r="A6802" s="4">
        <v>2422</v>
      </c>
      <c r="B6802" s="4">
        <v>17571</v>
      </c>
      <c r="C6802" s="5">
        <f t="shared" ref="C6802:C6803" si="3204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3203"/>
        <v>40984</v>
      </c>
      <c r="V6802">
        <f t="shared" si="3197"/>
        <v>16</v>
      </c>
      <c r="W6802">
        <f t="shared" si="3195"/>
        <v>3</v>
      </c>
      <c r="X6802">
        <f t="shared" si="3196"/>
        <v>2012</v>
      </c>
    </row>
    <row r="6803" spans="1:24" ht="12" customHeight="1">
      <c r="A6803" s="4">
        <v>2423</v>
      </c>
      <c r="B6803" s="4">
        <v>17571</v>
      </c>
      <c r="C6803" s="5">
        <f t="shared" si="3204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  <c r="V6803">
        <f t="shared" si="3197"/>
        <v>17</v>
      </c>
      <c r="W6803">
        <f t="shared" si="3195"/>
        <v>3</v>
      </c>
      <c r="X6803">
        <f t="shared" si="3196"/>
        <v>2012</v>
      </c>
    </row>
    <row r="6804" spans="1:24" ht="12" customHeight="1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  <c r="V6804">
        <f t="shared" si="3197"/>
        <v>8</v>
      </c>
      <c r="W6804">
        <f t="shared" si="3195"/>
        <v>2</v>
      </c>
      <c r="X6804">
        <f t="shared" si="3196"/>
        <v>2009</v>
      </c>
    </row>
    <row r="6805" spans="1:24" ht="12" customHeight="1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3205">C6805+1</f>
        <v>39933</v>
      </c>
      <c r="V6805">
        <f t="shared" si="3197"/>
        <v>30</v>
      </c>
      <c r="W6805">
        <f t="shared" si="3195"/>
        <v>4</v>
      </c>
      <c r="X6805">
        <f t="shared" si="3196"/>
        <v>2009</v>
      </c>
    </row>
    <row r="6806" spans="1:24" ht="12" customHeight="1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3205"/>
        <v>41210</v>
      </c>
      <c r="V6806">
        <f t="shared" si="3197"/>
        <v>28</v>
      </c>
      <c r="W6806">
        <f t="shared" si="3195"/>
        <v>10</v>
      </c>
      <c r="X6806">
        <f t="shared" si="3196"/>
        <v>2012</v>
      </c>
    </row>
    <row r="6807" spans="1:24" ht="12" customHeight="1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3205"/>
        <v>41051</v>
      </c>
      <c r="V6807">
        <f t="shared" si="3197"/>
        <v>22</v>
      </c>
      <c r="W6807">
        <f t="shared" si="3195"/>
        <v>5</v>
      </c>
      <c r="X6807">
        <f t="shared" si="3196"/>
        <v>2012</v>
      </c>
    </row>
    <row r="6808" spans="1:24" ht="12" customHeight="1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  <c r="V6808">
        <f t="shared" si="3197"/>
        <v>22</v>
      </c>
      <c r="W6808">
        <f t="shared" si="3195"/>
        <v>9</v>
      </c>
      <c r="X6808">
        <f t="shared" si="3196"/>
        <v>2012</v>
      </c>
    </row>
    <row r="6809" spans="1:24" ht="12" customHeight="1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  <c r="V6809">
        <f t="shared" si="3197"/>
        <v>14</v>
      </c>
      <c r="W6809">
        <f t="shared" si="3195"/>
        <v>1</v>
      </c>
      <c r="X6809">
        <f t="shared" si="3196"/>
        <v>2012</v>
      </c>
    </row>
    <row r="6810" spans="1:24" ht="12" customHeight="1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  <c r="V6810">
        <f t="shared" si="3197"/>
        <v>24</v>
      </c>
      <c r="W6810">
        <f t="shared" si="3195"/>
        <v>4</v>
      </c>
      <c r="X6810">
        <f t="shared" si="3196"/>
        <v>2009</v>
      </c>
    </row>
    <row r="6811" spans="1:24" ht="12" customHeight="1">
      <c r="A6811" s="4">
        <v>2536</v>
      </c>
      <c r="B6811" s="4">
        <v>18402</v>
      </c>
      <c r="C6811" s="5">
        <f t="shared" ref="C6811:C6812" si="3206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  <c r="V6811">
        <f t="shared" si="3197"/>
        <v>5</v>
      </c>
      <c r="W6811">
        <f t="shared" si="3195"/>
        <v>9</v>
      </c>
      <c r="X6811">
        <f t="shared" si="3196"/>
        <v>2009</v>
      </c>
    </row>
    <row r="6812" spans="1:24" ht="12" customHeight="1">
      <c r="A6812" s="4">
        <v>2537</v>
      </c>
      <c r="B6812" s="4">
        <v>18402</v>
      </c>
      <c r="C6812" s="5">
        <f t="shared" si="3206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  <c r="V6812">
        <f t="shared" si="3197"/>
        <v>29</v>
      </c>
      <c r="W6812">
        <f t="shared" si="3195"/>
        <v>8</v>
      </c>
      <c r="X6812">
        <f t="shared" si="3196"/>
        <v>2009</v>
      </c>
    </row>
    <row r="6813" spans="1:24" ht="12" customHeight="1">
      <c r="A6813" s="4">
        <v>2549</v>
      </c>
      <c r="B6813" s="4">
        <v>18466</v>
      </c>
      <c r="C6813" s="5">
        <f t="shared" ref="C6813:C6814" si="3207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  <c r="V6813">
        <f t="shared" si="3197"/>
        <v>30</v>
      </c>
      <c r="W6813">
        <f t="shared" si="3195"/>
        <v>5</v>
      </c>
      <c r="X6813">
        <f t="shared" si="3196"/>
        <v>2012</v>
      </c>
    </row>
    <row r="6814" spans="1:24" ht="12" customHeight="1">
      <c r="A6814" s="4">
        <v>2550</v>
      </c>
      <c r="B6814" s="4">
        <v>18466</v>
      </c>
      <c r="C6814" s="5">
        <f t="shared" si="3207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3208">C6814+0</f>
        <v>41050</v>
      </c>
      <c r="V6814">
        <f t="shared" si="3197"/>
        <v>21</v>
      </c>
      <c r="W6814">
        <f t="shared" si="3195"/>
        <v>5</v>
      </c>
      <c r="X6814">
        <f t="shared" si="3196"/>
        <v>2012</v>
      </c>
    </row>
    <row r="6815" spans="1:24" ht="12" customHeight="1">
      <c r="A6815" s="4">
        <v>2563</v>
      </c>
      <c r="B6815" s="4">
        <v>18530</v>
      </c>
      <c r="C6815" s="5">
        <f t="shared" ref="C6815:C6816" si="3209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3208"/>
        <v>40543</v>
      </c>
      <c r="V6815">
        <f t="shared" si="3197"/>
        <v>31</v>
      </c>
      <c r="W6815">
        <f t="shared" si="3195"/>
        <v>12</v>
      </c>
      <c r="X6815">
        <f t="shared" si="3196"/>
        <v>2010</v>
      </c>
    </row>
    <row r="6816" spans="1:24" ht="12" customHeight="1">
      <c r="A6816" s="4">
        <v>2564</v>
      </c>
      <c r="B6816" s="4">
        <v>18530</v>
      </c>
      <c r="C6816" s="5">
        <f t="shared" si="3209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3210">C6816+2</f>
        <v>40545</v>
      </c>
      <c r="V6816">
        <f t="shared" si="3197"/>
        <v>2</v>
      </c>
      <c r="W6816">
        <f t="shared" si="3195"/>
        <v>1</v>
      </c>
      <c r="X6816">
        <f t="shared" si="3196"/>
        <v>2011</v>
      </c>
    </row>
    <row r="6817" spans="1:24" ht="12" customHeight="1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3210"/>
        <v>39857</v>
      </c>
      <c r="V6817">
        <f t="shared" si="3197"/>
        <v>13</v>
      </c>
      <c r="W6817">
        <f t="shared" si="3195"/>
        <v>2</v>
      </c>
      <c r="X6817">
        <f t="shared" si="3196"/>
        <v>2009</v>
      </c>
    </row>
    <row r="6818" spans="1:24" ht="12" customHeight="1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3210"/>
        <v>39871</v>
      </c>
      <c r="V6818">
        <f t="shared" si="3197"/>
        <v>27</v>
      </c>
      <c r="W6818">
        <f t="shared" si="3195"/>
        <v>2</v>
      </c>
      <c r="X6818">
        <f t="shared" si="3196"/>
        <v>2009</v>
      </c>
    </row>
    <row r="6819" spans="1:24" ht="12" customHeight="1">
      <c r="A6819" s="4">
        <v>2607</v>
      </c>
      <c r="B6819" s="4">
        <v>18849</v>
      </c>
      <c r="C6819" s="5">
        <f t="shared" ref="C6819:C6820" si="3211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  <c r="V6819">
        <f t="shared" si="3197"/>
        <v>5</v>
      </c>
      <c r="W6819">
        <f t="shared" si="3195"/>
        <v>8</v>
      </c>
      <c r="X6819">
        <f t="shared" si="3196"/>
        <v>2012</v>
      </c>
    </row>
    <row r="6820" spans="1:24" ht="12" customHeight="1">
      <c r="A6820" s="4">
        <v>2608</v>
      </c>
      <c r="B6820" s="4">
        <v>18849</v>
      </c>
      <c r="C6820" s="5">
        <f t="shared" si="3211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  <c r="V6820">
        <f t="shared" si="3197"/>
        <v>7</v>
      </c>
      <c r="W6820">
        <f t="shared" si="3195"/>
        <v>8</v>
      </c>
      <c r="X6820">
        <f t="shared" si="3196"/>
        <v>2012</v>
      </c>
    </row>
    <row r="6821" spans="1:24" ht="12" customHeight="1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  <c r="V6821">
        <f t="shared" si="3197"/>
        <v>18</v>
      </c>
      <c r="W6821">
        <f t="shared" si="3195"/>
        <v>9</v>
      </c>
      <c r="X6821">
        <f t="shared" si="3196"/>
        <v>2009</v>
      </c>
    </row>
    <row r="6822" spans="1:24" ht="12" customHeight="1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  <c r="V6822">
        <f t="shared" si="3197"/>
        <v>20</v>
      </c>
      <c r="W6822">
        <f t="shared" si="3195"/>
        <v>12</v>
      </c>
      <c r="X6822">
        <f t="shared" si="3196"/>
        <v>2011</v>
      </c>
    </row>
    <row r="6823" spans="1:24" ht="12" customHeight="1">
      <c r="A6823" s="4">
        <v>2626</v>
      </c>
      <c r="B6823" s="4">
        <v>19041</v>
      </c>
      <c r="C6823" s="5">
        <f t="shared" ref="C6823:C6824" si="3212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  <c r="V6823">
        <f t="shared" si="3197"/>
        <v>30</v>
      </c>
      <c r="W6823">
        <f t="shared" si="3195"/>
        <v>7</v>
      </c>
      <c r="X6823">
        <f t="shared" si="3196"/>
        <v>2011</v>
      </c>
    </row>
    <row r="6824" spans="1:24" ht="12" customHeight="1">
      <c r="A6824" s="4">
        <v>2627</v>
      </c>
      <c r="B6824" s="4">
        <v>19041</v>
      </c>
      <c r="C6824" s="5">
        <f t="shared" si="3212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  <c r="V6824">
        <f t="shared" si="3197"/>
        <v>4</v>
      </c>
      <c r="W6824">
        <f t="shared" si="3195"/>
        <v>8</v>
      </c>
      <c r="X6824">
        <f t="shared" si="3196"/>
        <v>2011</v>
      </c>
    </row>
    <row r="6825" spans="1:24" ht="12" customHeight="1">
      <c r="A6825" s="4">
        <v>2631</v>
      </c>
      <c r="B6825" s="4">
        <v>19047</v>
      </c>
      <c r="C6825" s="5">
        <f t="shared" ref="C6825:C6826" si="3213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  <c r="V6825">
        <f t="shared" si="3197"/>
        <v>29</v>
      </c>
      <c r="W6825">
        <f t="shared" si="3195"/>
        <v>1</v>
      </c>
      <c r="X6825">
        <f t="shared" si="3196"/>
        <v>2009</v>
      </c>
    </row>
    <row r="6826" spans="1:24" ht="12" customHeight="1">
      <c r="A6826" s="4">
        <v>2632</v>
      </c>
      <c r="B6826" s="4">
        <v>19047</v>
      </c>
      <c r="C6826" s="5">
        <f t="shared" si="3213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  <c r="V6826">
        <f t="shared" si="3197"/>
        <v>30</v>
      </c>
      <c r="W6826">
        <f t="shared" si="3195"/>
        <v>1</v>
      </c>
      <c r="X6826">
        <f t="shared" si="3196"/>
        <v>2009</v>
      </c>
    </row>
    <row r="6827" spans="1:24" ht="12" customHeight="1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  <c r="V6827">
        <f t="shared" si="3197"/>
        <v>5</v>
      </c>
      <c r="W6827">
        <f t="shared" si="3195"/>
        <v>11</v>
      </c>
      <c r="X6827">
        <f t="shared" si="3196"/>
        <v>2012</v>
      </c>
    </row>
    <row r="6828" spans="1:24" ht="12" customHeight="1">
      <c r="A6828" s="4">
        <v>2665</v>
      </c>
      <c r="B6828" s="4">
        <v>19264</v>
      </c>
      <c r="C6828" s="5">
        <f t="shared" ref="C6828:C6829" si="3214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  <c r="V6828">
        <f t="shared" si="3197"/>
        <v>1</v>
      </c>
      <c r="W6828">
        <f t="shared" si="3195"/>
        <v>10</v>
      </c>
      <c r="X6828">
        <f t="shared" si="3196"/>
        <v>2011</v>
      </c>
    </row>
    <row r="6829" spans="1:24" ht="12" customHeight="1">
      <c r="A6829" s="4">
        <v>2666</v>
      </c>
      <c r="B6829" s="4">
        <v>19264</v>
      </c>
      <c r="C6829" s="5">
        <f t="shared" si="3214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  <c r="V6829">
        <f t="shared" si="3197"/>
        <v>30</v>
      </c>
      <c r="W6829">
        <f t="shared" si="3195"/>
        <v>9</v>
      </c>
      <c r="X6829">
        <f t="shared" si="3196"/>
        <v>2011</v>
      </c>
    </row>
    <row r="6830" spans="1:24" ht="12" customHeight="1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3215">C6830+2</f>
        <v>40280</v>
      </c>
      <c r="V6830">
        <f t="shared" si="3197"/>
        <v>12</v>
      </c>
      <c r="W6830">
        <f t="shared" si="3195"/>
        <v>4</v>
      </c>
      <c r="X6830">
        <f t="shared" si="3196"/>
        <v>2010</v>
      </c>
    </row>
    <row r="6831" spans="1:24" ht="12" customHeight="1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3215"/>
        <v>39892</v>
      </c>
      <c r="V6831">
        <f t="shared" si="3197"/>
        <v>20</v>
      </c>
      <c r="W6831">
        <f t="shared" si="3195"/>
        <v>3</v>
      </c>
      <c r="X6831">
        <f t="shared" si="3196"/>
        <v>2009</v>
      </c>
    </row>
    <row r="6832" spans="1:24" ht="12" customHeight="1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  <c r="V6832">
        <f t="shared" si="3197"/>
        <v>24</v>
      </c>
      <c r="W6832">
        <f t="shared" si="3195"/>
        <v>8</v>
      </c>
      <c r="X6832">
        <f t="shared" si="3196"/>
        <v>2009</v>
      </c>
    </row>
    <row r="6833" spans="1:24" ht="12" customHeight="1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  <c r="V6833">
        <f t="shared" si="3197"/>
        <v>15</v>
      </c>
      <c r="W6833">
        <f t="shared" si="3195"/>
        <v>11</v>
      </c>
      <c r="X6833">
        <f t="shared" si="3196"/>
        <v>2010</v>
      </c>
    </row>
    <row r="6834" spans="1:24" ht="12" customHeight="1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  <c r="V6834">
        <f t="shared" si="3197"/>
        <v>15</v>
      </c>
      <c r="W6834">
        <f t="shared" si="3195"/>
        <v>1</v>
      </c>
      <c r="X6834">
        <f t="shared" si="3196"/>
        <v>2010</v>
      </c>
    </row>
    <row r="6835" spans="1:24" ht="12" customHeight="1">
      <c r="A6835" s="4">
        <v>2703</v>
      </c>
      <c r="B6835" s="4">
        <v>19556</v>
      </c>
      <c r="C6835" s="5">
        <f t="shared" ref="C6835:C6837" si="3216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  <c r="V6835">
        <f t="shared" si="3197"/>
        <v>16</v>
      </c>
      <c r="W6835">
        <f t="shared" si="3195"/>
        <v>1</v>
      </c>
      <c r="X6835">
        <f t="shared" si="3196"/>
        <v>2011</v>
      </c>
    </row>
    <row r="6836" spans="1:24" ht="12" customHeight="1">
      <c r="A6836" s="4">
        <v>2704</v>
      </c>
      <c r="B6836" s="4">
        <v>19556</v>
      </c>
      <c r="C6836" s="5">
        <f t="shared" si="3216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  <c r="V6836">
        <f t="shared" si="3197"/>
        <v>10</v>
      </c>
      <c r="W6836">
        <f t="shared" si="3195"/>
        <v>1</v>
      </c>
      <c r="X6836">
        <f t="shared" si="3196"/>
        <v>2011</v>
      </c>
    </row>
    <row r="6837" spans="1:24" ht="12" customHeight="1">
      <c r="A6837" s="4">
        <v>2705</v>
      </c>
      <c r="B6837" s="4">
        <v>19556</v>
      </c>
      <c r="C6837" s="5">
        <f t="shared" si="3216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  <c r="V6837">
        <f t="shared" si="3197"/>
        <v>27</v>
      </c>
      <c r="W6837">
        <f t="shared" si="3195"/>
        <v>1</v>
      </c>
      <c r="X6837">
        <f t="shared" si="3196"/>
        <v>2011</v>
      </c>
    </row>
    <row r="6838" spans="1:24" ht="12" customHeight="1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  <c r="V6838">
        <f t="shared" si="3197"/>
        <v>28</v>
      </c>
      <c r="W6838">
        <f t="shared" si="3195"/>
        <v>3</v>
      </c>
      <c r="X6838">
        <f t="shared" si="3196"/>
        <v>2010</v>
      </c>
    </row>
    <row r="6839" spans="1:24" ht="12" customHeight="1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  <c r="V6839">
        <f t="shared" si="3197"/>
        <v>24</v>
      </c>
      <c r="W6839">
        <f t="shared" si="3195"/>
        <v>8</v>
      </c>
      <c r="X6839">
        <f t="shared" si="3196"/>
        <v>2012</v>
      </c>
    </row>
    <row r="6840" spans="1:24" ht="12" customHeight="1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3217">C6840+7</f>
        <v>40322</v>
      </c>
      <c r="V6840">
        <f t="shared" si="3197"/>
        <v>24</v>
      </c>
      <c r="W6840">
        <f t="shared" si="3195"/>
        <v>5</v>
      </c>
      <c r="X6840">
        <f t="shared" si="3196"/>
        <v>2010</v>
      </c>
    </row>
    <row r="6841" spans="1:24" ht="12" customHeight="1">
      <c r="A6841" s="4">
        <v>2802</v>
      </c>
      <c r="B6841" s="4">
        <v>20225</v>
      </c>
      <c r="C6841" s="5">
        <f t="shared" ref="C6841:C6842" si="3218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3217"/>
        <v>40392</v>
      </c>
      <c r="V6841">
        <f t="shared" si="3197"/>
        <v>2</v>
      </c>
      <c r="W6841">
        <f t="shared" si="3195"/>
        <v>8</v>
      </c>
      <c r="X6841">
        <f t="shared" si="3196"/>
        <v>2010</v>
      </c>
    </row>
    <row r="6842" spans="1:24" ht="12" customHeight="1">
      <c r="A6842" s="4">
        <v>2803</v>
      </c>
      <c r="B6842" s="4">
        <v>20225</v>
      </c>
      <c r="C6842" s="5">
        <f t="shared" si="3218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3217"/>
        <v>40392</v>
      </c>
      <c r="V6842">
        <f t="shared" si="3197"/>
        <v>2</v>
      </c>
      <c r="W6842">
        <f t="shared" si="3195"/>
        <v>8</v>
      </c>
      <c r="X6842">
        <f t="shared" si="3196"/>
        <v>2010</v>
      </c>
    </row>
    <row r="6843" spans="1:24" ht="12" customHeight="1">
      <c r="A6843" s="4">
        <v>2818</v>
      </c>
      <c r="B6843" s="4">
        <v>20325</v>
      </c>
      <c r="C6843" s="5">
        <f t="shared" ref="C6843:C6844" si="3219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  <c r="V6843">
        <f t="shared" si="3197"/>
        <v>5</v>
      </c>
      <c r="W6843">
        <f t="shared" si="3195"/>
        <v>7</v>
      </c>
      <c r="X6843">
        <f t="shared" si="3196"/>
        <v>2010</v>
      </c>
    </row>
    <row r="6844" spans="1:24" ht="12" customHeight="1">
      <c r="A6844" s="4">
        <v>2819</v>
      </c>
      <c r="B6844" s="4">
        <v>20325</v>
      </c>
      <c r="C6844" s="5">
        <f t="shared" si="3219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3220">C6844+3</f>
        <v>40365</v>
      </c>
      <c r="V6844">
        <f t="shared" si="3197"/>
        <v>6</v>
      </c>
      <c r="W6844">
        <f t="shared" si="3195"/>
        <v>7</v>
      </c>
      <c r="X6844">
        <f t="shared" si="3196"/>
        <v>2010</v>
      </c>
    </row>
    <row r="6845" spans="1:24" ht="12" customHeight="1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3220"/>
        <v>41253</v>
      </c>
      <c r="V6845">
        <f t="shared" si="3197"/>
        <v>10</v>
      </c>
      <c r="W6845">
        <f t="shared" si="3195"/>
        <v>12</v>
      </c>
      <c r="X6845">
        <f t="shared" si="3196"/>
        <v>2012</v>
      </c>
    </row>
    <row r="6846" spans="1:24" ht="12" customHeight="1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  <c r="V6846">
        <f t="shared" si="3197"/>
        <v>11</v>
      </c>
      <c r="W6846">
        <f t="shared" si="3195"/>
        <v>4</v>
      </c>
      <c r="X6846">
        <f t="shared" si="3196"/>
        <v>2009</v>
      </c>
    </row>
    <row r="6847" spans="1:24" ht="12" customHeight="1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  <c r="V6847">
        <f t="shared" si="3197"/>
        <v>14</v>
      </c>
      <c r="W6847">
        <f t="shared" si="3195"/>
        <v>8</v>
      </c>
      <c r="X6847">
        <f t="shared" si="3196"/>
        <v>2010</v>
      </c>
    </row>
    <row r="6848" spans="1:24" ht="12" customHeight="1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3221">C6848+2</f>
        <v>40008</v>
      </c>
      <c r="V6848">
        <f t="shared" si="3197"/>
        <v>14</v>
      </c>
      <c r="W6848">
        <f t="shared" si="3195"/>
        <v>7</v>
      </c>
      <c r="X6848">
        <f t="shared" si="3196"/>
        <v>2009</v>
      </c>
    </row>
    <row r="6849" spans="1:24" ht="12" customHeight="1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3221"/>
        <v>40848</v>
      </c>
      <c r="V6849">
        <f t="shared" si="3197"/>
        <v>1</v>
      </c>
      <c r="W6849">
        <f t="shared" si="3195"/>
        <v>11</v>
      </c>
      <c r="X6849">
        <f t="shared" si="3196"/>
        <v>2011</v>
      </c>
    </row>
    <row r="6850" spans="1:24" ht="12" customHeight="1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  <c r="V6850">
        <f t="shared" si="3197"/>
        <v>28</v>
      </c>
      <c r="W6850">
        <f t="shared" si="3195"/>
        <v>3</v>
      </c>
      <c r="X6850">
        <f t="shared" si="3196"/>
        <v>2012</v>
      </c>
    </row>
    <row r="6851" spans="1:24" ht="12" customHeight="1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  <c r="V6851">
        <f t="shared" si="3197"/>
        <v>11</v>
      </c>
      <c r="W6851">
        <f t="shared" ref="W6851:W6914" si="3222">MONTH(U6851)</f>
        <v>6</v>
      </c>
      <c r="X6851">
        <f t="shared" ref="X6851:X6914" si="3223">YEAR(U6851)</f>
        <v>2011</v>
      </c>
    </row>
    <row r="6852" spans="1:24" ht="12" customHeight="1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  <c r="V6852">
        <f t="shared" ref="V6852:V6915" si="3224">DAY(U6852)</f>
        <v>14</v>
      </c>
      <c r="W6852">
        <f t="shared" si="3222"/>
        <v>11</v>
      </c>
      <c r="X6852">
        <f t="shared" si="3223"/>
        <v>2012</v>
      </c>
    </row>
    <row r="6853" spans="1:24" ht="12" customHeight="1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  <c r="V6853">
        <f t="shared" si="3224"/>
        <v>17</v>
      </c>
      <c r="W6853">
        <f t="shared" si="3222"/>
        <v>5</v>
      </c>
      <c r="X6853">
        <f t="shared" si="3223"/>
        <v>2009</v>
      </c>
    </row>
    <row r="6854" spans="1:24" ht="12" customHeight="1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  <c r="V6854">
        <f t="shared" si="3224"/>
        <v>7</v>
      </c>
      <c r="W6854">
        <f t="shared" si="3222"/>
        <v>6</v>
      </c>
      <c r="X6854">
        <f t="shared" si="3223"/>
        <v>2011</v>
      </c>
    </row>
    <row r="6855" spans="1:24" ht="12" customHeight="1">
      <c r="A6855" s="4">
        <v>2970</v>
      </c>
      <c r="B6855" s="4">
        <v>21475</v>
      </c>
      <c r="C6855" s="5">
        <f t="shared" ref="C6855:C6856" si="3225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  <c r="V6855">
        <f t="shared" si="3224"/>
        <v>22</v>
      </c>
      <c r="W6855">
        <f t="shared" si="3222"/>
        <v>2</v>
      </c>
      <c r="X6855">
        <f t="shared" si="3223"/>
        <v>2011</v>
      </c>
    </row>
    <row r="6856" spans="1:24" ht="12" customHeight="1">
      <c r="A6856" s="4">
        <v>2971</v>
      </c>
      <c r="B6856" s="4">
        <v>21475</v>
      </c>
      <c r="C6856" s="5">
        <f t="shared" si="3225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3226">C6856+1</f>
        <v>40595</v>
      </c>
      <c r="V6856">
        <f t="shared" si="3224"/>
        <v>21</v>
      </c>
      <c r="W6856">
        <f t="shared" si="3222"/>
        <v>2</v>
      </c>
      <c r="X6856">
        <f t="shared" si="3223"/>
        <v>2011</v>
      </c>
    </row>
    <row r="6857" spans="1:24" ht="12" customHeight="1">
      <c r="A6857" s="4">
        <v>2981</v>
      </c>
      <c r="B6857" s="4">
        <v>21539</v>
      </c>
      <c r="C6857" s="5">
        <f t="shared" ref="C6857:C6858" si="3227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3226"/>
        <v>40369</v>
      </c>
      <c r="V6857">
        <f t="shared" si="3224"/>
        <v>10</v>
      </c>
      <c r="W6857">
        <f t="shared" si="3222"/>
        <v>7</v>
      </c>
      <c r="X6857">
        <f t="shared" si="3223"/>
        <v>2010</v>
      </c>
    </row>
    <row r="6858" spans="1:24" ht="12" customHeight="1">
      <c r="A6858" s="4">
        <v>2982</v>
      </c>
      <c r="B6858" s="4">
        <v>21539</v>
      </c>
      <c r="C6858" s="5">
        <f t="shared" si="3227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  <c r="V6858">
        <f t="shared" si="3224"/>
        <v>9</v>
      </c>
      <c r="W6858">
        <f t="shared" si="3222"/>
        <v>7</v>
      </c>
      <c r="X6858">
        <f t="shared" si="3223"/>
        <v>2010</v>
      </c>
    </row>
    <row r="6859" spans="1:24" ht="12" customHeight="1">
      <c r="A6859" s="4">
        <v>3008</v>
      </c>
      <c r="B6859" s="4">
        <v>21639</v>
      </c>
      <c r="C6859" s="5">
        <f t="shared" ref="C6859:C6862" si="3228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  <c r="V6859">
        <f t="shared" si="3224"/>
        <v>4</v>
      </c>
      <c r="W6859">
        <f t="shared" si="3222"/>
        <v>2</v>
      </c>
      <c r="X6859">
        <f t="shared" si="3223"/>
        <v>2011</v>
      </c>
    </row>
    <row r="6860" spans="1:24" ht="12" customHeight="1">
      <c r="A6860" s="4">
        <v>3009</v>
      </c>
      <c r="B6860" s="4">
        <v>21639</v>
      </c>
      <c r="C6860" s="5">
        <f t="shared" si="3228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  <c r="V6860">
        <f t="shared" si="3224"/>
        <v>3</v>
      </c>
      <c r="W6860">
        <f t="shared" si="3222"/>
        <v>2</v>
      </c>
      <c r="X6860">
        <f t="shared" si="3223"/>
        <v>2011</v>
      </c>
    </row>
    <row r="6861" spans="1:24" ht="12" customHeight="1">
      <c r="A6861" s="4">
        <v>3010</v>
      </c>
      <c r="B6861" s="4">
        <v>21639</v>
      </c>
      <c r="C6861" s="5">
        <f t="shared" si="3228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3229">C6861+0</f>
        <v>40576</v>
      </c>
      <c r="V6861">
        <f t="shared" si="3224"/>
        <v>2</v>
      </c>
      <c r="W6861">
        <f t="shared" si="3222"/>
        <v>2</v>
      </c>
      <c r="X6861">
        <f t="shared" si="3223"/>
        <v>2011</v>
      </c>
    </row>
    <row r="6862" spans="1:24" ht="12" customHeight="1">
      <c r="A6862" s="4">
        <v>3011</v>
      </c>
      <c r="B6862" s="4">
        <v>21639</v>
      </c>
      <c r="C6862" s="5">
        <f t="shared" si="3228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3229"/>
        <v>40576</v>
      </c>
      <c r="V6862">
        <f t="shared" si="3224"/>
        <v>2</v>
      </c>
      <c r="W6862">
        <f t="shared" si="3222"/>
        <v>2</v>
      </c>
      <c r="X6862">
        <f t="shared" si="3223"/>
        <v>2011</v>
      </c>
    </row>
    <row r="6863" spans="1:24" ht="12" customHeight="1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  <c r="V6863">
        <f t="shared" si="3224"/>
        <v>31</v>
      </c>
      <c r="W6863">
        <f t="shared" si="3222"/>
        <v>1</v>
      </c>
      <c r="X6863">
        <f t="shared" si="3223"/>
        <v>2011</v>
      </c>
    </row>
    <row r="6864" spans="1:24" ht="12" customHeight="1">
      <c r="A6864" s="4">
        <v>3038</v>
      </c>
      <c r="B6864" s="4">
        <v>21827</v>
      </c>
      <c r="C6864" s="5">
        <f t="shared" ref="C6864:C6865" si="3230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  <c r="V6864">
        <f t="shared" si="3224"/>
        <v>11</v>
      </c>
      <c r="W6864">
        <f t="shared" si="3222"/>
        <v>11</v>
      </c>
      <c r="X6864">
        <f t="shared" si="3223"/>
        <v>2012</v>
      </c>
    </row>
    <row r="6865" spans="1:24" ht="12" customHeight="1">
      <c r="A6865" s="4">
        <v>3039</v>
      </c>
      <c r="B6865" s="4">
        <v>21827</v>
      </c>
      <c r="C6865" s="5">
        <f t="shared" si="3230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  <c r="V6865">
        <f t="shared" si="3224"/>
        <v>10</v>
      </c>
      <c r="W6865">
        <f t="shared" si="3222"/>
        <v>11</v>
      </c>
      <c r="X6865">
        <f t="shared" si="3223"/>
        <v>2012</v>
      </c>
    </row>
    <row r="6866" spans="1:24" ht="12" customHeight="1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  <c r="V6866">
        <f t="shared" si="3224"/>
        <v>26</v>
      </c>
      <c r="W6866">
        <f t="shared" si="3222"/>
        <v>1</v>
      </c>
      <c r="X6866">
        <f t="shared" si="3223"/>
        <v>2011</v>
      </c>
    </row>
    <row r="6867" spans="1:24" ht="12" customHeight="1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  <c r="V6867">
        <f t="shared" si="3224"/>
        <v>11</v>
      </c>
      <c r="W6867">
        <f t="shared" si="3222"/>
        <v>12</v>
      </c>
      <c r="X6867">
        <f t="shared" si="3223"/>
        <v>2011</v>
      </c>
    </row>
    <row r="6868" spans="1:24" ht="12" customHeight="1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3231">C6868+2</f>
        <v>40267</v>
      </c>
      <c r="V6868">
        <f t="shared" si="3224"/>
        <v>30</v>
      </c>
      <c r="W6868">
        <f t="shared" si="3222"/>
        <v>3</v>
      </c>
      <c r="X6868">
        <f t="shared" si="3223"/>
        <v>2010</v>
      </c>
    </row>
    <row r="6869" spans="1:24" ht="12" customHeight="1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3231"/>
        <v>39863</v>
      </c>
      <c r="V6869">
        <f t="shared" si="3224"/>
        <v>19</v>
      </c>
      <c r="W6869">
        <f t="shared" si="3222"/>
        <v>2</v>
      </c>
      <c r="X6869">
        <f t="shared" si="3223"/>
        <v>2009</v>
      </c>
    </row>
    <row r="6870" spans="1:24" ht="12" customHeight="1">
      <c r="A6870" s="4">
        <v>3117</v>
      </c>
      <c r="B6870" s="4">
        <v>22402</v>
      </c>
      <c r="C6870" s="5">
        <f t="shared" ref="C6870:C6871" si="3232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3233">C6870+1</f>
        <v>39961</v>
      </c>
      <c r="V6870">
        <f t="shared" si="3224"/>
        <v>28</v>
      </c>
      <c r="W6870">
        <f t="shared" si="3222"/>
        <v>5</v>
      </c>
      <c r="X6870">
        <f t="shared" si="3223"/>
        <v>2009</v>
      </c>
    </row>
    <row r="6871" spans="1:24" ht="12" customHeight="1">
      <c r="A6871" s="4">
        <v>3118</v>
      </c>
      <c r="B6871" s="4">
        <v>22402</v>
      </c>
      <c r="C6871" s="5">
        <f t="shared" si="3232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3233"/>
        <v>39961</v>
      </c>
      <c r="V6871">
        <f t="shared" si="3224"/>
        <v>28</v>
      </c>
      <c r="W6871">
        <f t="shared" si="3222"/>
        <v>5</v>
      </c>
      <c r="X6871">
        <f t="shared" si="3223"/>
        <v>2009</v>
      </c>
    </row>
    <row r="6872" spans="1:24" ht="12" customHeight="1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  <c r="V6872">
        <f t="shared" si="3224"/>
        <v>5</v>
      </c>
      <c r="W6872">
        <f t="shared" si="3222"/>
        <v>3</v>
      </c>
      <c r="X6872">
        <f t="shared" si="3223"/>
        <v>2011</v>
      </c>
    </row>
    <row r="6873" spans="1:24" ht="12" customHeight="1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  <c r="V6873">
        <f t="shared" si="3224"/>
        <v>22</v>
      </c>
      <c r="W6873">
        <f t="shared" si="3222"/>
        <v>7</v>
      </c>
      <c r="X6873">
        <f t="shared" si="3223"/>
        <v>2012</v>
      </c>
    </row>
    <row r="6874" spans="1:24" ht="12" customHeight="1">
      <c r="A6874" s="4">
        <v>3128</v>
      </c>
      <c r="B6874" s="4">
        <v>22466</v>
      </c>
      <c r="C6874" s="5">
        <f t="shared" ref="C6874:C6875" si="3234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3235">C6874+7</f>
        <v>41003</v>
      </c>
      <c r="V6874">
        <f t="shared" si="3224"/>
        <v>4</v>
      </c>
      <c r="W6874">
        <f t="shared" si="3222"/>
        <v>4</v>
      </c>
      <c r="X6874">
        <f t="shared" si="3223"/>
        <v>2012</v>
      </c>
    </row>
    <row r="6875" spans="1:24" ht="12" customHeight="1">
      <c r="A6875" s="4">
        <v>3129</v>
      </c>
      <c r="B6875" s="4">
        <v>22466</v>
      </c>
      <c r="C6875" s="5">
        <f t="shared" si="3234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3235"/>
        <v>41003</v>
      </c>
      <c r="V6875">
        <f t="shared" si="3224"/>
        <v>4</v>
      </c>
      <c r="W6875">
        <f t="shared" si="3222"/>
        <v>4</v>
      </c>
      <c r="X6875">
        <f t="shared" si="3223"/>
        <v>2012</v>
      </c>
    </row>
    <row r="6876" spans="1:24" ht="12" customHeight="1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  <c r="V6876">
        <f t="shared" si="3224"/>
        <v>29</v>
      </c>
      <c r="W6876">
        <f t="shared" si="3222"/>
        <v>4</v>
      </c>
      <c r="X6876">
        <f t="shared" si="3223"/>
        <v>2012</v>
      </c>
    </row>
    <row r="6877" spans="1:24" ht="12" customHeight="1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  <c r="V6877">
        <f t="shared" si="3224"/>
        <v>3</v>
      </c>
      <c r="W6877">
        <f t="shared" si="3222"/>
        <v>4</v>
      </c>
      <c r="X6877">
        <f t="shared" si="3223"/>
        <v>2010</v>
      </c>
    </row>
    <row r="6878" spans="1:24" ht="12" customHeight="1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  <c r="V6878">
        <f t="shared" si="3224"/>
        <v>12</v>
      </c>
      <c r="W6878">
        <f t="shared" si="3222"/>
        <v>12</v>
      </c>
      <c r="X6878">
        <f t="shared" si="3223"/>
        <v>2012</v>
      </c>
    </row>
    <row r="6879" spans="1:24" ht="12" customHeight="1">
      <c r="A6879" s="4">
        <v>3176</v>
      </c>
      <c r="B6879" s="4">
        <v>22848</v>
      </c>
      <c r="C6879" s="5">
        <f t="shared" ref="C6879:C6881" si="3236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  <c r="V6879">
        <f t="shared" si="3224"/>
        <v>11</v>
      </c>
      <c r="W6879">
        <f t="shared" si="3222"/>
        <v>12</v>
      </c>
      <c r="X6879">
        <f t="shared" si="3223"/>
        <v>2011</v>
      </c>
    </row>
    <row r="6880" spans="1:24" ht="12" customHeight="1">
      <c r="A6880" s="4">
        <v>3177</v>
      </c>
      <c r="B6880" s="4">
        <v>22848</v>
      </c>
      <c r="C6880" s="5">
        <f t="shared" si="3236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3237">C6880+2</f>
        <v>40889</v>
      </c>
      <c r="V6880">
        <f t="shared" si="3224"/>
        <v>12</v>
      </c>
      <c r="W6880">
        <f t="shared" si="3222"/>
        <v>12</v>
      </c>
      <c r="X6880">
        <f t="shared" si="3223"/>
        <v>2011</v>
      </c>
    </row>
    <row r="6881" spans="1:24" ht="12" customHeight="1">
      <c r="A6881" s="4">
        <v>3178</v>
      </c>
      <c r="B6881" s="4">
        <v>22848</v>
      </c>
      <c r="C6881" s="5">
        <f t="shared" si="3236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3237"/>
        <v>40889</v>
      </c>
      <c r="V6881">
        <f t="shared" si="3224"/>
        <v>12</v>
      </c>
      <c r="W6881">
        <f t="shared" si="3222"/>
        <v>12</v>
      </c>
      <c r="X6881">
        <f t="shared" si="3223"/>
        <v>2011</v>
      </c>
    </row>
    <row r="6882" spans="1:24" ht="12" customHeight="1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  <c r="V6882">
        <f t="shared" si="3224"/>
        <v>1</v>
      </c>
      <c r="W6882">
        <f t="shared" si="3222"/>
        <v>5</v>
      </c>
      <c r="X6882">
        <f t="shared" si="3223"/>
        <v>2011</v>
      </c>
    </row>
    <row r="6883" spans="1:24" ht="12" customHeight="1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  <c r="V6883">
        <f t="shared" si="3224"/>
        <v>20</v>
      </c>
      <c r="W6883">
        <f t="shared" si="3222"/>
        <v>10</v>
      </c>
      <c r="X6883">
        <f t="shared" si="3223"/>
        <v>2010</v>
      </c>
    </row>
    <row r="6884" spans="1:24" ht="12" customHeight="1">
      <c r="A6884" s="4">
        <v>3193</v>
      </c>
      <c r="B6884" s="4">
        <v>22913</v>
      </c>
      <c r="C6884" s="5">
        <f t="shared" ref="C6884:C6886" si="3238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  <c r="V6884">
        <f t="shared" si="3224"/>
        <v>26</v>
      </c>
      <c r="W6884">
        <f t="shared" si="3222"/>
        <v>6</v>
      </c>
      <c r="X6884">
        <f t="shared" si="3223"/>
        <v>2010</v>
      </c>
    </row>
    <row r="6885" spans="1:24" ht="12" customHeight="1">
      <c r="A6885" s="4">
        <v>3194</v>
      </c>
      <c r="B6885" s="4">
        <v>22913</v>
      </c>
      <c r="C6885" s="5">
        <f t="shared" si="3238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  <c r="V6885">
        <f t="shared" si="3224"/>
        <v>28</v>
      </c>
      <c r="W6885">
        <f t="shared" si="3222"/>
        <v>6</v>
      </c>
      <c r="X6885">
        <f t="shared" si="3223"/>
        <v>2010</v>
      </c>
    </row>
    <row r="6886" spans="1:24" ht="12" customHeight="1">
      <c r="A6886" s="4">
        <v>3195</v>
      </c>
      <c r="B6886" s="4">
        <v>22913</v>
      </c>
      <c r="C6886" s="5">
        <f t="shared" si="3238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3239">C6886+1</f>
        <v>40355</v>
      </c>
      <c r="V6886">
        <f t="shared" si="3224"/>
        <v>26</v>
      </c>
      <c r="W6886">
        <f t="shared" si="3222"/>
        <v>6</v>
      </c>
      <c r="X6886">
        <f t="shared" si="3223"/>
        <v>2010</v>
      </c>
    </row>
    <row r="6887" spans="1:24" ht="12" customHeight="1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3239"/>
        <v>40922</v>
      </c>
      <c r="V6887">
        <f t="shared" si="3224"/>
        <v>14</v>
      </c>
      <c r="W6887">
        <f t="shared" si="3222"/>
        <v>1</v>
      </c>
      <c r="X6887">
        <f t="shared" si="3223"/>
        <v>2012</v>
      </c>
    </row>
    <row r="6888" spans="1:24" ht="12" customHeight="1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3239"/>
        <v>39930</v>
      </c>
      <c r="V6888">
        <f t="shared" si="3224"/>
        <v>27</v>
      </c>
      <c r="W6888">
        <f t="shared" si="3222"/>
        <v>4</v>
      </c>
      <c r="X6888">
        <f t="shared" si="3223"/>
        <v>2009</v>
      </c>
    </row>
    <row r="6889" spans="1:24" ht="12" customHeight="1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  <c r="V6889">
        <f t="shared" si="3224"/>
        <v>22</v>
      </c>
      <c r="W6889">
        <f t="shared" si="3222"/>
        <v>9</v>
      </c>
      <c r="X6889">
        <f t="shared" si="3223"/>
        <v>2010</v>
      </c>
    </row>
    <row r="6890" spans="1:24" ht="12" customHeight="1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3240">C6890+2</f>
        <v>40731</v>
      </c>
      <c r="V6890">
        <f t="shared" si="3224"/>
        <v>7</v>
      </c>
      <c r="W6890">
        <f t="shared" si="3222"/>
        <v>7</v>
      </c>
      <c r="X6890">
        <f t="shared" si="3223"/>
        <v>2011</v>
      </c>
    </row>
    <row r="6891" spans="1:24" ht="12" customHeight="1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3240"/>
        <v>40270</v>
      </c>
      <c r="V6891">
        <f t="shared" si="3224"/>
        <v>2</v>
      </c>
      <c r="W6891">
        <f t="shared" si="3222"/>
        <v>4</v>
      </c>
      <c r="X6891">
        <f t="shared" si="3223"/>
        <v>2010</v>
      </c>
    </row>
    <row r="6892" spans="1:24" ht="12" customHeight="1">
      <c r="A6892" s="4">
        <v>3251</v>
      </c>
      <c r="B6892" s="4">
        <v>23297</v>
      </c>
      <c r="C6892" s="5">
        <f t="shared" ref="C6892:C6893" si="3241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3240"/>
        <v>41094</v>
      </c>
      <c r="V6892">
        <f t="shared" si="3224"/>
        <v>4</v>
      </c>
      <c r="W6892">
        <f t="shared" si="3222"/>
        <v>7</v>
      </c>
      <c r="X6892">
        <f t="shared" si="3223"/>
        <v>2012</v>
      </c>
    </row>
    <row r="6893" spans="1:24" ht="12" customHeight="1">
      <c r="A6893" s="4">
        <v>3252</v>
      </c>
      <c r="B6893" s="4">
        <v>23297</v>
      </c>
      <c r="C6893" s="5">
        <f t="shared" si="3241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3240"/>
        <v>41094</v>
      </c>
      <c r="V6893">
        <f t="shared" si="3224"/>
        <v>4</v>
      </c>
      <c r="W6893">
        <f t="shared" si="3222"/>
        <v>7</v>
      </c>
      <c r="X6893">
        <f t="shared" si="3223"/>
        <v>2012</v>
      </c>
    </row>
    <row r="6894" spans="1:24" ht="12" customHeight="1">
      <c r="A6894" s="4">
        <v>3253</v>
      </c>
      <c r="B6894" s="4">
        <v>23301</v>
      </c>
      <c r="C6894" s="5">
        <f t="shared" ref="C6894:C6895" si="3242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3240"/>
        <v>40653</v>
      </c>
      <c r="V6894">
        <f t="shared" si="3224"/>
        <v>20</v>
      </c>
      <c r="W6894">
        <f t="shared" si="3222"/>
        <v>4</v>
      </c>
      <c r="X6894">
        <f t="shared" si="3223"/>
        <v>2011</v>
      </c>
    </row>
    <row r="6895" spans="1:24" ht="12" customHeight="1">
      <c r="A6895" s="4">
        <v>3254</v>
      </c>
      <c r="B6895" s="4">
        <v>23301</v>
      </c>
      <c r="C6895" s="5">
        <f t="shared" si="3242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3240"/>
        <v>40653</v>
      </c>
      <c r="V6895">
        <f t="shared" si="3224"/>
        <v>20</v>
      </c>
      <c r="W6895">
        <f t="shared" si="3222"/>
        <v>4</v>
      </c>
      <c r="X6895">
        <f t="shared" si="3223"/>
        <v>2011</v>
      </c>
    </row>
    <row r="6896" spans="1:24" ht="12" customHeight="1">
      <c r="A6896" s="4">
        <v>3257</v>
      </c>
      <c r="B6896" s="4">
        <v>23329</v>
      </c>
      <c r="C6896" s="5">
        <f t="shared" ref="C6896:C6897" si="3243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  <c r="V6896">
        <f t="shared" si="3224"/>
        <v>19</v>
      </c>
      <c r="W6896">
        <f t="shared" si="3222"/>
        <v>1</v>
      </c>
      <c r="X6896">
        <f t="shared" si="3223"/>
        <v>2011</v>
      </c>
    </row>
    <row r="6897" spans="1:24" ht="12" customHeight="1">
      <c r="A6897" s="4">
        <v>3258</v>
      </c>
      <c r="B6897" s="4">
        <v>23329</v>
      </c>
      <c r="C6897" s="5">
        <f t="shared" si="3243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  <c r="V6897">
        <f t="shared" si="3224"/>
        <v>30</v>
      </c>
      <c r="W6897">
        <f t="shared" si="3222"/>
        <v>12</v>
      </c>
      <c r="X6897">
        <f t="shared" si="3223"/>
        <v>2010</v>
      </c>
    </row>
    <row r="6898" spans="1:24" ht="12" customHeight="1">
      <c r="A6898" s="4">
        <v>3268</v>
      </c>
      <c r="B6898" s="4">
        <v>23366</v>
      </c>
      <c r="C6898" s="5">
        <f t="shared" ref="C6898:C6899" si="3244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  <c r="V6898">
        <f t="shared" si="3224"/>
        <v>21</v>
      </c>
      <c r="W6898">
        <f t="shared" si="3222"/>
        <v>11</v>
      </c>
      <c r="X6898">
        <f t="shared" si="3223"/>
        <v>2010</v>
      </c>
    </row>
    <row r="6899" spans="1:24" ht="12" customHeight="1">
      <c r="A6899" s="4">
        <v>3269</v>
      </c>
      <c r="B6899" s="4">
        <v>23366</v>
      </c>
      <c r="C6899" s="5">
        <f t="shared" si="3244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  <c r="V6899">
        <f t="shared" si="3224"/>
        <v>19</v>
      </c>
      <c r="W6899">
        <f t="shared" si="3222"/>
        <v>11</v>
      </c>
      <c r="X6899">
        <f t="shared" si="3223"/>
        <v>2010</v>
      </c>
    </row>
    <row r="6900" spans="1:24" ht="12" customHeight="1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3245">C6900+2</f>
        <v>41211</v>
      </c>
      <c r="V6900">
        <f t="shared" si="3224"/>
        <v>29</v>
      </c>
      <c r="W6900">
        <f t="shared" si="3222"/>
        <v>10</v>
      </c>
      <c r="X6900">
        <f t="shared" si="3223"/>
        <v>2012</v>
      </c>
    </row>
    <row r="6901" spans="1:24" ht="12" customHeight="1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3245"/>
        <v>39821</v>
      </c>
      <c r="V6901">
        <f t="shared" si="3224"/>
        <v>8</v>
      </c>
      <c r="W6901">
        <f t="shared" si="3222"/>
        <v>1</v>
      </c>
      <c r="X6901">
        <f t="shared" si="3223"/>
        <v>2009</v>
      </c>
    </row>
    <row r="6902" spans="1:24" ht="12" customHeight="1">
      <c r="A6902" s="4">
        <v>3292</v>
      </c>
      <c r="B6902" s="4">
        <v>23555</v>
      </c>
      <c r="C6902" s="5">
        <f t="shared" ref="C6902:C6903" si="3246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3247">C6902+1</f>
        <v>41255</v>
      </c>
      <c r="V6902">
        <f t="shared" si="3224"/>
        <v>12</v>
      </c>
      <c r="W6902">
        <f t="shared" si="3222"/>
        <v>12</v>
      </c>
      <c r="X6902">
        <f t="shared" si="3223"/>
        <v>2012</v>
      </c>
    </row>
    <row r="6903" spans="1:24" ht="12" customHeight="1">
      <c r="A6903" s="4">
        <v>3293</v>
      </c>
      <c r="B6903" s="4">
        <v>23555</v>
      </c>
      <c r="C6903" s="5">
        <f t="shared" si="3246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3247"/>
        <v>41255</v>
      </c>
      <c r="V6903">
        <f t="shared" si="3224"/>
        <v>12</v>
      </c>
      <c r="W6903">
        <f t="shared" si="3222"/>
        <v>12</v>
      </c>
      <c r="X6903">
        <f t="shared" si="3223"/>
        <v>2012</v>
      </c>
    </row>
    <row r="6904" spans="1:24" ht="12" customHeight="1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  <c r="V6904">
        <f t="shared" si="3224"/>
        <v>7</v>
      </c>
      <c r="W6904">
        <f t="shared" si="3222"/>
        <v>5</v>
      </c>
      <c r="X6904">
        <f t="shared" si="3223"/>
        <v>2011</v>
      </c>
    </row>
    <row r="6905" spans="1:24" ht="12" customHeight="1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  <c r="V6905">
        <f t="shared" si="3224"/>
        <v>30</v>
      </c>
      <c r="W6905">
        <f t="shared" si="3222"/>
        <v>8</v>
      </c>
      <c r="X6905">
        <f t="shared" si="3223"/>
        <v>2009</v>
      </c>
    </row>
    <row r="6906" spans="1:24" ht="12" customHeight="1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  <c r="V6906">
        <f t="shared" si="3224"/>
        <v>7</v>
      </c>
      <c r="W6906">
        <f t="shared" si="3222"/>
        <v>11</v>
      </c>
      <c r="X6906">
        <f t="shared" si="3223"/>
        <v>2010</v>
      </c>
    </row>
    <row r="6907" spans="1:24" ht="12" customHeight="1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  <c r="V6907">
        <f t="shared" si="3224"/>
        <v>27</v>
      </c>
      <c r="W6907">
        <f t="shared" si="3222"/>
        <v>7</v>
      </c>
      <c r="X6907">
        <f t="shared" si="3223"/>
        <v>2010</v>
      </c>
    </row>
    <row r="6908" spans="1:24" ht="12" customHeight="1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  <c r="V6908">
        <f t="shared" si="3224"/>
        <v>17</v>
      </c>
      <c r="W6908">
        <f t="shared" si="3222"/>
        <v>7</v>
      </c>
      <c r="X6908">
        <f t="shared" si="3223"/>
        <v>2009</v>
      </c>
    </row>
    <row r="6909" spans="1:24" ht="12" customHeight="1">
      <c r="A6909" s="4">
        <v>3329</v>
      </c>
      <c r="B6909" s="4">
        <v>23808</v>
      </c>
      <c r="C6909" s="5">
        <f t="shared" ref="C6909:C6910" si="3248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  <c r="V6909">
        <f t="shared" si="3224"/>
        <v>14</v>
      </c>
      <c r="W6909">
        <f t="shared" si="3222"/>
        <v>2</v>
      </c>
      <c r="X6909">
        <f t="shared" si="3223"/>
        <v>2009</v>
      </c>
    </row>
    <row r="6910" spans="1:24" ht="12" customHeight="1">
      <c r="A6910" s="4">
        <v>3330</v>
      </c>
      <c r="B6910" s="4">
        <v>23808</v>
      </c>
      <c r="C6910" s="5">
        <f t="shared" si="3248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  <c r="V6910">
        <f t="shared" si="3224"/>
        <v>9</v>
      </c>
      <c r="W6910">
        <f t="shared" si="3222"/>
        <v>2</v>
      </c>
      <c r="X6910">
        <f t="shared" si="3223"/>
        <v>2009</v>
      </c>
    </row>
    <row r="6911" spans="1:24" ht="12" customHeight="1">
      <c r="A6911" s="4">
        <v>3338</v>
      </c>
      <c r="B6911" s="4">
        <v>23877</v>
      </c>
      <c r="C6911" s="5">
        <f t="shared" ref="C6911:C6912" si="3249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  <c r="V6911">
        <f t="shared" si="3224"/>
        <v>12</v>
      </c>
      <c r="W6911">
        <f t="shared" si="3222"/>
        <v>7</v>
      </c>
      <c r="X6911">
        <f t="shared" si="3223"/>
        <v>2009</v>
      </c>
    </row>
    <row r="6912" spans="1:24" ht="12" customHeight="1">
      <c r="A6912" s="4">
        <v>3339</v>
      </c>
      <c r="B6912" s="4">
        <v>23877</v>
      </c>
      <c r="C6912" s="5">
        <f t="shared" si="3249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  <c r="V6912">
        <f t="shared" si="3224"/>
        <v>14</v>
      </c>
      <c r="W6912">
        <f t="shared" si="3222"/>
        <v>7</v>
      </c>
      <c r="X6912">
        <f t="shared" si="3223"/>
        <v>2009</v>
      </c>
    </row>
    <row r="6913" spans="1:24" ht="12" customHeight="1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  <c r="V6913">
        <f t="shared" si="3224"/>
        <v>31</v>
      </c>
      <c r="W6913">
        <f t="shared" si="3222"/>
        <v>10</v>
      </c>
      <c r="X6913">
        <f t="shared" si="3223"/>
        <v>2009</v>
      </c>
    </row>
    <row r="6914" spans="1:24" ht="12" customHeight="1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  <c r="V6914">
        <f t="shared" si="3224"/>
        <v>15</v>
      </c>
      <c r="W6914">
        <f t="shared" si="3222"/>
        <v>3</v>
      </c>
      <c r="X6914">
        <f t="shared" si="3223"/>
        <v>2011</v>
      </c>
    </row>
    <row r="6915" spans="1:24" ht="12" customHeight="1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3250">C6915+2</f>
        <v>40198</v>
      </c>
      <c r="V6915">
        <f t="shared" si="3224"/>
        <v>20</v>
      </c>
      <c r="W6915">
        <f t="shared" ref="W6915:W6978" si="3251">MONTH(U6915)</f>
        <v>1</v>
      </c>
      <c r="X6915">
        <f t="shared" ref="X6915:X6978" si="3252">YEAR(U6915)</f>
        <v>2010</v>
      </c>
    </row>
    <row r="6916" spans="1:24" ht="12" customHeight="1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3250"/>
        <v>40975</v>
      </c>
      <c r="V6916">
        <f t="shared" ref="V6916:V6979" si="3253">DAY(U6916)</f>
        <v>7</v>
      </c>
      <c r="W6916">
        <f t="shared" si="3251"/>
        <v>3</v>
      </c>
      <c r="X6916">
        <f t="shared" si="3252"/>
        <v>2012</v>
      </c>
    </row>
    <row r="6917" spans="1:24" ht="12" customHeight="1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3250"/>
        <v>40165</v>
      </c>
      <c r="V6917">
        <f t="shared" si="3253"/>
        <v>18</v>
      </c>
      <c r="W6917">
        <f t="shared" si="3251"/>
        <v>12</v>
      </c>
      <c r="X6917">
        <f t="shared" si="3252"/>
        <v>2009</v>
      </c>
    </row>
    <row r="6918" spans="1:24" ht="12" customHeight="1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3250"/>
        <v>40325</v>
      </c>
      <c r="V6918">
        <f t="shared" si="3253"/>
        <v>27</v>
      </c>
      <c r="W6918">
        <f t="shared" si="3251"/>
        <v>5</v>
      </c>
      <c r="X6918">
        <f t="shared" si="3252"/>
        <v>2010</v>
      </c>
    </row>
    <row r="6919" spans="1:24" ht="12" customHeight="1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3250"/>
        <v>40897</v>
      </c>
      <c r="V6919">
        <f t="shared" si="3253"/>
        <v>20</v>
      </c>
      <c r="W6919">
        <f t="shared" si="3251"/>
        <v>12</v>
      </c>
      <c r="X6919">
        <f t="shared" si="3252"/>
        <v>2011</v>
      </c>
    </row>
    <row r="6920" spans="1:24" ht="12" customHeight="1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3250"/>
        <v>39960</v>
      </c>
      <c r="V6920">
        <f t="shared" si="3253"/>
        <v>27</v>
      </c>
      <c r="W6920">
        <f t="shared" si="3251"/>
        <v>5</v>
      </c>
      <c r="X6920">
        <f t="shared" si="3252"/>
        <v>2009</v>
      </c>
    </row>
    <row r="6921" spans="1:24" ht="12" customHeight="1">
      <c r="A6921" s="4">
        <v>3574</v>
      </c>
      <c r="B6921" s="4">
        <v>25476</v>
      </c>
      <c r="C6921" s="5">
        <f t="shared" ref="C6921:C6922" si="3254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3250"/>
        <v>41186</v>
      </c>
      <c r="V6921">
        <f t="shared" si="3253"/>
        <v>4</v>
      </c>
      <c r="W6921">
        <f t="shared" si="3251"/>
        <v>10</v>
      </c>
      <c r="X6921">
        <f t="shared" si="3252"/>
        <v>2012</v>
      </c>
    </row>
    <row r="6922" spans="1:24" ht="12" customHeight="1">
      <c r="A6922" s="4">
        <v>3575</v>
      </c>
      <c r="B6922" s="4">
        <v>25476</v>
      </c>
      <c r="C6922" s="5">
        <f t="shared" si="3254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  <c r="V6922">
        <f t="shared" si="3253"/>
        <v>3</v>
      </c>
      <c r="W6922">
        <f t="shared" si="3251"/>
        <v>10</v>
      </c>
      <c r="X6922">
        <f t="shared" si="3252"/>
        <v>2012</v>
      </c>
    </row>
    <row r="6923" spans="1:24" ht="12" customHeight="1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3255">C6923+2</f>
        <v>41155</v>
      </c>
      <c r="V6923">
        <f t="shared" si="3253"/>
        <v>3</v>
      </c>
      <c r="W6923">
        <f t="shared" si="3251"/>
        <v>9</v>
      </c>
      <c r="X6923">
        <f t="shared" si="3252"/>
        <v>2012</v>
      </c>
    </row>
    <row r="6924" spans="1:24" ht="12" customHeight="1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3255"/>
        <v>40339</v>
      </c>
      <c r="V6924">
        <f t="shared" si="3253"/>
        <v>10</v>
      </c>
      <c r="W6924">
        <f t="shared" si="3251"/>
        <v>6</v>
      </c>
      <c r="X6924">
        <f t="shared" si="3252"/>
        <v>2010</v>
      </c>
    </row>
    <row r="6925" spans="1:24" ht="12" customHeight="1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  <c r="V6925">
        <f t="shared" si="3253"/>
        <v>23</v>
      </c>
      <c r="W6925">
        <f t="shared" si="3251"/>
        <v>6</v>
      </c>
      <c r="X6925">
        <f t="shared" si="3252"/>
        <v>2012</v>
      </c>
    </row>
    <row r="6926" spans="1:24" ht="12" customHeight="1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  <c r="V6926">
        <f t="shared" si="3253"/>
        <v>16</v>
      </c>
      <c r="W6926">
        <f t="shared" si="3251"/>
        <v>9</v>
      </c>
      <c r="X6926">
        <f t="shared" si="3252"/>
        <v>2012</v>
      </c>
    </row>
    <row r="6927" spans="1:24" ht="12" customHeight="1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3256">C6927+1</f>
        <v>41239</v>
      </c>
      <c r="V6927">
        <f t="shared" si="3253"/>
        <v>26</v>
      </c>
      <c r="W6927">
        <f t="shared" si="3251"/>
        <v>11</v>
      </c>
      <c r="X6927">
        <f t="shared" si="3252"/>
        <v>2012</v>
      </c>
    </row>
    <row r="6928" spans="1:24" ht="12" customHeight="1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3256"/>
        <v>41073</v>
      </c>
      <c r="V6928">
        <f t="shared" si="3253"/>
        <v>13</v>
      </c>
      <c r="W6928">
        <f t="shared" si="3251"/>
        <v>6</v>
      </c>
      <c r="X6928">
        <f t="shared" si="3252"/>
        <v>2012</v>
      </c>
    </row>
    <row r="6929" spans="1:24" ht="12" customHeight="1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  <c r="V6929">
        <f t="shared" si="3253"/>
        <v>3</v>
      </c>
      <c r="W6929">
        <f t="shared" si="3251"/>
        <v>11</v>
      </c>
      <c r="X6929">
        <f t="shared" si="3252"/>
        <v>2012</v>
      </c>
    </row>
    <row r="6930" spans="1:24" ht="12" customHeight="1">
      <c r="A6930" s="4">
        <v>3700</v>
      </c>
      <c r="B6930" s="4">
        <v>26437</v>
      </c>
      <c r="C6930" s="5">
        <f t="shared" ref="C6930:C6931" si="3257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  <c r="V6930">
        <f t="shared" si="3253"/>
        <v>29</v>
      </c>
      <c r="W6930">
        <f t="shared" si="3251"/>
        <v>11</v>
      </c>
      <c r="X6930">
        <f t="shared" si="3252"/>
        <v>2011</v>
      </c>
    </row>
    <row r="6931" spans="1:24" ht="12" customHeight="1">
      <c r="A6931" s="4">
        <v>3701</v>
      </c>
      <c r="B6931" s="4">
        <v>26437</v>
      </c>
      <c r="C6931" s="5">
        <f t="shared" si="3257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  <c r="V6931">
        <f t="shared" si="3253"/>
        <v>30</v>
      </c>
      <c r="W6931">
        <f t="shared" si="3251"/>
        <v>11</v>
      </c>
      <c r="X6931">
        <f t="shared" si="3252"/>
        <v>2011</v>
      </c>
    </row>
    <row r="6932" spans="1:24" ht="12" customHeight="1">
      <c r="A6932" s="4">
        <v>3705</v>
      </c>
      <c r="B6932" s="4">
        <v>26464</v>
      </c>
      <c r="C6932" s="5">
        <f t="shared" ref="C6932:C6933" si="3258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  <c r="V6932">
        <f t="shared" si="3253"/>
        <v>11</v>
      </c>
      <c r="W6932">
        <f t="shared" si="3251"/>
        <v>12</v>
      </c>
      <c r="X6932">
        <f t="shared" si="3252"/>
        <v>2011</v>
      </c>
    </row>
    <row r="6933" spans="1:24" ht="12" customHeight="1">
      <c r="A6933" s="4">
        <v>3706</v>
      </c>
      <c r="B6933" s="4">
        <v>26464</v>
      </c>
      <c r="C6933" s="5">
        <f t="shared" si="3258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  <c r="V6933">
        <f t="shared" si="3253"/>
        <v>12</v>
      </c>
      <c r="W6933">
        <f t="shared" si="3251"/>
        <v>12</v>
      </c>
      <c r="X6933">
        <f t="shared" si="3252"/>
        <v>2011</v>
      </c>
    </row>
    <row r="6934" spans="1:24" ht="12" customHeight="1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  <c r="V6934">
        <f t="shared" si="3253"/>
        <v>1</v>
      </c>
      <c r="W6934">
        <f t="shared" si="3251"/>
        <v>11</v>
      </c>
      <c r="X6934">
        <f t="shared" si="3252"/>
        <v>2010</v>
      </c>
    </row>
    <row r="6935" spans="1:24" ht="12" customHeight="1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  <c r="V6935">
        <f t="shared" si="3253"/>
        <v>2</v>
      </c>
      <c r="W6935">
        <f t="shared" si="3251"/>
        <v>10</v>
      </c>
      <c r="X6935">
        <f t="shared" si="3252"/>
        <v>2009</v>
      </c>
    </row>
    <row r="6936" spans="1:24" ht="12" customHeight="1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3259">C6936+1</f>
        <v>40276</v>
      </c>
      <c r="V6936">
        <f t="shared" si="3253"/>
        <v>8</v>
      </c>
      <c r="W6936">
        <f t="shared" si="3251"/>
        <v>4</v>
      </c>
      <c r="X6936">
        <f t="shared" si="3252"/>
        <v>2010</v>
      </c>
    </row>
    <row r="6937" spans="1:24" ht="12" customHeight="1">
      <c r="A6937" s="4">
        <v>3778</v>
      </c>
      <c r="B6937" s="4">
        <v>26976</v>
      </c>
      <c r="C6937" s="5">
        <f t="shared" ref="C6937:C6939" si="3260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3259"/>
        <v>40684</v>
      </c>
      <c r="V6937">
        <f t="shared" si="3253"/>
        <v>21</v>
      </c>
      <c r="W6937">
        <f t="shared" si="3251"/>
        <v>5</v>
      </c>
      <c r="X6937">
        <f t="shared" si="3252"/>
        <v>2011</v>
      </c>
    </row>
    <row r="6938" spans="1:24" ht="12" customHeight="1">
      <c r="A6938" s="4">
        <v>3779</v>
      </c>
      <c r="B6938" s="4">
        <v>26976</v>
      </c>
      <c r="C6938" s="5">
        <f t="shared" si="3260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  <c r="V6938">
        <f t="shared" si="3253"/>
        <v>22</v>
      </c>
      <c r="W6938">
        <f t="shared" si="3251"/>
        <v>5</v>
      </c>
      <c r="X6938">
        <f t="shared" si="3252"/>
        <v>2011</v>
      </c>
    </row>
    <row r="6939" spans="1:24" ht="12" customHeight="1">
      <c r="A6939" s="4">
        <v>3780</v>
      </c>
      <c r="B6939" s="4">
        <v>26976</v>
      </c>
      <c r="C6939" s="5">
        <f t="shared" si="3260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3261">C6939+1</f>
        <v>40684</v>
      </c>
      <c r="V6939">
        <f t="shared" si="3253"/>
        <v>21</v>
      </c>
      <c r="W6939">
        <f t="shared" si="3251"/>
        <v>5</v>
      </c>
      <c r="X6939">
        <f t="shared" si="3252"/>
        <v>2011</v>
      </c>
    </row>
    <row r="6940" spans="1:24" ht="12" customHeight="1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3261"/>
        <v>40798</v>
      </c>
      <c r="V6940">
        <f t="shared" si="3253"/>
        <v>12</v>
      </c>
      <c r="W6940">
        <f t="shared" si="3251"/>
        <v>9</v>
      </c>
      <c r="X6940">
        <f t="shared" si="3252"/>
        <v>2011</v>
      </c>
    </row>
    <row r="6941" spans="1:24" ht="12" customHeight="1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3262">C6941+2</f>
        <v>40836</v>
      </c>
      <c r="V6941">
        <f t="shared" si="3253"/>
        <v>20</v>
      </c>
      <c r="W6941">
        <f t="shared" si="3251"/>
        <v>10</v>
      </c>
      <c r="X6941">
        <f t="shared" si="3252"/>
        <v>2011</v>
      </c>
    </row>
    <row r="6942" spans="1:24" ht="12" customHeight="1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3262"/>
        <v>40212</v>
      </c>
      <c r="V6942">
        <f t="shared" si="3253"/>
        <v>3</v>
      </c>
      <c r="W6942">
        <f t="shared" si="3251"/>
        <v>2</v>
      </c>
      <c r="X6942">
        <f t="shared" si="3252"/>
        <v>2010</v>
      </c>
    </row>
    <row r="6943" spans="1:24" ht="12" customHeight="1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3262"/>
        <v>40614</v>
      </c>
      <c r="V6943">
        <f t="shared" si="3253"/>
        <v>12</v>
      </c>
      <c r="W6943">
        <f t="shared" si="3251"/>
        <v>3</v>
      </c>
      <c r="X6943">
        <f t="shared" si="3252"/>
        <v>2011</v>
      </c>
    </row>
    <row r="6944" spans="1:24" ht="12" customHeight="1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  <c r="V6944">
        <f t="shared" si="3253"/>
        <v>11</v>
      </c>
      <c r="W6944">
        <f t="shared" si="3251"/>
        <v>3</v>
      </c>
      <c r="X6944">
        <f t="shared" si="3252"/>
        <v>2010</v>
      </c>
    </row>
    <row r="6945" spans="1:24" ht="12" customHeight="1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  <c r="V6945">
        <f t="shared" si="3253"/>
        <v>21</v>
      </c>
      <c r="W6945">
        <f t="shared" si="3251"/>
        <v>9</v>
      </c>
      <c r="X6945">
        <f t="shared" si="3252"/>
        <v>2011</v>
      </c>
    </row>
    <row r="6946" spans="1:24" ht="12" customHeight="1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  <c r="V6946">
        <f t="shared" si="3253"/>
        <v>4</v>
      </c>
      <c r="W6946">
        <f t="shared" si="3251"/>
        <v>8</v>
      </c>
      <c r="X6946">
        <f t="shared" si="3252"/>
        <v>2010</v>
      </c>
    </row>
    <row r="6947" spans="1:24" ht="12" customHeight="1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  <c r="V6947">
        <f t="shared" si="3253"/>
        <v>24</v>
      </c>
      <c r="W6947">
        <f t="shared" si="3251"/>
        <v>9</v>
      </c>
      <c r="X6947">
        <f t="shared" si="3252"/>
        <v>2010</v>
      </c>
    </row>
    <row r="6948" spans="1:24" ht="12" customHeight="1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  <c r="V6948">
        <f t="shared" si="3253"/>
        <v>9</v>
      </c>
      <c r="W6948">
        <f t="shared" si="3251"/>
        <v>7</v>
      </c>
      <c r="X6948">
        <f t="shared" si="3252"/>
        <v>2011</v>
      </c>
    </row>
    <row r="6949" spans="1:24" ht="12" customHeight="1">
      <c r="A6949" s="4">
        <v>3930</v>
      </c>
      <c r="B6949" s="4">
        <v>28007</v>
      </c>
      <c r="C6949" s="5">
        <f t="shared" ref="C6949:C6951" si="3263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3264">C6949+1</f>
        <v>40277</v>
      </c>
      <c r="V6949">
        <f t="shared" si="3253"/>
        <v>9</v>
      </c>
      <c r="W6949">
        <f t="shared" si="3251"/>
        <v>4</v>
      </c>
      <c r="X6949">
        <f t="shared" si="3252"/>
        <v>2010</v>
      </c>
    </row>
    <row r="6950" spans="1:24" ht="12" customHeight="1">
      <c r="A6950" s="4">
        <v>3931</v>
      </c>
      <c r="B6950" s="4">
        <v>28007</v>
      </c>
      <c r="C6950" s="5">
        <f t="shared" si="3263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3264"/>
        <v>40277</v>
      </c>
      <c r="V6950">
        <f t="shared" si="3253"/>
        <v>9</v>
      </c>
      <c r="W6950">
        <f t="shared" si="3251"/>
        <v>4</v>
      </c>
      <c r="X6950">
        <f t="shared" si="3252"/>
        <v>2010</v>
      </c>
    </row>
    <row r="6951" spans="1:24" ht="12" customHeight="1">
      <c r="A6951" s="4">
        <v>3932</v>
      </c>
      <c r="B6951" s="4">
        <v>28007</v>
      </c>
      <c r="C6951" s="5">
        <f t="shared" si="3263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3264"/>
        <v>40277</v>
      </c>
      <c r="V6951">
        <f t="shared" si="3253"/>
        <v>9</v>
      </c>
      <c r="W6951">
        <f t="shared" si="3251"/>
        <v>4</v>
      </c>
      <c r="X6951">
        <f t="shared" si="3252"/>
        <v>2010</v>
      </c>
    </row>
    <row r="6952" spans="1:24" ht="12" customHeight="1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3264"/>
        <v>40935</v>
      </c>
      <c r="V6952">
        <f t="shared" si="3253"/>
        <v>27</v>
      </c>
      <c r="W6952">
        <f t="shared" si="3251"/>
        <v>1</v>
      </c>
      <c r="X6952">
        <f t="shared" si="3252"/>
        <v>2012</v>
      </c>
    </row>
    <row r="6953" spans="1:24" ht="12" customHeight="1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3264"/>
        <v>41263</v>
      </c>
      <c r="V6953">
        <f t="shared" si="3253"/>
        <v>20</v>
      </c>
      <c r="W6953">
        <f t="shared" si="3251"/>
        <v>12</v>
      </c>
      <c r="X6953">
        <f t="shared" si="3252"/>
        <v>2012</v>
      </c>
    </row>
    <row r="6954" spans="1:24" ht="12" customHeight="1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  <c r="V6954">
        <f t="shared" si="3253"/>
        <v>1</v>
      </c>
      <c r="W6954">
        <f t="shared" si="3251"/>
        <v>4</v>
      </c>
      <c r="X6954">
        <f t="shared" si="3252"/>
        <v>2009</v>
      </c>
    </row>
    <row r="6955" spans="1:24" ht="12" customHeight="1">
      <c r="A6955" s="4">
        <v>3973</v>
      </c>
      <c r="B6955" s="4">
        <v>28387</v>
      </c>
      <c r="C6955" s="5">
        <f t="shared" ref="C6955:C6956" si="3265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3266">C6955+1</f>
        <v>41090</v>
      </c>
      <c r="V6955">
        <f t="shared" si="3253"/>
        <v>30</v>
      </c>
      <c r="W6955">
        <f t="shared" si="3251"/>
        <v>6</v>
      </c>
      <c r="X6955">
        <f t="shared" si="3252"/>
        <v>2012</v>
      </c>
    </row>
    <row r="6956" spans="1:24" ht="12" customHeight="1">
      <c r="A6956" s="4">
        <v>3974</v>
      </c>
      <c r="B6956" s="4">
        <v>28387</v>
      </c>
      <c r="C6956" s="5">
        <f t="shared" si="3265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3266"/>
        <v>41090</v>
      </c>
      <c r="V6956">
        <f t="shared" si="3253"/>
        <v>30</v>
      </c>
      <c r="W6956">
        <f t="shared" si="3251"/>
        <v>6</v>
      </c>
      <c r="X6956">
        <f t="shared" si="3252"/>
        <v>2012</v>
      </c>
    </row>
    <row r="6957" spans="1:24" ht="12" customHeight="1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  <c r="V6957">
        <f t="shared" si="3253"/>
        <v>12</v>
      </c>
      <c r="W6957">
        <f t="shared" si="3251"/>
        <v>1</v>
      </c>
      <c r="X6957">
        <f t="shared" si="3252"/>
        <v>2012</v>
      </c>
    </row>
    <row r="6958" spans="1:24" ht="12" customHeight="1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  <c r="V6958">
        <f t="shared" si="3253"/>
        <v>28</v>
      </c>
      <c r="W6958">
        <f t="shared" si="3251"/>
        <v>4</v>
      </c>
      <c r="X6958">
        <f t="shared" si="3252"/>
        <v>2010</v>
      </c>
    </row>
    <row r="6959" spans="1:24" ht="12" customHeight="1">
      <c r="A6959" s="4">
        <v>4019</v>
      </c>
      <c r="B6959" s="4">
        <v>28737</v>
      </c>
      <c r="C6959" s="5">
        <f t="shared" ref="C6959:C6960" si="3267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3268">C6959+2</f>
        <v>40821</v>
      </c>
      <c r="V6959">
        <f t="shared" si="3253"/>
        <v>5</v>
      </c>
      <c r="W6959">
        <f t="shared" si="3251"/>
        <v>10</v>
      </c>
      <c r="X6959">
        <f t="shared" si="3252"/>
        <v>2011</v>
      </c>
    </row>
    <row r="6960" spans="1:24" ht="12" customHeight="1">
      <c r="A6960" s="4">
        <v>4020</v>
      </c>
      <c r="B6960" s="4">
        <v>28737</v>
      </c>
      <c r="C6960" s="5">
        <f t="shared" si="3267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3268"/>
        <v>40821</v>
      </c>
      <c r="V6960">
        <f t="shared" si="3253"/>
        <v>5</v>
      </c>
      <c r="W6960">
        <f t="shared" si="3251"/>
        <v>10</v>
      </c>
      <c r="X6960">
        <f t="shared" si="3252"/>
        <v>2011</v>
      </c>
    </row>
    <row r="6961" spans="1:24" ht="12" customHeight="1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3269">C6961+1</f>
        <v>40634</v>
      </c>
      <c r="V6961">
        <f t="shared" si="3253"/>
        <v>1</v>
      </c>
      <c r="W6961">
        <f t="shared" si="3251"/>
        <v>4</v>
      </c>
      <c r="X6961">
        <f t="shared" si="3252"/>
        <v>2011</v>
      </c>
    </row>
    <row r="6962" spans="1:24" ht="12" customHeight="1">
      <c r="A6962" s="4">
        <v>4039</v>
      </c>
      <c r="B6962" s="4">
        <v>28832</v>
      </c>
      <c r="C6962" s="5">
        <f t="shared" ref="C6962:C6963" si="3270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3269"/>
        <v>40446</v>
      </c>
      <c r="V6962">
        <f t="shared" si="3253"/>
        <v>25</v>
      </c>
      <c r="W6962">
        <f t="shared" si="3251"/>
        <v>9</v>
      </c>
      <c r="X6962">
        <f t="shared" si="3252"/>
        <v>2010</v>
      </c>
    </row>
    <row r="6963" spans="1:24" ht="12" customHeight="1">
      <c r="A6963" s="4">
        <v>4040</v>
      </c>
      <c r="B6963" s="4">
        <v>28832</v>
      </c>
      <c r="C6963" s="5">
        <f t="shared" si="3270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  <c r="V6963">
        <f t="shared" si="3253"/>
        <v>26</v>
      </c>
      <c r="W6963">
        <f t="shared" si="3251"/>
        <v>9</v>
      </c>
      <c r="X6963">
        <f t="shared" si="3252"/>
        <v>2010</v>
      </c>
    </row>
    <row r="6964" spans="1:24" ht="12" customHeight="1">
      <c r="A6964" s="4">
        <v>4064</v>
      </c>
      <c r="B6964" s="4">
        <v>28933</v>
      </c>
      <c r="C6964" s="5">
        <f t="shared" ref="C6964:C6965" si="3271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3272">C6964+1</f>
        <v>40004</v>
      </c>
      <c r="V6964">
        <f t="shared" si="3253"/>
        <v>10</v>
      </c>
      <c r="W6964">
        <f t="shared" si="3251"/>
        <v>7</v>
      </c>
      <c r="X6964">
        <f t="shared" si="3252"/>
        <v>2009</v>
      </c>
    </row>
    <row r="6965" spans="1:24" ht="12" customHeight="1">
      <c r="A6965" s="4">
        <v>4065</v>
      </c>
      <c r="B6965" s="4">
        <v>28933</v>
      </c>
      <c r="C6965" s="5">
        <f t="shared" si="3271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3272"/>
        <v>40004</v>
      </c>
      <c r="V6965">
        <f t="shared" si="3253"/>
        <v>10</v>
      </c>
      <c r="W6965">
        <f t="shared" si="3251"/>
        <v>7</v>
      </c>
      <c r="X6965">
        <f t="shared" si="3252"/>
        <v>2009</v>
      </c>
    </row>
    <row r="6966" spans="1:24" ht="12" customHeight="1">
      <c r="A6966" s="4">
        <v>4080</v>
      </c>
      <c r="B6966" s="4">
        <v>29090</v>
      </c>
      <c r="C6966" s="5">
        <f t="shared" ref="C6966:C6967" si="3273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3272"/>
        <v>40925</v>
      </c>
      <c r="V6966">
        <f t="shared" si="3253"/>
        <v>17</v>
      </c>
      <c r="W6966">
        <f t="shared" si="3251"/>
        <v>1</v>
      </c>
      <c r="X6966">
        <f t="shared" si="3252"/>
        <v>2012</v>
      </c>
    </row>
    <row r="6967" spans="1:24" ht="12" customHeight="1">
      <c r="A6967" s="4">
        <v>4081</v>
      </c>
      <c r="B6967" s="4">
        <v>29090</v>
      </c>
      <c r="C6967" s="5">
        <f t="shared" si="3273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  <c r="V6967">
        <f t="shared" si="3253"/>
        <v>16</v>
      </c>
      <c r="W6967">
        <f t="shared" si="3251"/>
        <v>1</v>
      </c>
      <c r="X6967">
        <f t="shared" si="3252"/>
        <v>2012</v>
      </c>
    </row>
    <row r="6968" spans="1:24" ht="12" customHeight="1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  <c r="V6968">
        <f t="shared" si="3253"/>
        <v>1</v>
      </c>
      <c r="W6968">
        <f t="shared" si="3251"/>
        <v>6</v>
      </c>
      <c r="X6968">
        <f t="shared" si="3252"/>
        <v>2012</v>
      </c>
    </row>
    <row r="6969" spans="1:24" ht="12" customHeight="1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  <c r="V6969">
        <f t="shared" si="3253"/>
        <v>12</v>
      </c>
      <c r="W6969">
        <f t="shared" si="3251"/>
        <v>4</v>
      </c>
      <c r="X6969">
        <f t="shared" si="3252"/>
        <v>2009</v>
      </c>
    </row>
    <row r="6970" spans="1:24" ht="12" customHeight="1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3274">C6970+1</f>
        <v>41271</v>
      </c>
      <c r="V6970">
        <f t="shared" si="3253"/>
        <v>28</v>
      </c>
      <c r="W6970">
        <f t="shared" si="3251"/>
        <v>12</v>
      </c>
      <c r="X6970">
        <f t="shared" si="3252"/>
        <v>2012</v>
      </c>
    </row>
    <row r="6971" spans="1:24" ht="12" customHeight="1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3274"/>
        <v>40998</v>
      </c>
      <c r="V6971">
        <f t="shared" si="3253"/>
        <v>30</v>
      </c>
      <c r="W6971">
        <f t="shared" si="3251"/>
        <v>3</v>
      </c>
      <c r="X6971">
        <f t="shared" si="3252"/>
        <v>2012</v>
      </c>
    </row>
    <row r="6972" spans="1:24" ht="12" customHeight="1">
      <c r="A6972" s="4">
        <v>4309</v>
      </c>
      <c r="B6972" s="4">
        <v>30720</v>
      </c>
      <c r="C6972" s="5">
        <f t="shared" ref="C6972:C6973" si="3275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3276">C6972+7</f>
        <v>41186</v>
      </c>
      <c r="V6972">
        <f t="shared" si="3253"/>
        <v>4</v>
      </c>
      <c r="W6972">
        <f t="shared" si="3251"/>
        <v>10</v>
      </c>
      <c r="X6972">
        <f t="shared" si="3252"/>
        <v>2012</v>
      </c>
    </row>
    <row r="6973" spans="1:24" ht="12" customHeight="1">
      <c r="A6973" s="4">
        <v>4310</v>
      </c>
      <c r="B6973" s="4">
        <v>30720</v>
      </c>
      <c r="C6973" s="5">
        <f t="shared" si="3275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3276"/>
        <v>41186</v>
      </c>
      <c r="V6973">
        <f t="shared" si="3253"/>
        <v>4</v>
      </c>
      <c r="W6973">
        <f t="shared" si="3251"/>
        <v>10</v>
      </c>
      <c r="X6973">
        <f t="shared" si="3252"/>
        <v>2012</v>
      </c>
    </row>
    <row r="6974" spans="1:24" ht="12" customHeight="1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3277">C6974+2</f>
        <v>39943</v>
      </c>
      <c r="V6974">
        <f t="shared" si="3253"/>
        <v>10</v>
      </c>
      <c r="W6974">
        <f t="shared" si="3251"/>
        <v>5</v>
      </c>
      <c r="X6974">
        <f t="shared" si="3252"/>
        <v>2009</v>
      </c>
    </row>
    <row r="6975" spans="1:24" ht="12" customHeight="1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3277"/>
        <v>40666</v>
      </c>
      <c r="V6975">
        <f t="shared" si="3253"/>
        <v>3</v>
      </c>
      <c r="W6975">
        <f t="shared" si="3251"/>
        <v>5</v>
      </c>
      <c r="X6975">
        <f t="shared" si="3252"/>
        <v>2011</v>
      </c>
    </row>
    <row r="6976" spans="1:24" ht="12" customHeight="1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  <c r="V6976">
        <f t="shared" si="3253"/>
        <v>22</v>
      </c>
      <c r="W6976">
        <f t="shared" si="3251"/>
        <v>6</v>
      </c>
      <c r="X6976">
        <f t="shared" si="3252"/>
        <v>2010</v>
      </c>
    </row>
    <row r="6977" spans="1:24" ht="12" customHeight="1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  <c r="V6977">
        <f t="shared" si="3253"/>
        <v>7</v>
      </c>
      <c r="W6977">
        <f t="shared" si="3251"/>
        <v>7</v>
      </c>
      <c r="X6977">
        <f t="shared" si="3252"/>
        <v>2010</v>
      </c>
    </row>
    <row r="6978" spans="1:24" ht="12" customHeight="1">
      <c r="A6978" s="4">
        <v>4382</v>
      </c>
      <c r="B6978" s="4">
        <v>31233</v>
      </c>
      <c r="C6978" s="5">
        <f t="shared" ref="C6978:C6981" si="3278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  <c r="V6978">
        <f t="shared" si="3253"/>
        <v>28</v>
      </c>
      <c r="W6978">
        <f t="shared" si="3251"/>
        <v>9</v>
      </c>
      <c r="X6978">
        <f t="shared" si="3252"/>
        <v>2011</v>
      </c>
    </row>
    <row r="6979" spans="1:24" ht="12" customHeight="1">
      <c r="A6979" s="4">
        <v>4383</v>
      </c>
      <c r="B6979" s="4">
        <v>31233</v>
      </c>
      <c r="C6979" s="5">
        <f t="shared" si="3278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  <c r="V6979">
        <f t="shared" si="3253"/>
        <v>26</v>
      </c>
      <c r="W6979">
        <f t="shared" ref="W6979:W7042" si="3279">MONTH(U6979)</f>
        <v>9</v>
      </c>
      <c r="X6979">
        <f t="shared" ref="X6979:X7042" si="3280">YEAR(U6979)</f>
        <v>2011</v>
      </c>
    </row>
    <row r="6980" spans="1:24" ht="12" customHeight="1">
      <c r="A6980" s="4">
        <v>4384</v>
      </c>
      <c r="B6980" s="4">
        <v>31233</v>
      </c>
      <c r="C6980" s="5">
        <f t="shared" si="3278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  <c r="V6980">
        <f t="shared" ref="V6980:V7043" si="3281">DAY(U6980)</f>
        <v>28</v>
      </c>
      <c r="W6980">
        <f t="shared" si="3279"/>
        <v>9</v>
      </c>
      <c r="X6980">
        <f t="shared" si="3280"/>
        <v>2011</v>
      </c>
    </row>
    <row r="6981" spans="1:24" ht="12" customHeight="1">
      <c r="A6981" s="4">
        <v>4385</v>
      </c>
      <c r="B6981" s="4">
        <v>31233</v>
      </c>
      <c r="C6981" s="5">
        <f t="shared" si="3278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  <c r="V6981">
        <f t="shared" si="3281"/>
        <v>3</v>
      </c>
      <c r="W6981">
        <f t="shared" si="3279"/>
        <v>10</v>
      </c>
      <c r="X6981">
        <f t="shared" si="3280"/>
        <v>2011</v>
      </c>
    </row>
    <row r="6982" spans="1:24" ht="12" customHeight="1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3282">C6982+2</f>
        <v>40723</v>
      </c>
      <c r="V6982">
        <f t="shared" si="3281"/>
        <v>29</v>
      </c>
      <c r="W6982">
        <f t="shared" si="3279"/>
        <v>6</v>
      </c>
      <c r="X6982">
        <f t="shared" si="3280"/>
        <v>2011</v>
      </c>
    </row>
    <row r="6983" spans="1:24" ht="12" customHeight="1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3282"/>
        <v>40722</v>
      </c>
      <c r="V6983">
        <f t="shared" si="3281"/>
        <v>28</v>
      </c>
      <c r="W6983">
        <f t="shared" si="3279"/>
        <v>6</v>
      </c>
      <c r="X6983">
        <f t="shared" si="3280"/>
        <v>2011</v>
      </c>
    </row>
    <row r="6984" spans="1:24" ht="12" customHeight="1">
      <c r="A6984" s="4">
        <v>4433</v>
      </c>
      <c r="B6984" s="4">
        <v>31590</v>
      </c>
      <c r="C6984" s="5">
        <f t="shared" ref="C6984:C6985" si="328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  <c r="V6984">
        <f t="shared" si="3281"/>
        <v>6</v>
      </c>
      <c r="W6984">
        <f t="shared" si="3279"/>
        <v>6</v>
      </c>
      <c r="X6984">
        <f t="shared" si="3280"/>
        <v>2010</v>
      </c>
    </row>
    <row r="6985" spans="1:24" ht="12" customHeight="1">
      <c r="A6985" s="4">
        <v>4434</v>
      </c>
      <c r="B6985" s="4">
        <v>31590</v>
      </c>
      <c r="C6985" s="5">
        <f t="shared" si="328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  <c r="V6985">
        <f t="shared" si="3281"/>
        <v>7</v>
      </c>
      <c r="W6985">
        <f t="shared" si="3279"/>
        <v>6</v>
      </c>
      <c r="X6985">
        <f t="shared" si="3280"/>
        <v>2010</v>
      </c>
    </row>
    <row r="6986" spans="1:24" ht="12" customHeight="1">
      <c r="A6986" s="4">
        <v>4438</v>
      </c>
      <c r="B6986" s="4">
        <v>31619</v>
      </c>
      <c r="C6986" s="5">
        <f t="shared" ref="C6986:C6987" si="328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  <c r="V6986">
        <f t="shared" si="3281"/>
        <v>24</v>
      </c>
      <c r="W6986">
        <f t="shared" si="3279"/>
        <v>9</v>
      </c>
      <c r="X6986">
        <f t="shared" si="3280"/>
        <v>2009</v>
      </c>
    </row>
    <row r="6987" spans="1:24" ht="12" customHeight="1">
      <c r="A6987" s="4">
        <v>4439</v>
      </c>
      <c r="B6987" s="4">
        <v>31619</v>
      </c>
      <c r="C6987" s="5">
        <f t="shared" si="328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  <c r="V6987">
        <f t="shared" si="3281"/>
        <v>19</v>
      </c>
      <c r="W6987">
        <f t="shared" si="3279"/>
        <v>9</v>
      </c>
      <c r="X6987">
        <f t="shared" si="3280"/>
        <v>2009</v>
      </c>
    </row>
    <row r="6988" spans="1:24" ht="12" customHeight="1">
      <c r="A6988" s="4">
        <v>4450</v>
      </c>
      <c r="B6988" s="4">
        <v>31715</v>
      </c>
      <c r="C6988" s="5">
        <f t="shared" ref="C6988:C6989" si="328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  <c r="V6988">
        <f t="shared" si="3281"/>
        <v>10</v>
      </c>
      <c r="W6988">
        <f t="shared" si="3279"/>
        <v>1</v>
      </c>
      <c r="X6988">
        <f t="shared" si="3280"/>
        <v>2009</v>
      </c>
    </row>
    <row r="6989" spans="1:24" ht="12" customHeight="1">
      <c r="A6989" s="4">
        <v>4451</v>
      </c>
      <c r="B6989" s="4">
        <v>31715</v>
      </c>
      <c r="C6989" s="5">
        <f t="shared" si="328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3286">C6989+0</f>
        <v>39822</v>
      </c>
      <c r="V6989">
        <f t="shared" si="3281"/>
        <v>9</v>
      </c>
      <c r="W6989">
        <f t="shared" si="3279"/>
        <v>1</v>
      </c>
      <c r="X6989">
        <f t="shared" si="3280"/>
        <v>2009</v>
      </c>
    </row>
    <row r="6990" spans="1:24" ht="12" customHeight="1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3286"/>
        <v>40303</v>
      </c>
      <c r="V6990">
        <f t="shared" si="3281"/>
        <v>5</v>
      </c>
      <c r="W6990">
        <f t="shared" si="3279"/>
        <v>5</v>
      </c>
      <c r="X6990">
        <f t="shared" si="3280"/>
        <v>2010</v>
      </c>
    </row>
    <row r="6991" spans="1:24" ht="12" customHeight="1">
      <c r="A6991" s="4">
        <v>4513</v>
      </c>
      <c r="B6991" s="4">
        <v>32129</v>
      </c>
      <c r="C6991" s="5">
        <f t="shared" ref="C6991:C6992" si="328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  <c r="V6991">
        <f t="shared" si="3281"/>
        <v>3</v>
      </c>
      <c r="W6991">
        <f t="shared" si="3279"/>
        <v>7</v>
      </c>
      <c r="X6991">
        <f t="shared" si="3280"/>
        <v>2011</v>
      </c>
    </row>
    <row r="6992" spans="1:24" ht="12" customHeight="1">
      <c r="A6992" s="4">
        <v>4514</v>
      </c>
      <c r="B6992" s="4">
        <v>32129</v>
      </c>
      <c r="C6992" s="5">
        <f t="shared" si="328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  <c r="V6992">
        <f t="shared" si="3281"/>
        <v>4</v>
      </c>
      <c r="W6992">
        <f t="shared" si="3279"/>
        <v>7</v>
      </c>
      <c r="X6992">
        <f t="shared" si="3280"/>
        <v>2011</v>
      </c>
    </row>
    <row r="6993" spans="1:24" ht="12" customHeight="1">
      <c r="A6993" s="4">
        <v>4536</v>
      </c>
      <c r="B6993" s="4">
        <v>32291</v>
      </c>
      <c r="C6993" s="5">
        <f t="shared" ref="C6993:C6994" si="328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  <c r="V6993">
        <f t="shared" si="3281"/>
        <v>5</v>
      </c>
      <c r="W6993">
        <f t="shared" si="3279"/>
        <v>11</v>
      </c>
      <c r="X6993">
        <f t="shared" si="3280"/>
        <v>2009</v>
      </c>
    </row>
    <row r="6994" spans="1:24" ht="12" customHeight="1">
      <c r="A6994" s="4">
        <v>4537</v>
      </c>
      <c r="B6994" s="4">
        <v>32291</v>
      </c>
      <c r="C6994" s="5">
        <f t="shared" si="328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  <c r="V6994">
        <f t="shared" si="3281"/>
        <v>6</v>
      </c>
      <c r="W6994">
        <f t="shared" si="3279"/>
        <v>11</v>
      </c>
      <c r="X6994">
        <f t="shared" si="3280"/>
        <v>2009</v>
      </c>
    </row>
    <row r="6995" spans="1:24" ht="12" customHeight="1">
      <c r="A6995" s="4">
        <v>4622</v>
      </c>
      <c r="B6995" s="4">
        <v>32902</v>
      </c>
      <c r="C6995" s="5">
        <f t="shared" ref="C6995:C6996" si="328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3290">C6995+2</f>
        <v>40973</v>
      </c>
      <c r="V6995">
        <f t="shared" si="3281"/>
        <v>5</v>
      </c>
      <c r="W6995">
        <f t="shared" si="3279"/>
        <v>3</v>
      </c>
      <c r="X6995">
        <f t="shared" si="3280"/>
        <v>2012</v>
      </c>
    </row>
    <row r="6996" spans="1:24" ht="12" customHeight="1">
      <c r="A6996" s="4">
        <v>4623</v>
      </c>
      <c r="B6996" s="4">
        <v>32902</v>
      </c>
      <c r="C6996" s="5">
        <f t="shared" si="328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3290"/>
        <v>40973</v>
      </c>
      <c r="V6996">
        <f t="shared" si="3281"/>
        <v>5</v>
      </c>
      <c r="W6996">
        <f t="shared" si="3279"/>
        <v>3</v>
      </c>
      <c r="X6996">
        <f t="shared" si="3280"/>
        <v>2012</v>
      </c>
    </row>
    <row r="6997" spans="1:24" ht="12" customHeight="1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  <c r="V6997">
        <f t="shared" si="3281"/>
        <v>13</v>
      </c>
      <c r="W6997">
        <f t="shared" si="3279"/>
        <v>1</v>
      </c>
      <c r="X6997">
        <f t="shared" si="3280"/>
        <v>2010</v>
      </c>
    </row>
    <row r="6998" spans="1:24" ht="12" customHeight="1">
      <c r="A6998" s="4">
        <v>4648</v>
      </c>
      <c r="B6998" s="4">
        <v>33095</v>
      </c>
      <c r="C6998" s="5">
        <f t="shared" ref="C6998:C6999" si="329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  <c r="V6998">
        <f t="shared" si="3281"/>
        <v>17</v>
      </c>
      <c r="W6998">
        <f t="shared" si="3279"/>
        <v>2</v>
      </c>
      <c r="X6998">
        <f t="shared" si="3280"/>
        <v>2009</v>
      </c>
    </row>
    <row r="6999" spans="1:24" ht="12" customHeight="1">
      <c r="A6999" s="4">
        <v>4649</v>
      </c>
      <c r="B6999" s="4">
        <v>33095</v>
      </c>
      <c r="C6999" s="5">
        <f t="shared" si="329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3292">C6999+1</f>
        <v>39860</v>
      </c>
      <c r="V6999">
        <f t="shared" si="3281"/>
        <v>16</v>
      </c>
      <c r="W6999">
        <f t="shared" si="3279"/>
        <v>2</v>
      </c>
      <c r="X6999">
        <f t="shared" si="3280"/>
        <v>2009</v>
      </c>
    </row>
    <row r="7000" spans="1:24" ht="12" customHeight="1">
      <c r="A7000" s="4">
        <v>4652</v>
      </c>
      <c r="B7000" s="4">
        <v>33126</v>
      </c>
      <c r="C7000" s="5">
        <f t="shared" ref="C7000:C7001" si="329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3292"/>
        <v>40860</v>
      </c>
      <c r="V7000">
        <f t="shared" si="3281"/>
        <v>13</v>
      </c>
      <c r="W7000">
        <f t="shared" si="3279"/>
        <v>11</v>
      </c>
      <c r="X7000">
        <f t="shared" si="3280"/>
        <v>2011</v>
      </c>
    </row>
    <row r="7001" spans="1:24" ht="12" customHeight="1">
      <c r="A7001" s="4">
        <v>4653</v>
      </c>
      <c r="B7001" s="4">
        <v>33126</v>
      </c>
      <c r="C7001" s="5">
        <f t="shared" si="329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3294">C7001+2</f>
        <v>40861</v>
      </c>
      <c r="V7001">
        <f t="shared" si="3281"/>
        <v>14</v>
      </c>
      <c r="W7001">
        <f t="shared" si="3279"/>
        <v>11</v>
      </c>
      <c r="X7001">
        <f t="shared" si="3280"/>
        <v>2011</v>
      </c>
    </row>
    <row r="7002" spans="1:24" ht="12" customHeight="1">
      <c r="A7002" s="4">
        <v>4669</v>
      </c>
      <c r="B7002" s="4">
        <v>33222</v>
      </c>
      <c r="C7002" s="5">
        <f t="shared" ref="C7002:C7004" si="329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3294"/>
        <v>41081</v>
      </c>
      <c r="V7002">
        <f t="shared" si="3281"/>
        <v>21</v>
      </c>
      <c r="W7002">
        <f t="shared" si="3279"/>
        <v>6</v>
      </c>
      <c r="X7002">
        <f t="shared" si="3280"/>
        <v>2012</v>
      </c>
    </row>
    <row r="7003" spans="1:24" ht="12" customHeight="1">
      <c r="A7003" s="4">
        <v>4670</v>
      </c>
      <c r="B7003" s="4">
        <v>33222</v>
      </c>
      <c r="C7003" s="5">
        <f t="shared" si="329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  <c r="V7003">
        <f t="shared" si="3281"/>
        <v>20</v>
      </c>
      <c r="W7003">
        <f t="shared" si="3279"/>
        <v>6</v>
      </c>
      <c r="X7003">
        <f t="shared" si="3280"/>
        <v>2012</v>
      </c>
    </row>
    <row r="7004" spans="1:24" ht="12" customHeight="1">
      <c r="A7004" s="4">
        <v>4671</v>
      </c>
      <c r="B7004" s="4">
        <v>33222</v>
      </c>
      <c r="C7004" s="5">
        <f t="shared" si="329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3296">C7004+2</f>
        <v>41081</v>
      </c>
      <c r="V7004">
        <f t="shared" si="3281"/>
        <v>21</v>
      </c>
      <c r="W7004">
        <f t="shared" si="3279"/>
        <v>6</v>
      </c>
      <c r="X7004">
        <f t="shared" si="3280"/>
        <v>2012</v>
      </c>
    </row>
    <row r="7005" spans="1:24" ht="12" customHeight="1">
      <c r="A7005" s="4">
        <v>4681</v>
      </c>
      <c r="B7005" s="4">
        <v>33317</v>
      </c>
      <c r="C7005" s="5">
        <f t="shared" ref="C7005:C7008" si="329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3296"/>
        <v>39946</v>
      </c>
      <c r="V7005">
        <f t="shared" si="3281"/>
        <v>13</v>
      </c>
      <c r="W7005">
        <f t="shared" si="3279"/>
        <v>5</v>
      </c>
      <c r="X7005">
        <f t="shared" si="3280"/>
        <v>2009</v>
      </c>
    </row>
    <row r="7006" spans="1:24" ht="12" customHeight="1">
      <c r="A7006" s="4">
        <v>4682</v>
      </c>
      <c r="B7006" s="4">
        <v>33317</v>
      </c>
      <c r="C7006" s="5">
        <f t="shared" si="329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  <c r="V7006">
        <f t="shared" si="3281"/>
        <v>12</v>
      </c>
      <c r="W7006">
        <f t="shared" si="3279"/>
        <v>5</v>
      </c>
      <c r="X7006">
        <f t="shared" si="3280"/>
        <v>2009</v>
      </c>
    </row>
    <row r="7007" spans="1:24" ht="12" customHeight="1">
      <c r="A7007" s="4">
        <v>4683</v>
      </c>
      <c r="B7007" s="4">
        <v>33317</v>
      </c>
      <c r="C7007" s="5">
        <f t="shared" si="329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  <c r="V7007">
        <f t="shared" si="3281"/>
        <v>11</v>
      </c>
      <c r="W7007">
        <f t="shared" si="3279"/>
        <v>5</v>
      </c>
      <c r="X7007">
        <f t="shared" si="3280"/>
        <v>2009</v>
      </c>
    </row>
    <row r="7008" spans="1:24" ht="12" customHeight="1">
      <c r="A7008" s="4">
        <v>4684</v>
      </c>
      <c r="B7008" s="4">
        <v>33317</v>
      </c>
      <c r="C7008" s="5">
        <f t="shared" si="329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  <c r="V7008">
        <f t="shared" si="3281"/>
        <v>13</v>
      </c>
      <c r="W7008">
        <f t="shared" si="3279"/>
        <v>5</v>
      </c>
      <c r="X7008">
        <f t="shared" si="3280"/>
        <v>2009</v>
      </c>
    </row>
    <row r="7009" spans="1:24" ht="12" customHeight="1">
      <c r="A7009" s="4">
        <v>4693</v>
      </c>
      <c r="B7009" s="4">
        <v>33445</v>
      </c>
      <c r="C7009" s="5">
        <f t="shared" ref="C7009:C7011" si="329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3299">C7009+5</f>
        <v>41128</v>
      </c>
      <c r="V7009">
        <f t="shared" si="3281"/>
        <v>7</v>
      </c>
      <c r="W7009">
        <f t="shared" si="3279"/>
        <v>8</v>
      </c>
      <c r="X7009">
        <f t="shared" si="3280"/>
        <v>2012</v>
      </c>
    </row>
    <row r="7010" spans="1:24" ht="12" customHeight="1">
      <c r="A7010" s="4">
        <v>4694</v>
      </c>
      <c r="B7010" s="4">
        <v>33445</v>
      </c>
      <c r="C7010" s="5">
        <f t="shared" si="329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3299"/>
        <v>41128</v>
      </c>
      <c r="V7010">
        <f t="shared" si="3281"/>
        <v>7</v>
      </c>
      <c r="W7010">
        <f t="shared" si="3279"/>
        <v>8</v>
      </c>
      <c r="X7010">
        <f t="shared" si="3280"/>
        <v>2012</v>
      </c>
    </row>
    <row r="7011" spans="1:24" ht="12" customHeight="1">
      <c r="A7011" s="4">
        <v>4695</v>
      </c>
      <c r="B7011" s="4">
        <v>33445</v>
      </c>
      <c r="C7011" s="5">
        <f t="shared" si="329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3300">C7011+2</f>
        <v>41125</v>
      </c>
      <c r="V7011">
        <f t="shared" si="3281"/>
        <v>4</v>
      </c>
      <c r="W7011">
        <f t="shared" si="3279"/>
        <v>8</v>
      </c>
      <c r="X7011">
        <f t="shared" si="3280"/>
        <v>2012</v>
      </c>
    </row>
    <row r="7012" spans="1:24" ht="12" customHeight="1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3300"/>
        <v>40775</v>
      </c>
      <c r="V7012">
        <f t="shared" si="3281"/>
        <v>20</v>
      </c>
      <c r="W7012">
        <f t="shared" si="3279"/>
        <v>8</v>
      </c>
      <c r="X7012">
        <f t="shared" si="3280"/>
        <v>2011</v>
      </c>
    </row>
    <row r="7013" spans="1:24" ht="12" customHeight="1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3300"/>
        <v>39942</v>
      </c>
      <c r="V7013">
        <f t="shared" si="3281"/>
        <v>9</v>
      </c>
      <c r="W7013">
        <f t="shared" si="3279"/>
        <v>5</v>
      </c>
      <c r="X7013">
        <f t="shared" si="3280"/>
        <v>2009</v>
      </c>
    </row>
    <row r="7014" spans="1:24" ht="12" customHeight="1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  <c r="V7014">
        <f t="shared" si="3281"/>
        <v>3</v>
      </c>
      <c r="W7014">
        <f t="shared" si="3279"/>
        <v>9</v>
      </c>
      <c r="X7014">
        <f t="shared" si="3280"/>
        <v>2012</v>
      </c>
    </row>
    <row r="7015" spans="1:24" ht="12" customHeight="1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  <c r="V7015">
        <f t="shared" si="3281"/>
        <v>11</v>
      </c>
      <c r="W7015">
        <f t="shared" si="3279"/>
        <v>1</v>
      </c>
      <c r="X7015">
        <f t="shared" si="3280"/>
        <v>2009</v>
      </c>
    </row>
    <row r="7016" spans="1:24" ht="12" customHeight="1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  <c r="V7016">
        <f t="shared" si="3281"/>
        <v>20</v>
      </c>
      <c r="W7016">
        <f t="shared" si="3279"/>
        <v>10</v>
      </c>
      <c r="X7016">
        <f t="shared" si="3280"/>
        <v>2012</v>
      </c>
    </row>
    <row r="7017" spans="1:24" ht="12" customHeight="1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  <c r="V7017">
        <f t="shared" si="3281"/>
        <v>26</v>
      </c>
      <c r="W7017">
        <f t="shared" si="3279"/>
        <v>10</v>
      </c>
      <c r="X7017">
        <f t="shared" si="3280"/>
        <v>2011</v>
      </c>
    </row>
    <row r="7018" spans="1:24" ht="12" customHeight="1">
      <c r="A7018" s="4">
        <v>4814</v>
      </c>
      <c r="B7018" s="4">
        <v>34243</v>
      </c>
      <c r="C7018" s="5">
        <f t="shared" ref="C7018:C7020" si="330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  <c r="V7018">
        <f t="shared" si="3281"/>
        <v>13</v>
      </c>
      <c r="W7018">
        <f t="shared" si="3279"/>
        <v>2</v>
      </c>
      <c r="X7018">
        <f t="shared" si="3280"/>
        <v>2011</v>
      </c>
    </row>
    <row r="7019" spans="1:24" ht="12" customHeight="1">
      <c r="A7019" s="4">
        <v>4815</v>
      </c>
      <c r="B7019" s="4">
        <v>34243</v>
      </c>
      <c r="C7019" s="5">
        <f t="shared" si="330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  <c r="V7019">
        <f t="shared" si="3281"/>
        <v>12</v>
      </c>
      <c r="W7019">
        <f t="shared" si="3279"/>
        <v>2</v>
      </c>
      <c r="X7019">
        <f t="shared" si="3280"/>
        <v>2011</v>
      </c>
    </row>
    <row r="7020" spans="1:24" ht="12" customHeight="1">
      <c r="A7020" s="4">
        <v>4816</v>
      </c>
      <c r="B7020" s="4">
        <v>34243</v>
      </c>
      <c r="C7020" s="5">
        <f t="shared" si="330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3302">C7020+2</f>
        <v>40587</v>
      </c>
      <c r="V7020">
        <f t="shared" si="3281"/>
        <v>13</v>
      </c>
      <c r="W7020">
        <f t="shared" si="3279"/>
        <v>2</v>
      </c>
      <c r="X7020">
        <f t="shared" si="3280"/>
        <v>2011</v>
      </c>
    </row>
    <row r="7021" spans="1:24" ht="12" customHeight="1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3302"/>
        <v>40998</v>
      </c>
      <c r="V7021">
        <f t="shared" si="3281"/>
        <v>30</v>
      </c>
      <c r="W7021">
        <f t="shared" si="3279"/>
        <v>3</v>
      </c>
      <c r="X7021">
        <f t="shared" si="3280"/>
        <v>2012</v>
      </c>
    </row>
    <row r="7022" spans="1:24" ht="12" customHeight="1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  <c r="V7022">
        <f t="shared" si="3281"/>
        <v>29</v>
      </c>
      <c r="W7022">
        <f t="shared" si="3279"/>
        <v>9</v>
      </c>
      <c r="X7022">
        <f t="shared" si="3280"/>
        <v>2012</v>
      </c>
    </row>
    <row r="7023" spans="1:24" ht="12" customHeight="1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3303">C7023+2</f>
        <v>40530</v>
      </c>
      <c r="V7023">
        <f t="shared" si="3281"/>
        <v>18</v>
      </c>
      <c r="W7023">
        <f t="shared" si="3279"/>
        <v>12</v>
      </c>
      <c r="X7023">
        <f t="shared" si="3280"/>
        <v>2010</v>
      </c>
    </row>
    <row r="7024" spans="1:24" ht="12" customHeight="1">
      <c r="A7024" s="4">
        <v>4914</v>
      </c>
      <c r="B7024" s="4">
        <v>34980</v>
      </c>
      <c r="C7024" s="5">
        <f t="shared" ref="C7024:C7026" si="330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3303"/>
        <v>40394</v>
      </c>
      <c r="V7024">
        <f t="shared" si="3281"/>
        <v>4</v>
      </c>
      <c r="W7024">
        <f t="shared" si="3279"/>
        <v>8</v>
      </c>
      <c r="X7024">
        <f t="shared" si="3280"/>
        <v>2010</v>
      </c>
    </row>
    <row r="7025" spans="1:24" ht="12" customHeight="1">
      <c r="A7025" s="4">
        <v>4915</v>
      </c>
      <c r="B7025" s="4">
        <v>34980</v>
      </c>
      <c r="C7025" s="5">
        <f t="shared" si="330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3303"/>
        <v>40394</v>
      </c>
      <c r="V7025">
        <f t="shared" si="3281"/>
        <v>4</v>
      </c>
      <c r="W7025">
        <f t="shared" si="3279"/>
        <v>8</v>
      </c>
      <c r="X7025">
        <f t="shared" si="3280"/>
        <v>2010</v>
      </c>
    </row>
    <row r="7026" spans="1:24" ht="12" customHeight="1">
      <c r="A7026" s="4">
        <v>4916</v>
      </c>
      <c r="B7026" s="4">
        <v>34980</v>
      </c>
      <c r="C7026" s="5">
        <f t="shared" si="330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3303"/>
        <v>40394</v>
      </c>
      <c r="V7026">
        <f t="shared" si="3281"/>
        <v>4</v>
      </c>
      <c r="W7026">
        <f t="shared" si="3279"/>
        <v>8</v>
      </c>
      <c r="X7026">
        <f t="shared" si="3280"/>
        <v>2010</v>
      </c>
    </row>
    <row r="7027" spans="1:24" ht="12" customHeight="1">
      <c r="A7027" s="4">
        <v>4968</v>
      </c>
      <c r="B7027" s="4">
        <v>35361</v>
      </c>
      <c r="C7027" s="5">
        <f t="shared" ref="C7027:C7028" si="330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3306">C7027+1</f>
        <v>39910</v>
      </c>
      <c r="V7027">
        <f t="shared" si="3281"/>
        <v>7</v>
      </c>
      <c r="W7027">
        <f t="shared" si="3279"/>
        <v>4</v>
      </c>
      <c r="X7027">
        <f t="shared" si="3280"/>
        <v>2009</v>
      </c>
    </row>
    <row r="7028" spans="1:24" ht="12" customHeight="1">
      <c r="A7028" s="4">
        <v>4969</v>
      </c>
      <c r="B7028" s="4">
        <v>35361</v>
      </c>
      <c r="C7028" s="5">
        <f t="shared" si="330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3306"/>
        <v>39910</v>
      </c>
      <c r="V7028">
        <f t="shared" si="3281"/>
        <v>7</v>
      </c>
      <c r="W7028">
        <f t="shared" si="3279"/>
        <v>4</v>
      </c>
      <c r="X7028">
        <f t="shared" si="3280"/>
        <v>2009</v>
      </c>
    </row>
    <row r="7029" spans="1:24" ht="12" customHeight="1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3306"/>
        <v>40858</v>
      </c>
      <c r="V7029">
        <f t="shared" si="3281"/>
        <v>11</v>
      </c>
      <c r="W7029">
        <f t="shared" si="3279"/>
        <v>11</v>
      </c>
      <c r="X7029">
        <f t="shared" si="3280"/>
        <v>2011</v>
      </c>
    </row>
    <row r="7030" spans="1:24" ht="12" customHeight="1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  <c r="V7030">
        <f t="shared" si="3281"/>
        <v>19</v>
      </c>
      <c r="W7030">
        <f t="shared" si="3279"/>
        <v>1</v>
      </c>
      <c r="X7030">
        <f t="shared" si="3280"/>
        <v>2011</v>
      </c>
    </row>
    <row r="7031" spans="1:24" ht="12" customHeight="1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  <c r="V7031">
        <f t="shared" si="3281"/>
        <v>28</v>
      </c>
      <c r="W7031">
        <f t="shared" si="3279"/>
        <v>3</v>
      </c>
      <c r="X7031">
        <f t="shared" si="3280"/>
        <v>2012</v>
      </c>
    </row>
    <row r="7032" spans="1:24" ht="12" customHeight="1">
      <c r="A7032" s="4">
        <v>5044</v>
      </c>
      <c r="B7032" s="4">
        <v>35938</v>
      </c>
      <c r="C7032" s="5">
        <f t="shared" ref="C7032:C7033" si="330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  <c r="V7032">
        <f t="shared" si="3281"/>
        <v>19</v>
      </c>
      <c r="W7032">
        <f t="shared" si="3279"/>
        <v>11</v>
      </c>
      <c r="X7032">
        <f t="shared" si="3280"/>
        <v>2012</v>
      </c>
    </row>
    <row r="7033" spans="1:24" ht="12" customHeight="1">
      <c r="A7033" s="4">
        <v>5045</v>
      </c>
      <c r="B7033" s="4">
        <v>35938</v>
      </c>
      <c r="C7033" s="5">
        <f t="shared" si="330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  <c r="V7033">
        <f t="shared" si="3281"/>
        <v>18</v>
      </c>
      <c r="W7033">
        <f t="shared" si="3279"/>
        <v>11</v>
      </c>
      <c r="X7033">
        <f t="shared" si="3280"/>
        <v>2012</v>
      </c>
    </row>
    <row r="7034" spans="1:24" ht="12" customHeight="1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  <c r="V7034">
        <f t="shared" si="3281"/>
        <v>5</v>
      </c>
      <c r="W7034">
        <f t="shared" si="3279"/>
        <v>3</v>
      </c>
      <c r="X7034">
        <f t="shared" si="3280"/>
        <v>2012</v>
      </c>
    </row>
    <row r="7035" spans="1:24" ht="12" customHeight="1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  <c r="V7035">
        <f t="shared" si="3281"/>
        <v>19</v>
      </c>
      <c r="W7035">
        <f t="shared" si="3279"/>
        <v>12</v>
      </c>
      <c r="X7035">
        <f t="shared" si="3280"/>
        <v>2009</v>
      </c>
    </row>
    <row r="7036" spans="1:24" ht="12" customHeight="1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  <c r="V7036">
        <f t="shared" si="3281"/>
        <v>6</v>
      </c>
      <c r="W7036">
        <f t="shared" si="3279"/>
        <v>7</v>
      </c>
      <c r="X7036">
        <f t="shared" si="3280"/>
        <v>2009</v>
      </c>
    </row>
    <row r="7037" spans="1:24" ht="12" customHeight="1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  <c r="V7037">
        <f t="shared" si="3281"/>
        <v>18</v>
      </c>
      <c r="W7037">
        <f t="shared" si="3279"/>
        <v>5</v>
      </c>
      <c r="X7037">
        <f t="shared" si="3280"/>
        <v>2009</v>
      </c>
    </row>
    <row r="7038" spans="1:24" ht="12" customHeight="1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  <c r="V7038">
        <f t="shared" si="3281"/>
        <v>29</v>
      </c>
      <c r="W7038">
        <f t="shared" si="3279"/>
        <v>11</v>
      </c>
      <c r="X7038">
        <f t="shared" si="3280"/>
        <v>2012</v>
      </c>
    </row>
    <row r="7039" spans="1:24" ht="12" customHeight="1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3308">C7039+2</f>
        <v>40763</v>
      </c>
      <c r="V7039">
        <f t="shared" si="3281"/>
        <v>8</v>
      </c>
      <c r="W7039">
        <f t="shared" si="3279"/>
        <v>8</v>
      </c>
      <c r="X7039">
        <f t="shared" si="3280"/>
        <v>2011</v>
      </c>
    </row>
    <row r="7040" spans="1:24" ht="12" customHeight="1">
      <c r="A7040" s="4">
        <v>5101</v>
      </c>
      <c r="B7040" s="4">
        <v>36356</v>
      </c>
      <c r="C7040" s="5">
        <f t="shared" ref="C7040:C7041" si="330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3308"/>
        <v>40904</v>
      </c>
      <c r="V7040">
        <f t="shared" si="3281"/>
        <v>27</v>
      </c>
      <c r="W7040">
        <f t="shared" si="3279"/>
        <v>12</v>
      </c>
      <c r="X7040">
        <f t="shared" si="3280"/>
        <v>2011</v>
      </c>
    </row>
    <row r="7041" spans="1:24" ht="12" customHeight="1">
      <c r="A7041" s="4">
        <v>5102</v>
      </c>
      <c r="B7041" s="4">
        <v>36356</v>
      </c>
      <c r="C7041" s="5">
        <f t="shared" si="330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3308"/>
        <v>40904</v>
      </c>
      <c r="V7041">
        <f t="shared" si="3281"/>
        <v>27</v>
      </c>
      <c r="W7041">
        <f t="shared" si="3279"/>
        <v>12</v>
      </c>
      <c r="X7041">
        <f t="shared" si="3280"/>
        <v>2011</v>
      </c>
    </row>
    <row r="7042" spans="1:24" ht="12" customHeight="1">
      <c r="A7042" s="4">
        <v>5140</v>
      </c>
      <c r="B7042" s="4">
        <v>36647</v>
      </c>
      <c r="C7042" s="5">
        <f t="shared" ref="C7042:C7044" si="331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3311">C7042+1</f>
        <v>39995</v>
      </c>
      <c r="V7042">
        <f t="shared" si="3281"/>
        <v>1</v>
      </c>
      <c r="W7042">
        <f t="shared" si="3279"/>
        <v>7</v>
      </c>
      <c r="X7042">
        <f t="shared" si="3280"/>
        <v>2009</v>
      </c>
    </row>
    <row r="7043" spans="1:24" ht="12" customHeight="1">
      <c r="A7043" s="4">
        <v>5141</v>
      </c>
      <c r="B7043" s="4">
        <v>36647</v>
      </c>
      <c r="C7043" s="5">
        <f t="shared" si="331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3311"/>
        <v>39995</v>
      </c>
      <c r="V7043">
        <f t="shared" si="3281"/>
        <v>1</v>
      </c>
      <c r="W7043">
        <f t="shared" ref="W7043:W7106" si="3312">MONTH(U7043)</f>
        <v>7</v>
      </c>
      <c r="X7043">
        <f t="shared" ref="X7043:X7106" si="3313">YEAR(U7043)</f>
        <v>2009</v>
      </c>
    </row>
    <row r="7044" spans="1:24" ht="12" customHeight="1">
      <c r="A7044" s="4">
        <v>5142</v>
      </c>
      <c r="B7044" s="4">
        <v>36647</v>
      </c>
      <c r="C7044" s="5">
        <f t="shared" si="331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  <c r="V7044">
        <f t="shared" ref="V7044:V7107" si="3314">DAY(U7044)</f>
        <v>3</v>
      </c>
      <c r="W7044">
        <f t="shared" si="3312"/>
        <v>7</v>
      </c>
      <c r="X7044">
        <f t="shared" si="3313"/>
        <v>2009</v>
      </c>
    </row>
    <row r="7045" spans="1:24" ht="12" customHeight="1">
      <c r="A7045" s="4">
        <v>5159</v>
      </c>
      <c r="B7045" s="4">
        <v>36737</v>
      </c>
      <c r="C7045" s="5">
        <f t="shared" ref="C7045:C7046" si="3315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3316">C7045+1</f>
        <v>40253</v>
      </c>
      <c r="V7045">
        <f t="shared" si="3314"/>
        <v>16</v>
      </c>
      <c r="W7045">
        <f t="shared" si="3312"/>
        <v>3</v>
      </c>
      <c r="X7045">
        <f t="shared" si="3313"/>
        <v>2010</v>
      </c>
    </row>
    <row r="7046" spans="1:24" ht="12" customHeight="1">
      <c r="A7046" s="4">
        <v>5160</v>
      </c>
      <c r="B7046" s="4">
        <v>36737</v>
      </c>
      <c r="C7046" s="5">
        <f t="shared" si="3315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3316"/>
        <v>40253</v>
      </c>
      <c r="V7046">
        <f t="shared" si="3314"/>
        <v>16</v>
      </c>
      <c r="W7046">
        <f t="shared" si="3312"/>
        <v>3</v>
      </c>
      <c r="X7046">
        <f t="shared" si="3313"/>
        <v>2010</v>
      </c>
    </row>
    <row r="7047" spans="1:24" ht="12" customHeight="1">
      <c r="A7047" s="4">
        <v>5177</v>
      </c>
      <c r="B7047" s="4">
        <v>36832</v>
      </c>
      <c r="C7047" s="5">
        <f t="shared" ref="C7047:C7048" si="3317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  <c r="V7047">
        <f t="shared" si="3314"/>
        <v>8</v>
      </c>
      <c r="W7047">
        <f t="shared" si="3312"/>
        <v>6</v>
      </c>
      <c r="X7047">
        <f t="shared" si="3313"/>
        <v>2012</v>
      </c>
    </row>
    <row r="7048" spans="1:24" ht="12" customHeight="1">
      <c r="A7048" s="4">
        <v>5178</v>
      </c>
      <c r="B7048" s="4">
        <v>36832</v>
      </c>
      <c r="C7048" s="5">
        <f t="shared" si="3317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  <c r="V7048">
        <f t="shared" si="3314"/>
        <v>6</v>
      </c>
      <c r="W7048">
        <f t="shared" si="3312"/>
        <v>6</v>
      </c>
      <c r="X7048">
        <f t="shared" si="3313"/>
        <v>2012</v>
      </c>
    </row>
    <row r="7049" spans="1:24" ht="12" customHeight="1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  <c r="V7049">
        <f t="shared" si="3314"/>
        <v>1</v>
      </c>
      <c r="W7049">
        <f t="shared" si="3312"/>
        <v>3</v>
      </c>
      <c r="X7049">
        <f t="shared" si="3313"/>
        <v>2010</v>
      </c>
    </row>
    <row r="7050" spans="1:24" ht="12" customHeight="1">
      <c r="A7050" s="4">
        <v>5188</v>
      </c>
      <c r="B7050" s="4">
        <v>36867</v>
      </c>
      <c r="C7050" s="5">
        <f t="shared" ref="C7050:C7051" si="3318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3319">C7050+2</f>
        <v>40063</v>
      </c>
      <c r="V7050">
        <f t="shared" si="3314"/>
        <v>7</v>
      </c>
      <c r="W7050">
        <f t="shared" si="3312"/>
        <v>9</v>
      </c>
      <c r="X7050">
        <f t="shared" si="3313"/>
        <v>2009</v>
      </c>
    </row>
    <row r="7051" spans="1:24" ht="12" customHeight="1">
      <c r="A7051" s="4">
        <v>5189</v>
      </c>
      <c r="B7051" s="4">
        <v>36867</v>
      </c>
      <c r="C7051" s="5">
        <f t="shared" si="3318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3319"/>
        <v>40063</v>
      </c>
      <c r="V7051">
        <f t="shared" si="3314"/>
        <v>7</v>
      </c>
      <c r="W7051">
        <f t="shared" si="3312"/>
        <v>9</v>
      </c>
      <c r="X7051">
        <f t="shared" si="3313"/>
        <v>2009</v>
      </c>
    </row>
    <row r="7052" spans="1:24" ht="12" customHeight="1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  <c r="V7052">
        <f t="shared" si="3314"/>
        <v>15</v>
      </c>
      <c r="W7052">
        <f t="shared" si="3312"/>
        <v>1</v>
      </c>
      <c r="X7052">
        <f t="shared" si="3313"/>
        <v>2010</v>
      </c>
    </row>
    <row r="7053" spans="1:24" ht="12" customHeight="1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  <c r="V7053">
        <f t="shared" si="3314"/>
        <v>5</v>
      </c>
      <c r="W7053">
        <f t="shared" si="3312"/>
        <v>10</v>
      </c>
      <c r="X7053">
        <f t="shared" si="3313"/>
        <v>2009</v>
      </c>
    </row>
    <row r="7054" spans="1:24" ht="12" customHeight="1">
      <c r="A7054" s="4">
        <v>5268</v>
      </c>
      <c r="B7054" s="4">
        <v>37505</v>
      </c>
      <c r="C7054" s="5">
        <f t="shared" ref="C7054:C7056" si="3320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3321">C7054+2</f>
        <v>40699</v>
      </c>
      <c r="V7054">
        <f t="shared" si="3314"/>
        <v>5</v>
      </c>
      <c r="W7054">
        <f t="shared" si="3312"/>
        <v>6</v>
      </c>
      <c r="X7054">
        <f t="shared" si="3313"/>
        <v>2011</v>
      </c>
    </row>
    <row r="7055" spans="1:24" ht="12" customHeight="1">
      <c r="A7055" s="4">
        <v>5269</v>
      </c>
      <c r="B7055" s="4">
        <v>37505</v>
      </c>
      <c r="C7055" s="5">
        <f t="shared" si="3320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3321"/>
        <v>40699</v>
      </c>
      <c r="V7055">
        <f t="shared" si="3314"/>
        <v>5</v>
      </c>
      <c r="W7055">
        <f t="shared" si="3312"/>
        <v>6</v>
      </c>
      <c r="X7055">
        <f t="shared" si="3313"/>
        <v>2011</v>
      </c>
    </row>
    <row r="7056" spans="1:24" ht="12" customHeight="1">
      <c r="A7056" s="4">
        <v>5270</v>
      </c>
      <c r="B7056" s="4">
        <v>37505</v>
      </c>
      <c r="C7056" s="5">
        <f t="shared" si="3320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  <c r="V7056">
        <f t="shared" si="3314"/>
        <v>8</v>
      </c>
      <c r="W7056">
        <f t="shared" si="3312"/>
        <v>6</v>
      </c>
      <c r="X7056">
        <f t="shared" si="3313"/>
        <v>2011</v>
      </c>
    </row>
    <row r="7057" spans="1:24" ht="12" customHeight="1">
      <c r="A7057" s="4">
        <v>5272</v>
      </c>
      <c r="B7057" s="4">
        <v>37537</v>
      </c>
      <c r="C7057" s="5">
        <f t="shared" ref="C7057:C7059" si="3322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  <c r="V7057">
        <f t="shared" si="3314"/>
        <v>2</v>
      </c>
      <c r="W7057">
        <f t="shared" si="3312"/>
        <v>1</v>
      </c>
      <c r="X7057">
        <f t="shared" si="3313"/>
        <v>2009</v>
      </c>
    </row>
    <row r="7058" spans="1:24" ht="12" customHeight="1">
      <c r="A7058" s="4">
        <v>5273</v>
      </c>
      <c r="B7058" s="4">
        <v>37537</v>
      </c>
      <c r="C7058" s="5">
        <f t="shared" si="3322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  <c r="V7058">
        <f t="shared" si="3314"/>
        <v>4</v>
      </c>
      <c r="W7058">
        <f t="shared" si="3312"/>
        <v>1</v>
      </c>
      <c r="X7058">
        <f t="shared" si="3313"/>
        <v>2009</v>
      </c>
    </row>
    <row r="7059" spans="1:24" ht="12" customHeight="1">
      <c r="A7059" s="4">
        <v>5274</v>
      </c>
      <c r="B7059" s="4">
        <v>37537</v>
      </c>
      <c r="C7059" s="5">
        <f t="shared" si="3322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  <c r="V7059">
        <f t="shared" si="3314"/>
        <v>9</v>
      </c>
      <c r="W7059">
        <f t="shared" si="3312"/>
        <v>1</v>
      </c>
      <c r="X7059">
        <f t="shared" si="3313"/>
        <v>2009</v>
      </c>
    </row>
    <row r="7060" spans="1:24" ht="12" customHeight="1">
      <c r="A7060" s="4">
        <v>5283</v>
      </c>
      <c r="B7060" s="4">
        <v>37606</v>
      </c>
      <c r="C7060" s="5">
        <f t="shared" ref="C7060:C7062" si="3323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  <c r="V7060">
        <f t="shared" si="3314"/>
        <v>23</v>
      </c>
      <c r="W7060">
        <f t="shared" si="3312"/>
        <v>2</v>
      </c>
      <c r="X7060">
        <f t="shared" si="3313"/>
        <v>2010</v>
      </c>
    </row>
    <row r="7061" spans="1:24" ht="12" customHeight="1">
      <c r="A7061" s="4">
        <v>5284</v>
      </c>
      <c r="B7061" s="4">
        <v>37606</v>
      </c>
      <c r="C7061" s="5">
        <f t="shared" si="3323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3324">C7061+2</f>
        <v>40233</v>
      </c>
      <c r="V7061">
        <f t="shared" si="3314"/>
        <v>24</v>
      </c>
      <c r="W7061">
        <f t="shared" si="3312"/>
        <v>2</v>
      </c>
      <c r="X7061">
        <f t="shared" si="3313"/>
        <v>2010</v>
      </c>
    </row>
    <row r="7062" spans="1:24" ht="12" customHeight="1">
      <c r="A7062" s="4">
        <v>5285</v>
      </c>
      <c r="B7062" s="4">
        <v>37606</v>
      </c>
      <c r="C7062" s="5">
        <f t="shared" si="3323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3324"/>
        <v>40233</v>
      </c>
      <c r="V7062">
        <f t="shared" si="3314"/>
        <v>24</v>
      </c>
      <c r="W7062">
        <f t="shared" si="3312"/>
        <v>2</v>
      </c>
      <c r="X7062">
        <f t="shared" si="3313"/>
        <v>2010</v>
      </c>
    </row>
    <row r="7063" spans="1:24" ht="12" customHeight="1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  <c r="V7063">
        <f t="shared" si="3314"/>
        <v>8</v>
      </c>
      <c r="W7063">
        <f t="shared" si="3312"/>
        <v>1</v>
      </c>
      <c r="X7063">
        <f t="shared" si="3313"/>
        <v>2010</v>
      </c>
    </row>
    <row r="7064" spans="1:24" ht="12" customHeight="1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  <c r="V7064">
        <f t="shared" si="3314"/>
        <v>18</v>
      </c>
      <c r="W7064">
        <f t="shared" si="3312"/>
        <v>8</v>
      </c>
      <c r="X7064">
        <f t="shared" si="3313"/>
        <v>2009</v>
      </c>
    </row>
    <row r="7065" spans="1:24" ht="12" customHeight="1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3325">C7065+1</f>
        <v>40488</v>
      </c>
      <c r="V7065">
        <f t="shared" si="3314"/>
        <v>6</v>
      </c>
      <c r="W7065">
        <f t="shared" si="3312"/>
        <v>11</v>
      </c>
      <c r="X7065">
        <f t="shared" si="3313"/>
        <v>2010</v>
      </c>
    </row>
    <row r="7066" spans="1:24" ht="12" customHeight="1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3325"/>
        <v>40515</v>
      </c>
      <c r="V7066">
        <f t="shared" si="3314"/>
        <v>3</v>
      </c>
      <c r="W7066">
        <f t="shared" si="3312"/>
        <v>12</v>
      </c>
      <c r="X7066">
        <f t="shared" si="3313"/>
        <v>2010</v>
      </c>
    </row>
    <row r="7067" spans="1:24" ht="12" customHeight="1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3325"/>
        <v>40149</v>
      </c>
      <c r="V7067">
        <f t="shared" si="3314"/>
        <v>2</v>
      </c>
      <c r="W7067">
        <f t="shared" si="3312"/>
        <v>12</v>
      </c>
      <c r="X7067">
        <f t="shared" si="3313"/>
        <v>2009</v>
      </c>
    </row>
    <row r="7068" spans="1:24" ht="12" customHeight="1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3325"/>
        <v>40327</v>
      </c>
      <c r="V7068">
        <f t="shared" si="3314"/>
        <v>29</v>
      </c>
      <c r="W7068">
        <f t="shared" si="3312"/>
        <v>5</v>
      </c>
      <c r="X7068">
        <f t="shared" si="3313"/>
        <v>2010</v>
      </c>
    </row>
    <row r="7069" spans="1:24" ht="12" customHeight="1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  <c r="V7069">
        <f t="shared" si="3314"/>
        <v>1</v>
      </c>
      <c r="W7069">
        <f t="shared" si="3312"/>
        <v>5</v>
      </c>
      <c r="X7069">
        <f t="shared" si="3313"/>
        <v>2010</v>
      </c>
    </row>
    <row r="7070" spans="1:24" ht="12" customHeight="1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  <c r="V7070">
        <f t="shared" si="3314"/>
        <v>6</v>
      </c>
      <c r="W7070">
        <f t="shared" si="3312"/>
        <v>9</v>
      </c>
      <c r="X7070">
        <f t="shared" si="3313"/>
        <v>2009</v>
      </c>
    </row>
    <row r="7071" spans="1:24" ht="12" customHeight="1">
      <c r="A7071" s="4">
        <v>5488</v>
      </c>
      <c r="B7071" s="4">
        <v>38948</v>
      </c>
      <c r="C7071" s="5">
        <f t="shared" ref="C7071:C7072" si="3326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3327">C7071+1</f>
        <v>40700</v>
      </c>
      <c r="V7071">
        <f t="shared" si="3314"/>
        <v>6</v>
      </c>
      <c r="W7071">
        <f t="shared" si="3312"/>
        <v>6</v>
      </c>
      <c r="X7071">
        <f t="shared" si="3313"/>
        <v>2011</v>
      </c>
    </row>
    <row r="7072" spans="1:24" ht="12" customHeight="1">
      <c r="A7072" s="4">
        <v>5489</v>
      </c>
      <c r="B7072" s="4">
        <v>38948</v>
      </c>
      <c r="C7072" s="5">
        <f t="shared" si="3326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3327"/>
        <v>40700</v>
      </c>
      <c r="V7072">
        <f t="shared" si="3314"/>
        <v>6</v>
      </c>
      <c r="W7072">
        <f t="shared" si="3312"/>
        <v>6</v>
      </c>
      <c r="X7072">
        <f t="shared" si="3313"/>
        <v>2011</v>
      </c>
    </row>
    <row r="7073" spans="1:24" ht="12" customHeight="1">
      <c r="A7073" s="4">
        <v>5505</v>
      </c>
      <c r="B7073" s="4">
        <v>39041</v>
      </c>
      <c r="C7073" s="5">
        <f t="shared" ref="C7073:C7074" si="3328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  <c r="V7073">
        <f t="shared" si="3314"/>
        <v>26</v>
      </c>
      <c r="W7073">
        <f t="shared" si="3312"/>
        <v>10</v>
      </c>
      <c r="X7073">
        <f t="shared" si="3313"/>
        <v>2011</v>
      </c>
    </row>
    <row r="7074" spans="1:24" ht="12" customHeight="1">
      <c r="A7074" s="4">
        <v>5506</v>
      </c>
      <c r="B7074" s="4">
        <v>39041</v>
      </c>
      <c r="C7074" s="5">
        <f t="shared" si="3328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3329">C7074+2</f>
        <v>40844</v>
      </c>
      <c r="V7074">
        <f t="shared" si="3314"/>
        <v>28</v>
      </c>
      <c r="W7074">
        <f t="shared" si="3312"/>
        <v>10</v>
      </c>
      <c r="X7074">
        <f t="shared" si="3313"/>
        <v>2011</v>
      </c>
    </row>
    <row r="7075" spans="1:24" ht="12" customHeight="1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3329"/>
        <v>39990</v>
      </c>
      <c r="V7075">
        <f t="shared" si="3314"/>
        <v>26</v>
      </c>
      <c r="W7075">
        <f t="shared" si="3312"/>
        <v>6</v>
      </c>
      <c r="X7075">
        <f t="shared" si="3313"/>
        <v>2009</v>
      </c>
    </row>
    <row r="7076" spans="1:24" ht="12" customHeight="1">
      <c r="A7076" s="4">
        <v>5535</v>
      </c>
      <c r="B7076" s="4">
        <v>39232</v>
      </c>
      <c r="C7076" s="5">
        <f t="shared" ref="C7076:C7077" si="3330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3329"/>
        <v>40738</v>
      </c>
      <c r="V7076">
        <f t="shared" si="3314"/>
        <v>14</v>
      </c>
      <c r="W7076">
        <f t="shared" si="3312"/>
        <v>7</v>
      </c>
      <c r="X7076">
        <f t="shared" si="3313"/>
        <v>2011</v>
      </c>
    </row>
    <row r="7077" spans="1:24" ht="12" customHeight="1">
      <c r="A7077" s="4">
        <v>5536</v>
      </c>
      <c r="B7077" s="4">
        <v>39232</v>
      </c>
      <c r="C7077" s="5">
        <f t="shared" si="3330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  <c r="V7077">
        <f t="shared" si="3314"/>
        <v>17</v>
      </c>
      <c r="W7077">
        <f t="shared" si="3312"/>
        <v>7</v>
      </c>
      <c r="X7077">
        <f t="shared" si="3313"/>
        <v>2011</v>
      </c>
    </row>
    <row r="7078" spans="1:24" ht="12" customHeight="1">
      <c r="A7078" s="4">
        <v>5586</v>
      </c>
      <c r="B7078" s="4">
        <v>39617</v>
      </c>
      <c r="C7078" s="5">
        <f t="shared" ref="C7078:C7079" si="3331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3332">C7078+2</f>
        <v>40896</v>
      </c>
      <c r="V7078">
        <f t="shared" si="3314"/>
        <v>19</v>
      </c>
      <c r="W7078">
        <f t="shared" si="3312"/>
        <v>12</v>
      </c>
      <c r="X7078">
        <f t="shared" si="3313"/>
        <v>2011</v>
      </c>
    </row>
    <row r="7079" spans="1:24" ht="12" customHeight="1">
      <c r="A7079" s="4">
        <v>5587</v>
      </c>
      <c r="B7079" s="4">
        <v>39617</v>
      </c>
      <c r="C7079" s="5">
        <f t="shared" si="3331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3332"/>
        <v>40896</v>
      </c>
      <c r="V7079">
        <f t="shared" si="3314"/>
        <v>19</v>
      </c>
      <c r="W7079">
        <f t="shared" si="3312"/>
        <v>12</v>
      </c>
      <c r="X7079">
        <f t="shared" si="3313"/>
        <v>2011</v>
      </c>
    </row>
    <row r="7080" spans="1:24" ht="12" customHeight="1">
      <c r="A7080" s="4">
        <v>5589</v>
      </c>
      <c r="B7080" s="4">
        <v>39649</v>
      </c>
      <c r="C7080" s="5">
        <f t="shared" ref="C7080:C7081" si="3333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  <c r="V7080">
        <f t="shared" si="3314"/>
        <v>20</v>
      </c>
      <c r="W7080">
        <f t="shared" si="3312"/>
        <v>10</v>
      </c>
      <c r="X7080">
        <f t="shared" si="3313"/>
        <v>2009</v>
      </c>
    </row>
    <row r="7081" spans="1:24" ht="12" customHeight="1">
      <c r="A7081" s="4">
        <v>5590</v>
      </c>
      <c r="B7081" s="4">
        <v>39649</v>
      </c>
      <c r="C7081" s="5">
        <f t="shared" si="3333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  <c r="V7081">
        <f t="shared" si="3314"/>
        <v>21</v>
      </c>
      <c r="W7081">
        <f t="shared" si="3312"/>
        <v>10</v>
      </c>
      <c r="X7081">
        <f t="shared" si="3313"/>
        <v>2009</v>
      </c>
    </row>
    <row r="7082" spans="1:24" ht="12" customHeight="1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  <c r="V7082">
        <f t="shared" si="3314"/>
        <v>1</v>
      </c>
      <c r="W7082">
        <f t="shared" si="3312"/>
        <v>10</v>
      </c>
      <c r="X7082">
        <f t="shared" si="3313"/>
        <v>2012</v>
      </c>
    </row>
    <row r="7083" spans="1:24" ht="12" customHeight="1">
      <c r="A7083" s="4">
        <v>5618</v>
      </c>
      <c r="B7083" s="4">
        <v>39808</v>
      </c>
      <c r="C7083" s="5">
        <f t="shared" ref="C7083:C7084" si="3334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  <c r="V7083">
        <f t="shared" si="3314"/>
        <v>9</v>
      </c>
      <c r="W7083">
        <f t="shared" si="3312"/>
        <v>9</v>
      </c>
      <c r="X7083">
        <f t="shared" si="3313"/>
        <v>2012</v>
      </c>
    </row>
    <row r="7084" spans="1:24" ht="12" customHeight="1">
      <c r="A7084" s="4">
        <v>5619</v>
      </c>
      <c r="B7084" s="4">
        <v>39808</v>
      </c>
      <c r="C7084" s="5">
        <f t="shared" si="3334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  <c r="V7084">
        <f t="shared" si="3314"/>
        <v>6</v>
      </c>
      <c r="W7084">
        <f t="shared" si="3312"/>
        <v>9</v>
      </c>
      <c r="X7084">
        <f t="shared" si="3313"/>
        <v>2012</v>
      </c>
    </row>
    <row r="7085" spans="1:24" ht="12" customHeight="1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  <c r="V7085">
        <f t="shared" si="3314"/>
        <v>3</v>
      </c>
      <c r="W7085">
        <f t="shared" si="3312"/>
        <v>1</v>
      </c>
      <c r="X7085">
        <f t="shared" si="3313"/>
        <v>2010</v>
      </c>
    </row>
    <row r="7086" spans="1:24" ht="12" customHeight="1">
      <c r="A7086" s="4">
        <v>5630</v>
      </c>
      <c r="B7086" s="4">
        <v>39847</v>
      </c>
      <c r="C7086" s="5">
        <f t="shared" ref="C7086:C7088" si="3335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336">C7086+1</f>
        <v>40273</v>
      </c>
      <c r="V7086">
        <f t="shared" si="3314"/>
        <v>5</v>
      </c>
      <c r="W7086">
        <f t="shared" si="3312"/>
        <v>4</v>
      </c>
      <c r="X7086">
        <f t="shared" si="3313"/>
        <v>2010</v>
      </c>
    </row>
    <row r="7087" spans="1:24" ht="12" customHeight="1">
      <c r="A7087" s="4">
        <v>5631</v>
      </c>
      <c r="B7087" s="4">
        <v>39847</v>
      </c>
      <c r="C7087" s="5">
        <f t="shared" si="3335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336"/>
        <v>40273</v>
      </c>
      <c r="V7087">
        <f t="shared" si="3314"/>
        <v>5</v>
      </c>
      <c r="W7087">
        <f t="shared" si="3312"/>
        <v>4</v>
      </c>
      <c r="X7087">
        <f t="shared" si="3313"/>
        <v>2010</v>
      </c>
    </row>
    <row r="7088" spans="1:24" ht="12" customHeight="1">
      <c r="A7088" s="4">
        <v>5632</v>
      </c>
      <c r="B7088" s="4">
        <v>39847</v>
      </c>
      <c r="C7088" s="5">
        <f t="shared" si="3335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  <c r="V7088">
        <f t="shared" si="3314"/>
        <v>6</v>
      </c>
      <c r="W7088">
        <f t="shared" si="3312"/>
        <v>4</v>
      </c>
      <c r="X7088">
        <f t="shared" si="3313"/>
        <v>2010</v>
      </c>
    </row>
    <row r="7089" spans="1:24" ht="12" customHeight="1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  <c r="V7089">
        <f t="shared" si="3314"/>
        <v>7</v>
      </c>
      <c r="W7089">
        <f t="shared" si="3312"/>
        <v>9</v>
      </c>
      <c r="X7089">
        <f t="shared" si="3313"/>
        <v>2010</v>
      </c>
    </row>
    <row r="7090" spans="1:24" ht="12" customHeight="1">
      <c r="A7090" s="4">
        <v>5663</v>
      </c>
      <c r="B7090" s="4">
        <v>40068</v>
      </c>
      <c r="C7090" s="5">
        <f t="shared" ref="C7090:C7092" si="3337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  <c r="V7090">
        <f t="shared" si="3314"/>
        <v>22</v>
      </c>
      <c r="W7090">
        <f t="shared" si="3312"/>
        <v>4</v>
      </c>
      <c r="X7090">
        <f t="shared" si="3313"/>
        <v>2010</v>
      </c>
    </row>
    <row r="7091" spans="1:24" ht="12" customHeight="1">
      <c r="A7091" s="4">
        <v>5664</v>
      </c>
      <c r="B7091" s="4">
        <v>40068</v>
      </c>
      <c r="C7091" s="5">
        <f t="shared" si="3337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  <c r="V7091">
        <f t="shared" si="3314"/>
        <v>24</v>
      </c>
      <c r="W7091">
        <f t="shared" si="3312"/>
        <v>4</v>
      </c>
      <c r="X7091">
        <f t="shared" si="3313"/>
        <v>2010</v>
      </c>
    </row>
    <row r="7092" spans="1:24" ht="12" customHeight="1">
      <c r="A7092" s="4">
        <v>5665</v>
      </c>
      <c r="B7092" s="4">
        <v>40068</v>
      </c>
      <c r="C7092" s="5">
        <f t="shared" si="3337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  <c r="V7092">
        <f t="shared" si="3314"/>
        <v>20</v>
      </c>
      <c r="W7092">
        <f t="shared" si="3312"/>
        <v>4</v>
      </c>
      <c r="X7092">
        <f t="shared" si="3313"/>
        <v>2010</v>
      </c>
    </row>
    <row r="7093" spans="1:24" ht="12" customHeight="1">
      <c r="A7093" s="4">
        <v>5710</v>
      </c>
      <c r="B7093" s="4">
        <v>40420</v>
      </c>
      <c r="C7093" s="5">
        <f t="shared" ref="C7093:C7094" si="3338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339">C7093+2</f>
        <v>40555</v>
      </c>
      <c r="V7093">
        <f t="shared" si="3314"/>
        <v>12</v>
      </c>
      <c r="W7093">
        <f t="shared" si="3312"/>
        <v>1</v>
      </c>
      <c r="X7093">
        <f t="shared" si="3313"/>
        <v>2011</v>
      </c>
    </row>
    <row r="7094" spans="1:24" ht="12" customHeight="1">
      <c r="A7094" s="4">
        <v>5711</v>
      </c>
      <c r="B7094" s="4">
        <v>40420</v>
      </c>
      <c r="C7094" s="5">
        <f t="shared" si="3338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339"/>
        <v>40555</v>
      </c>
      <c r="V7094">
        <f t="shared" si="3314"/>
        <v>12</v>
      </c>
      <c r="W7094">
        <f t="shared" si="3312"/>
        <v>1</v>
      </c>
      <c r="X7094">
        <f t="shared" si="3313"/>
        <v>2011</v>
      </c>
    </row>
    <row r="7095" spans="1:24" ht="12" customHeight="1">
      <c r="A7095" s="4">
        <v>5716</v>
      </c>
      <c r="B7095" s="4">
        <v>40485</v>
      </c>
      <c r="C7095" s="5">
        <f t="shared" ref="C7095:C7096" si="3340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  <c r="V7095">
        <f t="shared" si="3314"/>
        <v>27</v>
      </c>
      <c r="W7095">
        <f t="shared" si="3312"/>
        <v>12</v>
      </c>
      <c r="X7095">
        <f t="shared" si="3313"/>
        <v>2009</v>
      </c>
    </row>
    <row r="7096" spans="1:24" ht="12" customHeight="1">
      <c r="A7096" s="4">
        <v>5717</v>
      </c>
      <c r="B7096" s="4">
        <v>40485</v>
      </c>
      <c r="C7096" s="5">
        <f t="shared" si="3340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341">C7096+1</f>
        <v>40175</v>
      </c>
      <c r="V7096">
        <f t="shared" si="3314"/>
        <v>28</v>
      </c>
      <c r="W7096">
        <f t="shared" si="3312"/>
        <v>12</v>
      </c>
      <c r="X7096">
        <f t="shared" si="3313"/>
        <v>2009</v>
      </c>
    </row>
    <row r="7097" spans="1:24" ht="12" customHeight="1">
      <c r="A7097" s="4">
        <v>5781</v>
      </c>
      <c r="B7097" s="4">
        <v>40998</v>
      </c>
      <c r="C7097" s="5">
        <f t="shared" ref="C7097:C7098" si="3342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341"/>
        <v>39936</v>
      </c>
      <c r="V7097">
        <f t="shared" si="3314"/>
        <v>3</v>
      </c>
      <c r="W7097">
        <f t="shared" si="3312"/>
        <v>5</v>
      </c>
      <c r="X7097">
        <f t="shared" si="3313"/>
        <v>2009</v>
      </c>
    </row>
    <row r="7098" spans="1:24" ht="12" customHeight="1">
      <c r="A7098" s="4">
        <v>5782</v>
      </c>
      <c r="B7098" s="4">
        <v>40998</v>
      </c>
      <c r="C7098" s="5">
        <f t="shared" si="3342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  <c r="V7098">
        <f t="shared" si="3314"/>
        <v>4</v>
      </c>
      <c r="W7098">
        <f t="shared" si="3312"/>
        <v>5</v>
      </c>
      <c r="X7098">
        <f t="shared" si="3313"/>
        <v>2009</v>
      </c>
    </row>
    <row r="7099" spans="1:24" ht="12" customHeight="1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343">C7099+1</f>
        <v>39958</v>
      </c>
      <c r="V7099">
        <f t="shared" si="3314"/>
        <v>25</v>
      </c>
      <c r="W7099">
        <f t="shared" si="3312"/>
        <v>5</v>
      </c>
      <c r="X7099">
        <f t="shared" si="3313"/>
        <v>2009</v>
      </c>
    </row>
    <row r="7100" spans="1:24" ht="12" customHeight="1">
      <c r="A7100" s="4">
        <v>5800</v>
      </c>
      <c r="B7100" s="4">
        <v>41152</v>
      </c>
      <c r="C7100" s="5">
        <f t="shared" ref="C7100:C7101" si="3344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343"/>
        <v>40790</v>
      </c>
      <c r="V7100">
        <f t="shared" si="3314"/>
        <v>4</v>
      </c>
      <c r="W7100">
        <f t="shared" si="3312"/>
        <v>9</v>
      </c>
      <c r="X7100">
        <f t="shared" si="3313"/>
        <v>2011</v>
      </c>
    </row>
    <row r="7101" spans="1:24" ht="12" customHeight="1">
      <c r="A7101" s="4">
        <v>5801</v>
      </c>
      <c r="B7101" s="4">
        <v>41152</v>
      </c>
      <c r="C7101" s="5">
        <f t="shared" si="3344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345">C7101+2</f>
        <v>40791</v>
      </c>
      <c r="V7101">
        <f t="shared" si="3314"/>
        <v>5</v>
      </c>
      <c r="W7101">
        <f t="shared" si="3312"/>
        <v>9</v>
      </c>
      <c r="X7101">
        <f t="shared" si="3313"/>
        <v>2011</v>
      </c>
    </row>
    <row r="7102" spans="1:24" ht="12" customHeight="1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345"/>
        <v>40651</v>
      </c>
      <c r="V7102">
        <f t="shared" si="3314"/>
        <v>18</v>
      </c>
      <c r="W7102">
        <f t="shared" si="3312"/>
        <v>4</v>
      </c>
      <c r="X7102">
        <f t="shared" si="3313"/>
        <v>2011</v>
      </c>
    </row>
    <row r="7103" spans="1:24" ht="12" customHeight="1">
      <c r="A7103" s="4">
        <v>5826</v>
      </c>
      <c r="B7103" s="4">
        <v>41349</v>
      </c>
      <c r="C7103" s="5">
        <f t="shared" ref="C7103:C7105" si="3346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  <c r="V7103">
        <f t="shared" si="3314"/>
        <v>18</v>
      </c>
      <c r="W7103">
        <f t="shared" si="3312"/>
        <v>12</v>
      </c>
      <c r="X7103">
        <f t="shared" si="3313"/>
        <v>2011</v>
      </c>
    </row>
    <row r="7104" spans="1:24" ht="12" customHeight="1">
      <c r="A7104" s="4">
        <v>5827</v>
      </c>
      <c r="B7104" s="4">
        <v>41349</v>
      </c>
      <c r="C7104" s="5">
        <f t="shared" si="3346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347">C7104+2</f>
        <v>40896</v>
      </c>
      <c r="V7104">
        <f t="shared" si="3314"/>
        <v>19</v>
      </c>
      <c r="W7104">
        <f t="shared" si="3312"/>
        <v>12</v>
      </c>
      <c r="X7104">
        <f t="shared" si="3313"/>
        <v>2011</v>
      </c>
    </row>
    <row r="7105" spans="1:24" ht="12" customHeight="1">
      <c r="A7105" s="4">
        <v>5828</v>
      </c>
      <c r="B7105" s="4">
        <v>41349</v>
      </c>
      <c r="C7105" s="5">
        <f t="shared" si="3346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347"/>
        <v>40896</v>
      </c>
      <c r="V7105">
        <f t="shared" si="3314"/>
        <v>19</v>
      </c>
      <c r="W7105">
        <f t="shared" si="3312"/>
        <v>12</v>
      </c>
      <c r="X7105">
        <f t="shared" si="3313"/>
        <v>2011</v>
      </c>
    </row>
    <row r="7106" spans="1:24" ht="12" customHeight="1">
      <c r="A7106" s="4">
        <v>5841</v>
      </c>
      <c r="B7106" s="4">
        <v>41440</v>
      </c>
      <c r="C7106" s="5">
        <f t="shared" ref="C7106:C7107" si="3348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  <c r="V7106">
        <f t="shared" si="3314"/>
        <v>23</v>
      </c>
      <c r="W7106">
        <f t="shared" si="3312"/>
        <v>9</v>
      </c>
      <c r="X7106">
        <f t="shared" si="3313"/>
        <v>2009</v>
      </c>
    </row>
    <row r="7107" spans="1:24" ht="12" customHeight="1">
      <c r="A7107" s="4">
        <v>5842</v>
      </c>
      <c r="B7107" s="4">
        <v>41440</v>
      </c>
      <c r="C7107" s="5">
        <f t="shared" si="3348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  <c r="V7107">
        <f t="shared" si="3314"/>
        <v>25</v>
      </c>
      <c r="W7107">
        <f t="shared" ref="W7107:W7170" si="3349">MONTH(U7107)</f>
        <v>9</v>
      </c>
      <c r="X7107">
        <f t="shared" ref="X7107:X7170" si="3350">YEAR(U7107)</f>
        <v>2009</v>
      </c>
    </row>
    <row r="7108" spans="1:24" ht="12" customHeight="1">
      <c r="A7108" s="4">
        <v>5850</v>
      </c>
      <c r="B7108" s="4">
        <v>41539</v>
      </c>
      <c r="C7108" s="5">
        <f t="shared" ref="C7108:C7109" si="3351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  <c r="V7108">
        <f t="shared" ref="V7108:V7171" si="3352">DAY(U7108)</f>
        <v>5</v>
      </c>
      <c r="W7108">
        <f t="shared" si="3349"/>
        <v>5</v>
      </c>
      <c r="X7108">
        <f t="shared" si="3350"/>
        <v>2011</v>
      </c>
    </row>
    <row r="7109" spans="1:24" ht="12" customHeight="1">
      <c r="A7109" s="4">
        <v>5851</v>
      </c>
      <c r="B7109" s="4">
        <v>41539</v>
      </c>
      <c r="C7109" s="5">
        <f t="shared" si="3351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  <c r="V7109">
        <f t="shared" si="3352"/>
        <v>4</v>
      </c>
      <c r="W7109">
        <f t="shared" si="3349"/>
        <v>5</v>
      </c>
      <c r="X7109">
        <f t="shared" si="3350"/>
        <v>2011</v>
      </c>
    </row>
    <row r="7110" spans="1:24" ht="12" customHeight="1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353">C7110+2</f>
        <v>40443</v>
      </c>
      <c r="V7110">
        <f t="shared" si="3352"/>
        <v>22</v>
      </c>
      <c r="W7110">
        <f t="shared" si="3349"/>
        <v>9</v>
      </c>
      <c r="X7110">
        <f t="shared" si="3350"/>
        <v>2010</v>
      </c>
    </row>
    <row r="7111" spans="1:24" ht="12" customHeight="1">
      <c r="A7111" s="4">
        <v>5902</v>
      </c>
      <c r="B7111" s="4">
        <v>41831</v>
      </c>
      <c r="C7111" s="5">
        <f t="shared" ref="C7111:C7112" si="3354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353"/>
        <v>41113</v>
      </c>
      <c r="V7111">
        <f t="shared" si="3352"/>
        <v>23</v>
      </c>
      <c r="W7111">
        <f t="shared" si="3349"/>
        <v>7</v>
      </c>
      <c r="X7111">
        <f t="shared" si="3350"/>
        <v>2012</v>
      </c>
    </row>
    <row r="7112" spans="1:24" ht="12" customHeight="1">
      <c r="A7112" s="4">
        <v>5903</v>
      </c>
      <c r="B7112" s="4">
        <v>41831</v>
      </c>
      <c r="C7112" s="5">
        <f t="shared" si="3354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  <c r="V7112">
        <f t="shared" si="3352"/>
        <v>22</v>
      </c>
      <c r="W7112">
        <f t="shared" si="3349"/>
        <v>7</v>
      </c>
      <c r="X7112">
        <f t="shared" si="3350"/>
        <v>2012</v>
      </c>
    </row>
    <row r="7113" spans="1:24" ht="12" customHeight="1">
      <c r="A7113" s="4">
        <v>5906</v>
      </c>
      <c r="B7113" s="4">
        <v>41888</v>
      </c>
      <c r="C7113" s="5">
        <f t="shared" ref="C7113:C7115" si="3355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  <c r="V7113">
        <f t="shared" si="3352"/>
        <v>9</v>
      </c>
      <c r="W7113">
        <f t="shared" si="3349"/>
        <v>3</v>
      </c>
      <c r="X7113">
        <f t="shared" si="3350"/>
        <v>2009</v>
      </c>
    </row>
    <row r="7114" spans="1:24" ht="12" customHeight="1">
      <c r="A7114" s="4">
        <v>5907</v>
      </c>
      <c r="B7114" s="4">
        <v>41888</v>
      </c>
      <c r="C7114" s="5">
        <f t="shared" si="3355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  <c r="V7114">
        <f t="shared" si="3352"/>
        <v>4</v>
      </c>
      <c r="W7114">
        <f t="shared" si="3349"/>
        <v>3</v>
      </c>
      <c r="X7114">
        <f t="shared" si="3350"/>
        <v>2009</v>
      </c>
    </row>
    <row r="7115" spans="1:24" ht="12" customHeight="1">
      <c r="A7115" s="4">
        <v>5908</v>
      </c>
      <c r="B7115" s="4">
        <v>41888</v>
      </c>
      <c r="C7115" s="5">
        <f t="shared" si="3355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  <c r="V7115">
        <f t="shared" si="3352"/>
        <v>28</v>
      </c>
      <c r="W7115">
        <f t="shared" si="3349"/>
        <v>2</v>
      </c>
      <c r="X7115">
        <f t="shared" si="3350"/>
        <v>2009</v>
      </c>
    </row>
    <row r="7116" spans="1:24" ht="12" customHeight="1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  <c r="V7116">
        <f t="shared" si="3352"/>
        <v>16</v>
      </c>
      <c r="W7116">
        <f t="shared" si="3349"/>
        <v>9</v>
      </c>
      <c r="X7116">
        <f t="shared" si="3350"/>
        <v>2012</v>
      </c>
    </row>
    <row r="7117" spans="1:24" ht="12" customHeight="1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  <c r="V7117">
        <f t="shared" si="3352"/>
        <v>23</v>
      </c>
      <c r="W7117">
        <f t="shared" si="3349"/>
        <v>10</v>
      </c>
      <c r="X7117">
        <f t="shared" si="3350"/>
        <v>2011</v>
      </c>
    </row>
    <row r="7118" spans="1:24" ht="12" customHeight="1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356">C7118+2</f>
        <v>41168</v>
      </c>
      <c r="V7118">
        <f t="shared" si="3352"/>
        <v>16</v>
      </c>
      <c r="W7118">
        <f t="shared" si="3349"/>
        <v>9</v>
      </c>
      <c r="X7118">
        <f t="shared" si="3350"/>
        <v>2012</v>
      </c>
    </row>
    <row r="7119" spans="1:24" ht="12" customHeight="1">
      <c r="A7119" s="4">
        <v>5967</v>
      </c>
      <c r="B7119" s="4">
        <v>42338</v>
      </c>
      <c r="C7119" s="5">
        <f t="shared" ref="C7119:C7120" si="3357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356"/>
        <v>40121</v>
      </c>
      <c r="V7119">
        <f t="shared" si="3352"/>
        <v>4</v>
      </c>
      <c r="W7119">
        <f t="shared" si="3349"/>
        <v>11</v>
      </c>
      <c r="X7119">
        <f t="shared" si="3350"/>
        <v>2009</v>
      </c>
    </row>
    <row r="7120" spans="1:24" ht="12" customHeight="1">
      <c r="A7120" s="4">
        <v>5968</v>
      </c>
      <c r="B7120" s="4">
        <v>42338</v>
      </c>
      <c r="C7120" s="5">
        <f t="shared" si="3357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356"/>
        <v>40121</v>
      </c>
      <c r="V7120">
        <f t="shared" si="3352"/>
        <v>4</v>
      </c>
      <c r="W7120">
        <f t="shared" si="3349"/>
        <v>11</v>
      </c>
      <c r="X7120">
        <f t="shared" si="3350"/>
        <v>2009</v>
      </c>
    </row>
    <row r="7121" spans="1:24" ht="12" customHeight="1">
      <c r="A7121" s="4">
        <v>5972</v>
      </c>
      <c r="B7121" s="4">
        <v>42343</v>
      </c>
      <c r="C7121" s="5">
        <f t="shared" ref="C7121:C7122" si="3358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356"/>
        <v>40041</v>
      </c>
      <c r="V7121">
        <f t="shared" si="3352"/>
        <v>16</v>
      </c>
      <c r="W7121">
        <f t="shared" si="3349"/>
        <v>8</v>
      </c>
      <c r="X7121">
        <f t="shared" si="3350"/>
        <v>2009</v>
      </c>
    </row>
    <row r="7122" spans="1:24" ht="12" customHeight="1">
      <c r="A7122" s="4">
        <v>5973</v>
      </c>
      <c r="B7122" s="4">
        <v>42343</v>
      </c>
      <c r="C7122" s="5">
        <f t="shared" si="3358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  <c r="V7122">
        <f t="shared" si="3352"/>
        <v>15</v>
      </c>
      <c r="W7122">
        <f t="shared" si="3349"/>
        <v>8</v>
      </c>
      <c r="X7122">
        <f t="shared" si="3350"/>
        <v>2009</v>
      </c>
    </row>
    <row r="7123" spans="1:24" ht="12" customHeight="1">
      <c r="A7123" s="4">
        <v>5991</v>
      </c>
      <c r="B7123" s="4">
        <v>42467</v>
      </c>
      <c r="C7123" s="5">
        <f t="shared" ref="C7123:C7125" si="3359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  <c r="V7123">
        <f t="shared" si="3352"/>
        <v>14</v>
      </c>
      <c r="W7123">
        <f t="shared" si="3349"/>
        <v>10</v>
      </c>
      <c r="X7123">
        <f t="shared" si="3350"/>
        <v>2010</v>
      </c>
    </row>
    <row r="7124" spans="1:24" ht="12" customHeight="1">
      <c r="A7124" s="4">
        <v>5992</v>
      </c>
      <c r="B7124" s="4">
        <v>42467</v>
      </c>
      <c r="C7124" s="5">
        <f t="shared" si="3359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360">C7124+2</f>
        <v>40467</v>
      </c>
      <c r="V7124">
        <f t="shared" si="3352"/>
        <v>16</v>
      </c>
      <c r="W7124">
        <f t="shared" si="3349"/>
        <v>10</v>
      </c>
      <c r="X7124">
        <f t="shared" si="3350"/>
        <v>2010</v>
      </c>
    </row>
    <row r="7125" spans="1:24" ht="12" customHeight="1">
      <c r="A7125" s="4">
        <v>5993</v>
      </c>
      <c r="B7125" s="4">
        <v>42467</v>
      </c>
      <c r="C7125" s="5">
        <f t="shared" si="3359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360"/>
        <v>40467</v>
      </c>
      <c r="V7125">
        <f t="shared" si="3352"/>
        <v>16</v>
      </c>
      <c r="W7125">
        <f t="shared" si="3349"/>
        <v>10</v>
      </c>
      <c r="X7125">
        <f t="shared" si="3350"/>
        <v>2010</v>
      </c>
    </row>
    <row r="7126" spans="1:24" ht="12" customHeight="1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  <c r="V7126">
        <f t="shared" si="3352"/>
        <v>15</v>
      </c>
      <c r="W7126">
        <f t="shared" si="3349"/>
        <v>10</v>
      </c>
      <c r="X7126">
        <f t="shared" si="3350"/>
        <v>2010</v>
      </c>
    </row>
    <row r="7127" spans="1:24" ht="12" customHeight="1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  <c r="V7127">
        <f t="shared" si="3352"/>
        <v>12</v>
      </c>
      <c r="W7127">
        <f t="shared" si="3349"/>
        <v>8</v>
      </c>
      <c r="X7127">
        <f t="shared" si="3350"/>
        <v>2010</v>
      </c>
    </row>
    <row r="7128" spans="1:24" ht="12" customHeight="1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  <c r="V7128">
        <f t="shared" si="3352"/>
        <v>13</v>
      </c>
      <c r="W7128">
        <f t="shared" si="3349"/>
        <v>1</v>
      </c>
      <c r="X7128">
        <f t="shared" si="3350"/>
        <v>2010</v>
      </c>
    </row>
    <row r="7129" spans="1:24" ht="12" customHeight="1">
      <c r="A7129" s="4">
        <v>6024</v>
      </c>
      <c r="B7129" s="4">
        <v>42691</v>
      </c>
      <c r="C7129" s="5">
        <f t="shared" ref="C7129:C7130" si="3361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  <c r="V7129">
        <f t="shared" si="3352"/>
        <v>2</v>
      </c>
      <c r="W7129">
        <f t="shared" si="3349"/>
        <v>6</v>
      </c>
      <c r="X7129">
        <f t="shared" si="3350"/>
        <v>2010</v>
      </c>
    </row>
    <row r="7130" spans="1:24" ht="12" customHeight="1">
      <c r="A7130" s="4">
        <v>6025</v>
      </c>
      <c r="B7130" s="4">
        <v>42691</v>
      </c>
      <c r="C7130" s="5">
        <f t="shared" si="3361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  <c r="V7130">
        <f t="shared" si="3352"/>
        <v>28</v>
      </c>
      <c r="W7130">
        <f t="shared" si="3349"/>
        <v>5</v>
      </c>
      <c r="X7130">
        <f t="shared" si="3350"/>
        <v>2010</v>
      </c>
    </row>
    <row r="7131" spans="1:24" ht="12" customHeight="1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  <c r="V7131">
        <f t="shared" si="3352"/>
        <v>7</v>
      </c>
      <c r="W7131">
        <f t="shared" si="3349"/>
        <v>10</v>
      </c>
      <c r="X7131">
        <f t="shared" si="3350"/>
        <v>2011</v>
      </c>
    </row>
    <row r="7132" spans="1:24" ht="12" customHeight="1">
      <c r="A7132" s="4">
        <v>6070</v>
      </c>
      <c r="B7132" s="4">
        <v>43010</v>
      </c>
      <c r="C7132" s="5">
        <f t="shared" ref="C7132:C7133" si="3362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  <c r="V7132">
        <f t="shared" si="3352"/>
        <v>9</v>
      </c>
      <c r="W7132">
        <f t="shared" si="3349"/>
        <v>10</v>
      </c>
      <c r="X7132">
        <f t="shared" si="3350"/>
        <v>2012</v>
      </c>
    </row>
    <row r="7133" spans="1:24" ht="12" customHeight="1">
      <c r="A7133" s="4">
        <v>6071</v>
      </c>
      <c r="B7133" s="4">
        <v>43010</v>
      </c>
      <c r="C7133" s="5">
        <f t="shared" si="3362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363">C7133+2</f>
        <v>41193</v>
      </c>
      <c r="V7133">
        <f t="shared" si="3352"/>
        <v>11</v>
      </c>
      <c r="W7133">
        <f t="shared" si="3349"/>
        <v>10</v>
      </c>
      <c r="X7133">
        <f t="shared" si="3350"/>
        <v>2012</v>
      </c>
    </row>
    <row r="7134" spans="1:24" ht="12" customHeight="1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363"/>
        <v>41015</v>
      </c>
      <c r="V7134">
        <f t="shared" si="3352"/>
        <v>16</v>
      </c>
      <c r="W7134">
        <f t="shared" si="3349"/>
        <v>4</v>
      </c>
      <c r="X7134">
        <f t="shared" si="3350"/>
        <v>2012</v>
      </c>
    </row>
    <row r="7135" spans="1:24" ht="12" customHeight="1">
      <c r="A7135" s="4">
        <v>6092</v>
      </c>
      <c r="B7135" s="4">
        <v>43170</v>
      </c>
      <c r="C7135" s="5">
        <f t="shared" ref="C7135:C7136" si="3364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  <c r="V7135">
        <f t="shared" si="3352"/>
        <v>20</v>
      </c>
      <c r="W7135">
        <f t="shared" si="3349"/>
        <v>5</v>
      </c>
      <c r="X7135">
        <f t="shared" si="3350"/>
        <v>2010</v>
      </c>
    </row>
    <row r="7136" spans="1:24" ht="12" customHeight="1">
      <c r="A7136" s="4">
        <v>6093</v>
      </c>
      <c r="B7136" s="4">
        <v>43170</v>
      </c>
      <c r="C7136" s="5">
        <f t="shared" si="3364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  <c r="V7136">
        <f t="shared" si="3352"/>
        <v>17</v>
      </c>
      <c r="W7136">
        <f t="shared" si="3349"/>
        <v>5</v>
      </c>
      <c r="X7136">
        <f t="shared" si="3350"/>
        <v>2010</v>
      </c>
    </row>
    <row r="7137" spans="1:24" ht="12" customHeight="1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365">C7137+1</f>
        <v>40676</v>
      </c>
      <c r="V7137">
        <f t="shared" si="3352"/>
        <v>13</v>
      </c>
      <c r="W7137">
        <f t="shared" si="3349"/>
        <v>5</v>
      </c>
      <c r="X7137">
        <f t="shared" si="3350"/>
        <v>2011</v>
      </c>
    </row>
    <row r="7138" spans="1:24" ht="12" customHeight="1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365"/>
        <v>40912</v>
      </c>
      <c r="V7138">
        <f t="shared" si="3352"/>
        <v>4</v>
      </c>
      <c r="W7138">
        <f t="shared" si="3349"/>
        <v>1</v>
      </c>
      <c r="X7138">
        <f t="shared" si="3350"/>
        <v>2012</v>
      </c>
    </row>
    <row r="7139" spans="1:24" ht="12" customHeight="1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  <c r="V7139">
        <f t="shared" si="3352"/>
        <v>29</v>
      </c>
      <c r="W7139">
        <f t="shared" si="3349"/>
        <v>8</v>
      </c>
      <c r="X7139">
        <f t="shared" si="3350"/>
        <v>2012</v>
      </c>
    </row>
    <row r="7140" spans="1:24" ht="12" customHeight="1">
      <c r="A7140" s="4">
        <v>6181</v>
      </c>
      <c r="B7140" s="4">
        <v>43814</v>
      </c>
      <c r="C7140" s="5">
        <f t="shared" ref="C7140:C7141" si="3366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367">C7140+1</f>
        <v>40553</v>
      </c>
      <c r="V7140">
        <f t="shared" si="3352"/>
        <v>10</v>
      </c>
      <c r="W7140">
        <f t="shared" si="3349"/>
        <v>1</v>
      </c>
      <c r="X7140">
        <f t="shared" si="3350"/>
        <v>2011</v>
      </c>
    </row>
    <row r="7141" spans="1:24" ht="12" customHeight="1">
      <c r="A7141" s="4">
        <v>6182</v>
      </c>
      <c r="B7141" s="4">
        <v>43814</v>
      </c>
      <c r="C7141" s="5">
        <f t="shared" si="3366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367"/>
        <v>40553</v>
      </c>
      <c r="V7141">
        <f t="shared" si="3352"/>
        <v>10</v>
      </c>
      <c r="W7141">
        <f t="shared" si="3349"/>
        <v>1</v>
      </c>
      <c r="X7141">
        <f t="shared" si="3350"/>
        <v>2011</v>
      </c>
    </row>
    <row r="7142" spans="1:24" ht="12" customHeight="1">
      <c r="A7142" s="4">
        <v>6183</v>
      </c>
      <c r="B7142" s="4">
        <v>43815</v>
      </c>
      <c r="C7142" s="5">
        <f t="shared" ref="C7142:C7144" si="3368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367"/>
        <v>41074</v>
      </c>
      <c r="V7142">
        <f t="shared" si="3352"/>
        <v>14</v>
      </c>
      <c r="W7142">
        <f t="shared" si="3349"/>
        <v>6</v>
      </c>
      <c r="X7142">
        <f t="shared" si="3350"/>
        <v>2012</v>
      </c>
    </row>
    <row r="7143" spans="1:24" ht="12" customHeight="1">
      <c r="A7143" s="4">
        <v>6184</v>
      </c>
      <c r="B7143" s="4">
        <v>43815</v>
      </c>
      <c r="C7143" s="5">
        <f t="shared" si="3368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367"/>
        <v>41074</v>
      </c>
      <c r="V7143">
        <f t="shared" si="3352"/>
        <v>14</v>
      </c>
      <c r="W7143">
        <f t="shared" si="3349"/>
        <v>6</v>
      </c>
      <c r="X7143">
        <f t="shared" si="3350"/>
        <v>2012</v>
      </c>
    </row>
    <row r="7144" spans="1:24" ht="12" customHeight="1">
      <c r="A7144" s="4">
        <v>6185</v>
      </c>
      <c r="B7144" s="4">
        <v>43815</v>
      </c>
      <c r="C7144" s="5">
        <f t="shared" si="3368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367"/>
        <v>41074</v>
      </c>
      <c r="V7144">
        <f t="shared" si="3352"/>
        <v>14</v>
      </c>
      <c r="W7144">
        <f t="shared" si="3349"/>
        <v>6</v>
      </c>
      <c r="X7144">
        <f t="shared" si="3350"/>
        <v>2012</v>
      </c>
    </row>
    <row r="7145" spans="1:24" ht="12" customHeight="1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  <c r="V7145">
        <f t="shared" si="3352"/>
        <v>31</v>
      </c>
      <c r="W7145">
        <f t="shared" si="3349"/>
        <v>10</v>
      </c>
      <c r="X7145">
        <f t="shared" si="3350"/>
        <v>2010</v>
      </c>
    </row>
    <row r="7146" spans="1:24" ht="12" customHeight="1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369">C7146+1</f>
        <v>39871</v>
      </c>
      <c r="V7146">
        <f t="shared" si="3352"/>
        <v>27</v>
      </c>
      <c r="W7146">
        <f t="shared" si="3349"/>
        <v>2</v>
      </c>
      <c r="X7146">
        <f t="shared" si="3350"/>
        <v>2009</v>
      </c>
    </row>
    <row r="7147" spans="1:24" ht="12" customHeight="1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369"/>
        <v>40073</v>
      </c>
      <c r="V7147">
        <f t="shared" si="3352"/>
        <v>17</v>
      </c>
      <c r="W7147">
        <f t="shared" si="3349"/>
        <v>9</v>
      </c>
      <c r="X7147">
        <f t="shared" si="3350"/>
        <v>2009</v>
      </c>
    </row>
    <row r="7148" spans="1:24" ht="12" customHeight="1">
      <c r="A7148" s="4">
        <v>6209</v>
      </c>
      <c r="B7148" s="4">
        <v>44000</v>
      </c>
      <c r="C7148" s="5">
        <f t="shared" ref="C7148:C7149" si="3370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  <c r="V7148">
        <f t="shared" si="3352"/>
        <v>4</v>
      </c>
      <c r="W7148">
        <f t="shared" si="3349"/>
        <v>10</v>
      </c>
      <c r="X7148">
        <f t="shared" si="3350"/>
        <v>2012</v>
      </c>
    </row>
    <row r="7149" spans="1:24" ht="12" customHeight="1">
      <c r="A7149" s="4">
        <v>6210</v>
      </c>
      <c r="B7149" s="4">
        <v>44000</v>
      </c>
      <c r="C7149" s="5">
        <f t="shared" si="3370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  <c r="V7149">
        <f t="shared" si="3352"/>
        <v>5</v>
      </c>
      <c r="W7149">
        <f t="shared" si="3349"/>
        <v>10</v>
      </c>
      <c r="X7149">
        <f t="shared" si="3350"/>
        <v>2012</v>
      </c>
    </row>
    <row r="7150" spans="1:24" ht="12" customHeight="1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  <c r="V7150">
        <f t="shared" si="3352"/>
        <v>21</v>
      </c>
      <c r="W7150">
        <f t="shared" si="3349"/>
        <v>11</v>
      </c>
      <c r="X7150">
        <f t="shared" si="3350"/>
        <v>2011</v>
      </c>
    </row>
    <row r="7151" spans="1:24" ht="12" customHeight="1">
      <c r="A7151" s="4">
        <v>6224</v>
      </c>
      <c r="B7151" s="4">
        <v>44069</v>
      </c>
      <c r="C7151" s="5">
        <f t="shared" ref="C7151:C7152" si="3371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  <c r="V7151">
        <f t="shared" si="3352"/>
        <v>4</v>
      </c>
      <c r="W7151">
        <f t="shared" si="3349"/>
        <v>1</v>
      </c>
      <c r="X7151">
        <f t="shared" si="3350"/>
        <v>2009</v>
      </c>
    </row>
    <row r="7152" spans="1:24" ht="12" customHeight="1">
      <c r="A7152" s="4">
        <v>6225</v>
      </c>
      <c r="B7152" s="4">
        <v>44069</v>
      </c>
      <c r="C7152" s="5">
        <f t="shared" si="3371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  <c r="V7152">
        <f t="shared" si="3352"/>
        <v>2</v>
      </c>
      <c r="W7152">
        <f t="shared" si="3349"/>
        <v>1</v>
      </c>
      <c r="X7152">
        <f t="shared" si="3350"/>
        <v>2009</v>
      </c>
    </row>
    <row r="7153" spans="1:24" ht="12" customHeight="1">
      <c r="A7153" s="4">
        <v>6229</v>
      </c>
      <c r="B7153" s="4">
        <v>44099</v>
      </c>
      <c r="C7153" s="5">
        <f t="shared" ref="C7153:C7154" si="3372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373">C7153+2</f>
        <v>40982</v>
      </c>
      <c r="V7153">
        <f t="shared" si="3352"/>
        <v>14</v>
      </c>
      <c r="W7153">
        <f t="shared" si="3349"/>
        <v>3</v>
      </c>
      <c r="X7153">
        <f t="shared" si="3350"/>
        <v>2012</v>
      </c>
    </row>
    <row r="7154" spans="1:24" ht="12" customHeight="1">
      <c r="A7154" s="4">
        <v>6230</v>
      </c>
      <c r="B7154" s="4">
        <v>44099</v>
      </c>
      <c r="C7154" s="5">
        <f t="shared" si="3372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373"/>
        <v>40982</v>
      </c>
      <c r="V7154">
        <f t="shared" si="3352"/>
        <v>14</v>
      </c>
      <c r="W7154">
        <f t="shared" si="3349"/>
        <v>3</v>
      </c>
      <c r="X7154">
        <f t="shared" si="3350"/>
        <v>2012</v>
      </c>
    </row>
    <row r="7155" spans="1:24" ht="12" customHeight="1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  <c r="V7155">
        <f t="shared" si="3352"/>
        <v>7</v>
      </c>
      <c r="W7155">
        <f t="shared" si="3349"/>
        <v>1</v>
      </c>
      <c r="X7155">
        <f t="shared" si="3350"/>
        <v>2010</v>
      </c>
    </row>
    <row r="7156" spans="1:24" ht="12" customHeight="1">
      <c r="A7156" s="4">
        <v>6249</v>
      </c>
      <c r="B7156" s="4">
        <v>44261</v>
      </c>
      <c r="C7156" s="5">
        <f t="shared" ref="C7156:C7159" si="3374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375">C7156+2</f>
        <v>40993</v>
      </c>
      <c r="V7156">
        <f t="shared" si="3352"/>
        <v>25</v>
      </c>
      <c r="W7156">
        <f t="shared" si="3349"/>
        <v>3</v>
      </c>
      <c r="X7156">
        <f t="shared" si="3350"/>
        <v>2012</v>
      </c>
    </row>
    <row r="7157" spans="1:24" ht="12" customHeight="1">
      <c r="A7157" s="4">
        <v>6250</v>
      </c>
      <c r="B7157" s="4">
        <v>44261</v>
      </c>
      <c r="C7157" s="5">
        <f t="shared" si="3374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375"/>
        <v>40993</v>
      </c>
      <c r="V7157">
        <f t="shared" si="3352"/>
        <v>25</v>
      </c>
      <c r="W7157">
        <f t="shared" si="3349"/>
        <v>3</v>
      </c>
      <c r="X7157">
        <f t="shared" si="3350"/>
        <v>2012</v>
      </c>
    </row>
    <row r="7158" spans="1:24" ht="12" customHeight="1">
      <c r="A7158" s="4">
        <v>6251</v>
      </c>
      <c r="B7158" s="4">
        <v>44261</v>
      </c>
      <c r="C7158" s="5">
        <f t="shared" si="3374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  <c r="V7158">
        <f t="shared" si="3352"/>
        <v>24</v>
      </c>
      <c r="W7158">
        <f t="shared" si="3349"/>
        <v>3</v>
      </c>
      <c r="X7158">
        <f t="shared" si="3350"/>
        <v>2012</v>
      </c>
    </row>
    <row r="7159" spans="1:24" ht="12" customHeight="1">
      <c r="A7159" s="4">
        <v>6252</v>
      </c>
      <c r="B7159" s="4">
        <v>44261</v>
      </c>
      <c r="C7159" s="5">
        <f t="shared" si="3374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  <c r="V7159">
        <f t="shared" si="3352"/>
        <v>26</v>
      </c>
      <c r="W7159">
        <f t="shared" si="3349"/>
        <v>3</v>
      </c>
      <c r="X7159">
        <f t="shared" si="3350"/>
        <v>2012</v>
      </c>
    </row>
    <row r="7160" spans="1:24" ht="12" customHeight="1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  <c r="V7160">
        <f t="shared" si="3352"/>
        <v>9</v>
      </c>
      <c r="W7160">
        <f t="shared" si="3349"/>
        <v>8</v>
      </c>
      <c r="X7160">
        <f t="shared" si="3350"/>
        <v>2012</v>
      </c>
    </row>
    <row r="7161" spans="1:24" ht="12" customHeight="1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376">C7161+1</f>
        <v>39927</v>
      </c>
      <c r="V7161">
        <f t="shared" si="3352"/>
        <v>24</v>
      </c>
      <c r="W7161">
        <f t="shared" si="3349"/>
        <v>4</v>
      </c>
      <c r="X7161">
        <f t="shared" si="3350"/>
        <v>2009</v>
      </c>
    </row>
    <row r="7162" spans="1:24" ht="12" customHeight="1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376"/>
        <v>40931</v>
      </c>
      <c r="V7162">
        <f t="shared" si="3352"/>
        <v>23</v>
      </c>
      <c r="W7162">
        <f t="shared" si="3349"/>
        <v>1</v>
      </c>
      <c r="X7162">
        <f t="shared" si="3350"/>
        <v>2012</v>
      </c>
    </row>
    <row r="7163" spans="1:24" ht="12" customHeight="1">
      <c r="A7163" s="4">
        <v>6315</v>
      </c>
      <c r="B7163" s="4">
        <v>44679</v>
      </c>
      <c r="C7163" s="5">
        <f t="shared" ref="C7163:C7164" si="3377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376"/>
        <v>41064</v>
      </c>
      <c r="V7163">
        <f t="shared" si="3352"/>
        <v>4</v>
      </c>
      <c r="W7163">
        <f t="shared" si="3349"/>
        <v>6</v>
      </c>
      <c r="X7163">
        <f t="shared" si="3350"/>
        <v>2012</v>
      </c>
    </row>
    <row r="7164" spans="1:24" ht="12" customHeight="1">
      <c r="A7164" s="4">
        <v>6316</v>
      </c>
      <c r="B7164" s="4">
        <v>44679</v>
      </c>
      <c r="C7164" s="5">
        <f t="shared" si="3377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  <c r="V7164">
        <f t="shared" si="3352"/>
        <v>5</v>
      </c>
      <c r="W7164">
        <f t="shared" si="3349"/>
        <v>6</v>
      </c>
      <c r="X7164">
        <f t="shared" si="3350"/>
        <v>2012</v>
      </c>
    </row>
    <row r="7165" spans="1:24" ht="12" customHeight="1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378">C7165+1</f>
        <v>40068</v>
      </c>
      <c r="V7165">
        <f t="shared" si="3352"/>
        <v>12</v>
      </c>
      <c r="W7165">
        <f t="shared" si="3349"/>
        <v>9</v>
      </c>
      <c r="X7165">
        <f t="shared" si="3350"/>
        <v>2009</v>
      </c>
    </row>
    <row r="7166" spans="1:24" ht="12" customHeight="1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378"/>
        <v>39913</v>
      </c>
      <c r="V7166">
        <f t="shared" si="3352"/>
        <v>10</v>
      </c>
      <c r="W7166">
        <f t="shared" si="3349"/>
        <v>4</v>
      </c>
      <c r="X7166">
        <f t="shared" si="3350"/>
        <v>2009</v>
      </c>
    </row>
    <row r="7167" spans="1:24" ht="12" customHeight="1">
      <c r="A7167" s="4">
        <v>6367</v>
      </c>
      <c r="B7167" s="4">
        <v>45158</v>
      </c>
      <c r="C7167" s="5">
        <f t="shared" ref="C7167:C7168" si="3379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  <c r="V7167">
        <f t="shared" si="3352"/>
        <v>12</v>
      </c>
      <c r="W7167">
        <f t="shared" si="3349"/>
        <v>4</v>
      </c>
      <c r="X7167">
        <f t="shared" si="3350"/>
        <v>2010</v>
      </c>
    </row>
    <row r="7168" spans="1:24" ht="12" customHeight="1">
      <c r="A7168" s="4">
        <v>6368</v>
      </c>
      <c r="B7168" s="4">
        <v>45158</v>
      </c>
      <c r="C7168" s="5">
        <f t="shared" si="3379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  <c r="V7168">
        <f t="shared" si="3352"/>
        <v>15</v>
      </c>
      <c r="W7168">
        <f t="shared" si="3349"/>
        <v>4</v>
      </c>
      <c r="X7168">
        <f t="shared" si="3350"/>
        <v>2010</v>
      </c>
    </row>
    <row r="7169" spans="1:24" ht="12" customHeight="1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380">C7169+1</f>
        <v>40386</v>
      </c>
      <c r="V7169">
        <f t="shared" si="3352"/>
        <v>27</v>
      </c>
      <c r="W7169">
        <f t="shared" si="3349"/>
        <v>7</v>
      </c>
      <c r="X7169">
        <f t="shared" si="3350"/>
        <v>2010</v>
      </c>
    </row>
    <row r="7170" spans="1:24" ht="12" customHeight="1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380"/>
        <v>41020</v>
      </c>
      <c r="V7170">
        <f t="shared" si="3352"/>
        <v>21</v>
      </c>
      <c r="W7170">
        <f t="shared" si="3349"/>
        <v>4</v>
      </c>
      <c r="X7170">
        <f t="shared" si="3350"/>
        <v>2012</v>
      </c>
    </row>
    <row r="7171" spans="1:24" ht="12" customHeight="1">
      <c r="A7171" s="4">
        <v>6387</v>
      </c>
      <c r="B7171" s="4">
        <v>45380</v>
      </c>
      <c r="C7171" s="5">
        <f t="shared" ref="C7171:C7172" si="3381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380"/>
        <v>39934</v>
      </c>
      <c r="V7171">
        <f t="shared" si="3352"/>
        <v>1</v>
      </c>
      <c r="W7171">
        <f t="shared" ref="W7171:W7234" si="3382">MONTH(U7171)</f>
        <v>5</v>
      </c>
      <c r="X7171">
        <f t="shared" ref="X7171:X7234" si="3383">YEAR(U7171)</f>
        <v>2009</v>
      </c>
    </row>
    <row r="7172" spans="1:24" ht="12" customHeight="1">
      <c r="A7172" s="4">
        <v>6388</v>
      </c>
      <c r="B7172" s="4">
        <v>45380</v>
      </c>
      <c r="C7172" s="5">
        <f t="shared" si="3381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  <c r="V7172">
        <f t="shared" ref="V7172:V7235" si="3384">DAY(U7172)</f>
        <v>2</v>
      </c>
      <c r="W7172">
        <f t="shared" si="3382"/>
        <v>5</v>
      </c>
      <c r="X7172">
        <f t="shared" si="3383"/>
        <v>2009</v>
      </c>
    </row>
    <row r="7173" spans="1:24" ht="12" customHeight="1">
      <c r="A7173" s="4">
        <v>6393</v>
      </c>
      <c r="B7173" s="4">
        <v>45409</v>
      </c>
      <c r="C7173" s="5">
        <f t="shared" ref="C7173:C7175" si="3385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  <c r="V7173">
        <f t="shared" si="3384"/>
        <v>15</v>
      </c>
      <c r="W7173">
        <f t="shared" si="3382"/>
        <v>4</v>
      </c>
      <c r="X7173">
        <f t="shared" si="3383"/>
        <v>2010</v>
      </c>
    </row>
    <row r="7174" spans="1:24" ht="12" customHeight="1">
      <c r="A7174" s="4">
        <v>6394</v>
      </c>
      <c r="B7174" s="4">
        <v>45409</v>
      </c>
      <c r="C7174" s="5">
        <f t="shared" si="3385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  <c r="V7174">
        <f t="shared" si="3384"/>
        <v>13</v>
      </c>
      <c r="W7174">
        <f t="shared" si="3382"/>
        <v>4</v>
      </c>
      <c r="X7174">
        <f t="shared" si="3383"/>
        <v>2010</v>
      </c>
    </row>
    <row r="7175" spans="1:24" ht="12" customHeight="1">
      <c r="A7175" s="4">
        <v>6395</v>
      </c>
      <c r="B7175" s="4">
        <v>45409</v>
      </c>
      <c r="C7175" s="5">
        <f t="shared" si="3385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  <c r="V7175">
        <f t="shared" si="3384"/>
        <v>15</v>
      </c>
      <c r="W7175">
        <f t="shared" si="3382"/>
        <v>4</v>
      </c>
      <c r="X7175">
        <f t="shared" si="3383"/>
        <v>2010</v>
      </c>
    </row>
    <row r="7176" spans="1:24" ht="12" customHeight="1">
      <c r="A7176" s="4">
        <v>6406</v>
      </c>
      <c r="B7176" s="4">
        <v>45539</v>
      </c>
      <c r="C7176" s="5">
        <f t="shared" ref="C7176:C7177" si="3386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387">C7176+2</f>
        <v>40029</v>
      </c>
      <c r="V7176">
        <f t="shared" si="3384"/>
        <v>4</v>
      </c>
      <c r="W7176">
        <f t="shared" si="3382"/>
        <v>8</v>
      </c>
      <c r="X7176">
        <f t="shared" si="3383"/>
        <v>2009</v>
      </c>
    </row>
    <row r="7177" spans="1:24" ht="12" customHeight="1">
      <c r="A7177" s="4">
        <v>6407</v>
      </c>
      <c r="B7177" s="4">
        <v>45539</v>
      </c>
      <c r="C7177" s="5">
        <f t="shared" si="3386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387"/>
        <v>40029</v>
      </c>
      <c r="V7177">
        <f t="shared" si="3384"/>
        <v>4</v>
      </c>
      <c r="W7177">
        <f t="shared" si="3382"/>
        <v>8</v>
      </c>
      <c r="X7177">
        <f t="shared" si="3383"/>
        <v>2009</v>
      </c>
    </row>
    <row r="7178" spans="1:24" ht="12" customHeight="1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387"/>
        <v>40280</v>
      </c>
      <c r="V7178">
        <f t="shared" si="3384"/>
        <v>12</v>
      </c>
      <c r="W7178">
        <f t="shared" si="3382"/>
        <v>4</v>
      </c>
      <c r="X7178">
        <f t="shared" si="3383"/>
        <v>2010</v>
      </c>
    </row>
    <row r="7179" spans="1:24" ht="12" customHeight="1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  <c r="V7179">
        <f t="shared" si="3384"/>
        <v>10</v>
      </c>
      <c r="W7179">
        <f t="shared" si="3382"/>
        <v>6</v>
      </c>
      <c r="X7179">
        <f t="shared" si="3383"/>
        <v>2012</v>
      </c>
    </row>
    <row r="7180" spans="1:24" ht="12" customHeight="1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  <c r="V7180">
        <f t="shared" si="3384"/>
        <v>19</v>
      </c>
      <c r="W7180">
        <f t="shared" si="3382"/>
        <v>6</v>
      </c>
      <c r="X7180">
        <f t="shared" si="3383"/>
        <v>2011</v>
      </c>
    </row>
    <row r="7181" spans="1:24" ht="12" customHeight="1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  <c r="V7181">
        <f t="shared" si="3384"/>
        <v>22</v>
      </c>
      <c r="W7181">
        <f t="shared" si="3382"/>
        <v>6</v>
      </c>
      <c r="X7181">
        <f t="shared" si="3383"/>
        <v>2010</v>
      </c>
    </row>
    <row r="7182" spans="1:24" ht="12" customHeight="1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  <c r="V7182">
        <f t="shared" si="3384"/>
        <v>26</v>
      </c>
      <c r="W7182">
        <f t="shared" si="3382"/>
        <v>7</v>
      </c>
      <c r="X7182">
        <f t="shared" si="3383"/>
        <v>2010</v>
      </c>
    </row>
    <row r="7183" spans="1:24" ht="12" customHeight="1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388">C7183+2</f>
        <v>40127</v>
      </c>
      <c r="V7183">
        <f t="shared" si="3384"/>
        <v>10</v>
      </c>
      <c r="W7183">
        <f t="shared" si="3382"/>
        <v>11</v>
      </c>
      <c r="X7183">
        <f t="shared" si="3383"/>
        <v>2009</v>
      </c>
    </row>
    <row r="7184" spans="1:24" ht="12" customHeight="1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388"/>
        <v>39900</v>
      </c>
      <c r="V7184">
        <f t="shared" si="3384"/>
        <v>28</v>
      </c>
      <c r="W7184">
        <f t="shared" si="3382"/>
        <v>3</v>
      </c>
      <c r="X7184">
        <f t="shared" si="3383"/>
        <v>2009</v>
      </c>
    </row>
    <row r="7185" spans="1:24" ht="12" customHeight="1">
      <c r="A7185" s="4">
        <v>6534</v>
      </c>
      <c r="B7185" s="4">
        <v>46499</v>
      </c>
      <c r="C7185" s="5">
        <f t="shared" ref="C7185:C7187" si="3389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  <c r="V7185">
        <f t="shared" si="3384"/>
        <v>8</v>
      </c>
      <c r="W7185">
        <f t="shared" si="3382"/>
        <v>6</v>
      </c>
      <c r="X7185">
        <f t="shared" si="3383"/>
        <v>2009</v>
      </c>
    </row>
    <row r="7186" spans="1:24" ht="12" customHeight="1">
      <c r="A7186" s="4">
        <v>6535</v>
      </c>
      <c r="B7186" s="4">
        <v>46499</v>
      </c>
      <c r="C7186" s="5">
        <f t="shared" si="3389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  <c r="V7186">
        <f t="shared" si="3384"/>
        <v>9</v>
      </c>
      <c r="W7186">
        <f t="shared" si="3382"/>
        <v>6</v>
      </c>
      <c r="X7186">
        <f t="shared" si="3383"/>
        <v>2009</v>
      </c>
    </row>
    <row r="7187" spans="1:24" ht="12" customHeight="1">
      <c r="A7187" s="4">
        <v>6536</v>
      </c>
      <c r="B7187" s="4">
        <v>46499</v>
      </c>
      <c r="C7187" s="5">
        <f t="shared" si="3389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  <c r="V7187">
        <f t="shared" si="3384"/>
        <v>8</v>
      </c>
      <c r="W7187">
        <f t="shared" si="3382"/>
        <v>6</v>
      </c>
      <c r="X7187">
        <f t="shared" si="3383"/>
        <v>2009</v>
      </c>
    </row>
    <row r="7188" spans="1:24" ht="12" customHeight="1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390">C7188+2</f>
        <v>40981</v>
      </c>
      <c r="V7188">
        <f t="shared" si="3384"/>
        <v>13</v>
      </c>
      <c r="W7188">
        <f t="shared" si="3382"/>
        <v>3</v>
      </c>
      <c r="X7188">
        <f t="shared" si="3383"/>
        <v>2012</v>
      </c>
    </row>
    <row r="7189" spans="1:24" ht="12" customHeight="1">
      <c r="A7189" s="4">
        <v>6563</v>
      </c>
      <c r="B7189" s="4">
        <v>46662</v>
      </c>
      <c r="C7189" s="5">
        <f t="shared" ref="C7189:C7191" si="3391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390"/>
        <v>40908</v>
      </c>
      <c r="V7189">
        <f t="shared" si="3384"/>
        <v>31</v>
      </c>
      <c r="W7189">
        <f t="shared" si="3382"/>
        <v>12</v>
      </c>
      <c r="X7189">
        <f t="shared" si="3383"/>
        <v>2011</v>
      </c>
    </row>
    <row r="7190" spans="1:24" ht="12" customHeight="1">
      <c r="A7190" s="4">
        <v>6564</v>
      </c>
      <c r="B7190" s="4">
        <v>46662</v>
      </c>
      <c r="C7190" s="5">
        <f t="shared" si="3391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390"/>
        <v>40908</v>
      </c>
      <c r="V7190">
        <f t="shared" si="3384"/>
        <v>31</v>
      </c>
      <c r="W7190">
        <f t="shared" si="3382"/>
        <v>12</v>
      </c>
      <c r="X7190">
        <f t="shared" si="3383"/>
        <v>2011</v>
      </c>
    </row>
    <row r="7191" spans="1:24" ht="12" customHeight="1">
      <c r="A7191" s="4">
        <v>6565</v>
      </c>
      <c r="B7191" s="4">
        <v>46662</v>
      </c>
      <c r="C7191" s="5">
        <f t="shared" si="3391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390"/>
        <v>40908</v>
      </c>
      <c r="V7191">
        <f t="shared" si="3384"/>
        <v>31</v>
      </c>
      <c r="W7191">
        <f t="shared" si="3382"/>
        <v>12</v>
      </c>
      <c r="X7191">
        <f t="shared" si="3383"/>
        <v>2011</v>
      </c>
    </row>
    <row r="7192" spans="1:24" ht="12" customHeight="1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390"/>
        <v>41086</v>
      </c>
      <c r="V7192">
        <f t="shared" si="3384"/>
        <v>26</v>
      </c>
      <c r="W7192">
        <f t="shared" si="3382"/>
        <v>6</v>
      </c>
      <c r="X7192">
        <f t="shared" si="3383"/>
        <v>2012</v>
      </c>
    </row>
    <row r="7193" spans="1:24" ht="12" customHeight="1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390"/>
        <v>40364</v>
      </c>
      <c r="V7193">
        <f t="shared" si="3384"/>
        <v>5</v>
      </c>
      <c r="W7193">
        <f t="shared" si="3382"/>
        <v>7</v>
      </c>
      <c r="X7193">
        <f t="shared" si="3383"/>
        <v>2010</v>
      </c>
    </row>
    <row r="7194" spans="1:24" ht="12" customHeight="1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390"/>
        <v>39865</v>
      </c>
      <c r="V7194">
        <f t="shared" si="3384"/>
        <v>21</v>
      </c>
      <c r="W7194">
        <f t="shared" si="3382"/>
        <v>2</v>
      </c>
      <c r="X7194">
        <f t="shared" si="3383"/>
        <v>2009</v>
      </c>
    </row>
    <row r="7195" spans="1:24" ht="12" customHeight="1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  <c r="V7195">
        <f t="shared" si="3384"/>
        <v>29</v>
      </c>
      <c r="W7195">
        <f t="shared" si="3382"/>
        <v>12</v>
      </c>
      <c r="X7195">
        <f t="shared" si="3383"/>
        <v>2009</v>
      </c>
    </row>
    <row r="7196" spans="1:24" ht="12" customHeight="1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  <c r="V7196">
        <f t="shared" si="3384"/>
        <v>8</v>
      </c>
      <c r="W7196">
        <f t="shared" si="3382"/>
        <v>6</v>
      </c>
      <c r="X7196">
        <f t="shared" si="3383"/>
        <v>2009</v>
      </c>
    </row>
    <row r="7197" spans="1:24" ht="12" customHeight="1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392">C7197+1</f>
        <v>41206</v>
      </c>
      <c r="V7197">
        <f t="shared" si="3384"/>
        <v>24</v>
      </c>
      <c r="W7197">
        <f t="shared" si="3382"/>
        <v>10</v>
      </c>
      <c r="X7197">
        <f t="shared" si="3383"/>
        <v>2012</v>
      </c>
    </row>
    <row r="7198" spans="1:24" ht="12" customHeight="1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392"/>
        <v>40686</v>
      </c>
      <c r="V7198">
        <f t="shared" si="3384"/>
        <v>23</v>
      </c>
      <c r="W7198">
        <f t="shared" si="3382"/>
        <v>5</v>
      </c>
      <c r="X7198">
        <f t="shared" si="3383"/>
        <v>2011</v>
      </c>
    </row>
    <row r="7199" spans="1:24" ht="12" customHeight="1">
      <c r="A7199" s="4">
        <v>6688</v>
      </c>
      <c r="B7199" s="4">
        <v>47584</v>
      </c>
      <c r="C7199" s="5">
        <f t="shared" ref="C7199:C7200" si="3393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  <c r="V7199">
        <f t="shared" si="3384"/>
        <v>29</v>
      </c>
      <c r="W7199">
        <f t="shared" si="3382"/>
        <v>7</v>
      </c>
      <c r="X7199">
        <f t="shared" si="3383"/>
        <v>2010</v>
      </c>
    </row>
    <row r="7200" spans="1:24" ht="12" customHeight="1">
      <c r="A7200" s="4">
        <v>6689</v>
      </c>
      <c r="B7200" s="4">
        <v>47584</v>
      </c>
      <c r="C7200" s="5">
        <f t="shared" si="3393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  <c r="V7200">
        <f t="shared" si="3384"/>
        <v>28</v>
      </c>
      <c r="W7200">
        <f t="shared" si="3382"/>
        <v>7</v>
      </c>
      <c r="X7200">
        <f t="shared" si="3383"/>
        <v>2010</v>
      </c>
    </row>
    <row r="7201" spans="1:24" ht="12" customHeight="1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  <c r="V7201">
        <f t="shared" si="3384"/>
        <v>8</v>
      </c>
      <c r="W7201">
        <f t="shared" si="3382"/>
        <v>9</v>
      </c>
      <c r="X7201">
        <f t="shared" si="3383"/>
        <v>2010</v>
      </c>
    </row>
    <row r="7202" spans="1:24" ht="12" customHeight="1">
      <c r="A7202" s="4">
        <v>6719</v>
      </c>
      <c r="B7202" s="4">
        <v>47872</v>
      </c>
      <c r="C7202" s="5">
        <f t="shared" ref="C7202:C7203" si="3394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  <c r="V7202">
        <f t="shared" si="3384"/>
        <v>14</v>
      </c>
      <c r="W7202">
        <f t="shared" si="3382"/>
        <v>6</v>
      </c>
      <c r="X7202">
        <f t="shared" si="3383"/>
        <v>2009</v>
      </c>
    </row>
    <row r="7203" spans="1:24" ht="12" customHeight="1">
      <c r="A7203" s="4">
        <v>6720</v>
      </c>
      <c r="B7203" s="4">
        <v>47872</v>
      </c>
      <c r="C7203" s="5">
        <f t="shared" si="3394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  <c r="V7203">
        <f t="shared" si="3384"/>
        <v>13</v>
      </c>
      <c r="W7203">
        <f t="shared" si="3382"/>
        <v>6</v>
      </c>
      <c r="X7203">
        <f t="shared" si="3383"/>
        <v>2009</v>
      </c>
    </row>
    <row r="7204" spans="1:24" ht="12" customHeight="1">
      <c r="A7204" s="4">
        <v>6723</v>
      </c>
      <c r="B7204" s="4">
        <v>47877</v>
      </c>
      <c r="C7204" s="5">
        <f t="shared" ref="C7204:C7206" si="3395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  <c r="V7204">
        <f t="shared" si="3384"/>
        <v>31</v>
      </c>
      <c r="W7204">
        <f t="shared" si="3382"/>
        <v>8</v>
      </c>
      <c r="X7204">
        <f t="shared" si="3383"/>
        <v>2009</v>
      </c>
    </row>
    <row r="7205" spans="1:24" ht="12" customHeight="1">
      <c r="A7205" s="4">
        <v>6724</v>
      </c>
      <c r="B7205" s="4">
        <v>47877</v>
      </c>
      <c r="C7205" s="5">
        <f t="shared" si="3395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396">C7205+2</f>
        <v>40055</v>
      </c>
      <c r="V7205">
        <f t="shared" si="3384"/>
        <v>30</v>
      </c>
      <c r="W7205">
        <f t="shared" si="3382"/>
        <v>8</v>
      </c>
      <c r="X7205">
        <f t="shared" si="3383"/>
        <v>2009</v>
      </c>
    </row>
    <row r="7206" spans="1:24" ht="12" customHeight="1">
      <c r="A7206" s="4">
        <v>6725</v>
      </c>
      <c r="B7206" s="4">
        <v>47877</v>
      </c>
      <c r="C7206" s="5">
        <f t="shared" si="3395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396"/>
        <v>40055</v>
      </c>
      <c r="V7206">
        <f t="shared" si="3384"/>
        <v>30</v>
      </c>
      <c r="W7206">
        <f t="shared" si="3382"/>
        <v>8</v>
      </c>
      <c r="X7206">
        <f t="shared" si="3383"/>
        <v>2009</v>
      </c>
    </row>
    <row r="7207" spans="1:24" ht="12" customHeight="1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397">C7207+1</f>
        <v>40920</v>
      </c>
      <c r="V7207">
        <f t="shared" si="3384"/>
        <v>12</v>
      </c>
      <c r="W7207">
        <f t="shared" si="3382"/>
        <v>1</v>
      </c>
      <c r="X7207">
        <f t="shared" si="3383"/>
        <v>2012</v>
      </c>
    </row>
    <row r="7208" spans="1:24" ht="12" customHeight="1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397"/>
        <v>40041</v>
      </c>
      <c r="V7208">
        <f t="shared" si="3384"/>
        <v>16</v>
      </c>
      <c r="W7208">
        <f t="shared" si="3382"/>
        <v>8</v>
      </c>
      <c r="X7208">
        <f t="shared" si="3383"/>
        <v>2009</v>
      </c>
    </row>
    <row r="7209" spans="1:24" ht="12" customHeight="1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  <c r="V7209">
        <f t="shared" si="3384"/>
        <v>13</v>
      </c>
      <c r="W7209">
        <f t="shared" si="3382"/>
        <v>10</v>
      </c>
      <c r="X7209">
        <f t="shared" si="3383"/>
        <v>2010</v>
      </c>
    </row>
    <row r="7210" spans="1:24" ht="12" customHeight="1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  <c r="V7210">
        <f t="shared" si="3384"/>
        <v>17</v>
      </c>
      <c r="W7210">
        <f t="shared" si="3382"/>
        <v>12</v>
      </c>
      <c r="X7210">
        <f t="shared" si="3383"/>
        <v>2009</v>
      </c>
    </row>
    <row r="7211" spans="1:24" ht="12" customHeight="1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  <c r="V7211">
        <f t="shared" si="3384"/>
        <v>24</v>
      </c>
      <c r="W7211">
        <f t="shared" si="3382"/>
        <v>7</v>
      </c>
      <c r="X7211">
        <f t="shared" si="3383"/>
        <v>2011</v>
      </c>
    </row>
    <row r="7212" spans="1:24" ht="12" customHeight="1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  <c r="V7212">
        <f t="shared" si="3384"/>
        <v>10</v>
      </c>
      <c r="W7212">
        <f t="shared" si="3382"/>
        <v>4</v>
      </c>
      <c r="X7212">
        <f t="shared" si="3383"/>
        <v>2012</v>
      </c>
    </row>
    <row r="7213" spans="1:24" ht="12" customHeight="1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  <c r="V7213">
        <f t="shared" si="3384"/>
        <v>26</v>
      </c>
      <c r="W7213">
        <f t="shared" si="3382"/>
        <v>5</v>
      </c>
      <c r="X7213">
        <f t="shared" si="3383"/>
        <v>2010</v>
      </c>
    </row>
    <row r="7214" spans="1:24" ht="12" customHeight="1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  <c r="V7214">
        <f t="shared" si="3384"/>
        <v>5</v>
      </c>
      <c r="W7214">
        <f t="shared" si="3382"/>
        <v>3</v>
      </c>
      <c r="X7214">
        <f t="shared" si="3383"/>
        <v>2012</v>
      </c>
    </row>
    <row r="7215" spans="1:24" ht="12" customHeight="1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398">C7215+2</f>
        <v>41260</v>
      </c>
      <c r="V7215">
        <f t="shared" si="3384"/>
        <v>17</v>
      </c>
      <c r="W7215">
        <f t="shared" si="3382"/>
        <v>12</v>
      </c>
      <c r="X7215">
        <f t="shared" si="3383"/>
        <v>2012</v>
      </c>
    </row>
    <row r="7216" spans="1:24" ht="12" customHeight="1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398"/>
        <v>40099</v>
      </c>
      <c r="V7216">
        <f t="shared" si="3384"/>
        <v>13</v>
      </c>
      <c r="W7216">
        <f t="shared" si="3382"/>
        <v>10</v>
      </c>
      <c r="X7216">
        <f t="shared" si="3383"/>
        <v>2009</v>
      </c>
    </row>
    <row r="7217" spans="1:24" ht="12" customHeight="1">
      <c r="A7217" s="4">
        <v>6814</v>
      </c>
      <c r="B7217" s="4">
        <v>48512</v>
      </c>
      <c r="C7217" s="5">
        <f t="shared" ref="C7217:C7218" si="3399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  <c r="V7217">
        <f t="shared" si="3384"/>
        <v>4</v>
      </c>
      <c r="W7217">
        <f t="shared" si="3382"/>
        <v>8</v>
      </c>
      <c r="X7217">
        <f t="shared" si="3383"/>
        <v>2011</v>
      </c>
    </row>
    <row r="7218" spans="1:24" ht="12" customHeight="1">
      <c r="A7218" s="4">
        <v>6815</v>
      </c>
      <c r="B7218" s="4">
        <v>48512</v>
      </c>
      <c r="C7218" s="5">
        <f t="shared" si="3399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  <c r="V7218">
        <f t="shared" si="3384"/>
        <v>3</v>
      </c>
      <c r="W7218">
        <f t="shared" si="3382"/>
        <v>8</v>
      </c>
      <c r="X7218">
        <f t="shared" si="3383"/>
        <v>2011</v>
      </c>
    </row>
    <row r="7219" spans="1:24" ht="12" customHeight="1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  <c r="V7219">
        <f t="shared" si="3384"/>
        <v>6</v>
      </c>
      <c r="W7219">
        <f t="shared" si="3382"/>
        <v>12</v>
      </c>
      <c r="X7219">
        <f t="shared" si="3383"/>
        <v>2011</v>
      </c>
    </row>
    <row r="7220" spans="1:24" ht="12" customHeight="1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  <c r="V7220">
        <f t="shared" si="3384"/>
        <v>26</v>
      </c>
      <c r="W7220">
        <f t="shared" si="3382"/>
        <v>12</v>
      </c>
      <c r="X7220">
        <f t="shared" si="3383"/>
        <v>2012</v>
      </c>
    </row>
    <row r="7221" spans="1:24" ht="12" customHeight="1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  <c r="V7221">
        <f t="shared" si="3384"/>
        <v>30</v>
      </c>
      <c r="W7221">
        <f t="shared" si="3382"/>
        <v>8</v>
      </c>
      <c r="X7221">
        <f t="shared" si="3383"/>
        <v>2011</v>
      </c>
    </row>
    <row r="7222" spans="1:24" ht="12" customHeight="1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  <c r="V7222">
        <f t="shared" si="3384"/>
        <v>5</v>
      </c>
      <c r="W7222">
        <f t="shared" si="3382"/>
        <v>5</v>
      </c>
      <c r="X7222">
        <f t="shared" si="3383"/>
        <v>2010</v>
      </c>
    </row>
    <row r="7223" spans="1:24" ht="12" customHeight="1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400">C7223+2</f>
        <v>39860</v>
      </c>
      <c r="V7223">
        <f t="shared" si="3384"/>
        <v>16</v>
      </c>
      <c r="W7223">
        <f t="shared" si="3382"/>
        <v>2</v>
      </c>
      <c r="X7223">
        <f t="shared" si="3383"/>
        <v>2009</v>
      </c>
    </row>
    <row r="7224" spans="1:24" ht="12" customHeight="1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400"/>
        <v>40187</v>
      </c>
      <c r="V7224">
        <f t="shared" si="3384"/>
        <v>9</v>
      </c>
      <c r="W7224">
        <f t="shared" si="3382"/>
        <v>1</v>
      </c>
      <c r="X7224">
        <f t="shared" si="3383"/>
        <v>2010</v>
      </c>
    </row>
    <row r="7225" spans="1:24" ht="12" customHeight="1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  <c r="V7225">
        <f t="shared" si="3384"/>
        <v>12</v>
      </c>
      <c r="W7225">
        <f t="shared" si="3382"/>
        <v>3</v>
      </c>
      <c r="X7225">
        <f t="shared" si="3383"/>
        <v>2011</v>
      </c>
    </row>
    <row r="7226" spans="1:24" ht="12" customHeight="1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401">C7226+1</f>
        <v>40201</v>
      </c>
      <c r="V7226">
        <f t="shared" si="3384"/>
        <v>23</v>
      </c>
      <c r="W7226">
        <f t="shared" si="3382"/>
        <v>1</v>
      </c>
      <c r="X7226">
        <f t="shared" si="3383"/>
        <v>2010</v>
      </c>
    </row>
    <row r="7227" spans="1:24" ht="12" customHeight="1">
      <c r="A7227" s="4">
        <v>7055</v>
      </c>
      <c r="B7227" s="4">
        <v>50337</v>
      </c>
      <c r="C7227" s="5">
        <f t="shared" ref="C7227:C7228" si="3402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401"/>
        <v>39920</v>
      </c>
      <c r="V7227">
        <f t="shared" si="3384"/>
        <v>17</v>
      </c>
      <c r="W7227">
        <f t="shared" si="3382"/>
        <v>4</v>
      </c>
      <c r="X7227">
        <f t="shared" si="3383"/>
        <v>2009</v>
      </c>
    </row>
    <row r="7228" spans="1:24" ht="12" customHeight="1">
      <c r="A7228" s="4">
        <v>7056</v>
      </c>
      <c r="B7228" s="4">
        <v>50337</v>
      </c>
      <c r="C7228" s="5">
        <f t="shared" si="3402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403">C7228+2</f>
        <v>39921</v>
      </c>
      <c r="V7228">
        <f t="shared" si="3384"/>
        <v>18</v>
      </c>
      <c r="W7228">
        <f t="shared" si="3382"/>
        <v>4</v>
      </c>
      <c r="X7228">
        <f t="shared" si="3383"/>
        <v>2009</v>
      </c>
    </row>
    <row r="7229" spans="1:24" ht="12" customHeight="1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403"/>
        <v>41043</v>
      </c>
      <c r="V7229">
        <f t="shared" si="3384"/>
        <v>14</v>
      </c>
      <c r="W7229">
        <f t="shared" si="3382"/>
        <v>5</v>
      </c>
      <c r="X7229">
        <f t="shared" si="3383"/>
        <v>2012</v>
      </c>
    </row>
    <row r="7230" spans="1:24" ht="12" customHeight="1">
      <c r="A7230" s="4">
        <v>7095</v>
      </c>
      <c r="B7230" s="4">
        <v>50656</v>
      </c>
      <c r="C7230" s="5">
        <f t="shared" ref="C7230:C7233" si="3404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403"/>
        <v>40113</v>
      </c>
      <c r="V7230">
        <f t="shared" si="3384"/>
        <v>27</v>
      </c>
      <c r="W7230">
        <f t="shared" si="3382"/>
        <v>10</v>
      </c>
      <c r="X7230">
        <f t="shared" si="3383"/>
        <v>2009</v>
      </c>
    </row>
    <row r="7231" spans="1:24" ht="12" customHeight="1">
      <c r="A7231" s="4">
        <v>7096</v>
      </c>
      <c r="B7231" s="4">
        <v>50656</v>
      </c>
      <c r="C7231" s="5">
        <f t="shared" si="3404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  <c r="V7231">
        <f t="shared" si="3384"/>
        <v>26</v>
      </c>
      <c r="W7231">
        <f t="shared" si="3382"/>
        <v>10</v>
      </c>
      <c r="X7231">
        <f t="shared" si="3383"/>
        <v>2009</v>
      </c>
    </row>
    <row r="7232" spans="1:24" ht="12" customHeight="1">
      <c r="A7232" s="4">
        <v>7097</v>
      </c>
      <c r="B7232" s="4">
        <v>50656</v>
      </c>
      <c r="C7232" s="5">
        <f t="shared" si="3404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  <c r="V7232">
        <f t="shared" si="3384"/>
        <v>25</v>
      </c>
      <c r="W7232">
        <f t="shared" si="3382"/>
        <v>10</v>
      </c>
      <c r="X7232">
        <f t="shared" si="3383"/>
        <v>2009</v>
      </c>
    </row>
    <row r="7233" spans="1:24" ht="12" customHeight="1">
      <c r="A7233" s="4">
        <v>7098</v>
      </c>
      <c r="B7233" s="4">
        <v>50656</v>
      </c>
      <c r="C7233" s="5">
        <f t="shared" si="3404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  <c r="V7233">
        <f t="shared" si="3384"/>
        <v>26</v>
      </c>
      <c r="W7233">
        <f t="shared" si="3382"/>
        <v>10</v>
      </c>
      <c r="X7233">
        <f t="shared" si="3383"/>
        <v>2009</v>
      </c>
    </row>
    <row r="7234" spans="1:24" ht="12" customHeight="1">
      <c r="A7234" s="4">
        <v>7141</v>
      </c>
      <c r="B7234" s="4">
        <v>50950</v>
      </c>
      <c r="C7234" s="5">
        <f t="shared" ref="C7234:C7235" si="3405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406">C7234+0</f>
        <v>41273</v>
      </c>
      <c r="V7234">
        <f t="shared" si="3384"/>
        <v>30</v>
      </c>
      <c r="W7234">
        <f t="shared" si="3382"/>
        <v>12</v>
      </c>
      <c r="X7234">
        <f t="shared" si="3383"/>
        <v>2012</v>
      </c>
    </row>
    <row r="7235" spans="1:24" ht="12" customHeight="1">
      <c r="A7235" s="4">
        <v>7142</v>
      </c>
      <c r="B7235" s="4">
        <v>50950</v>
      </c>
      <c r="C7235" s="5">
        <f t="shared" si="3405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406"/>
        <v>41273</v>
      </c>
      <c r="V7235">
        <f t="shared" si="3384"/>
        <v>30</v>
      </c>
      <c r="W7235">
        <f t="shared" ref="W7235:W7298" si="3407">MONTH(U7235)</f>
        <v>12</v>
      </c>
      <c r="X7235">
        <f t="shared" ref="X7235:X7298" si="3408">YEAR(U7235)</f>
        <v>2012</v>
      </c>
    </row>
    <row r="7236" spans="1:24" ht="12" customHeight="1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406"/>
        <v>41071</v>
      </c>
      <c r="V7236">
        <f t="shared" ref="V7236:V7299" si="3409">DAY(U7236)</f>
        <v>11</v>
      </c>
      <c r="W7236">
        <f t="shared" si="3407"/>
        <v>6</v>
      </c>
      <c r="X7236">
        <f t="shared" si="3408"/>
        <v>2012</v>
      </c>
    </row>
    <row r="7237" spans="1:24" ht="12" customHeight="1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410">C7237+2</f>
        <v>40337</v>
      </c>
      <c r="V7237">
        <f t="shared" si="3409"/>
        <v>8</v>
      </c>
      <c r="W7237">
        <f t="shared" si="3407"/>
        <v>6</v>
      </c>
      <c r="X7237">
        <f t="shared" si="3408"/>
        <v>2010</v>
      </c>
    </row>
    <row r="7238" spans="1:24" ht="12" customHeight="1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410"/>
        <v>40352</v>
      </c>
      <c r="V7238">
        <f t="shared" si="3409"/>
        <v>23</v>
      </c>
      <c r="W7238">
        <f t="shared" si="3407"/>
        <v>6</v>
      </c>
      <c r="X7238">
        <f t="shared" si="3408"/>
        <v>2010</v>
      </c>
    </row>
    <row r="7239" spans="1:24" ht="12" customHeight="1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  <c r="V7239">
        <f t="shared" si="3409"/>
        <v>8</v>
      </c>
      <c r="W7239">
        <f t="shared" si="3407"/>
        <v>5</v>
      </c>
      <c r="X7239">
        <f t="shared" si="3408"/>
        <v>2012</v>
      </c>
    </row>
    <row r="7240" spans="1:24" ht="12" customHeight="1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411">C7240+2</f>
        <v>40233</v>
      </c>
      <c r="V7240">
        <f t="shared" si="3409"/>
        <v>24</v>
      </c>
      <c r="W7240">
        <f t="shared" si="3407"/>
        <v>2</v>
      </c>
      <c r="X7240">
        <f t="shared" si="3408"/>
        <v>2010</v>
      </c>
    </row>
    <row r="7241" spans="1:24" ht="12" customHeight="1">
      <c r="A7241" s="4">
        <v>7214</v>
      </c>
      <c r="B7241" s="4">
        <v>51489</v>
      </c>
      <c r="C7241" s="5">
        <f t="shared" ref="C7241:C7243" si="3412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411"/>
        <v>40973</v>
      </c>
      <c r="V7241">
        <f t="shared" si="3409"/>
        <v>5</v>
      </c>
      <c r="W7241">
        <f t="shared" si="3407"/>
        <v>3</v>
      </c>
      <c r="X7241">
        <f t="shared" si="3408"/>
        <v>2012</v>
      </c>
    </row>
    <row r="7242" spans="1:24" ht="12" customHeight="1">
      <c r="A7242" s="4">
        <v>7215</v>
      </c>
      <c r="B7242" s="4">
        <v>51489</v>
      </c>
      <c r="C7242" s="5">
        <f t="shared" si="3412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411"/>
        <v>40973</v>
      </c>
      <c r="V7242">
        <f t="shared" si="3409"/>
        <v>5</v>
      </c>
      <c r="W7242">
        <f t="shared" si="3407"/>
        <v>3</v>
      </c>
      <c r="X7242">
        <f t="shared" si="3408"/>
        <v>2012</v>
      </c>
    </row>
    <row r="7243" spans="1:24" ht="12" customHeight="1">
      <c r="A7243" s="4">
        <v>7216</v>
      </c>
      <c r="B7243" s="4">
        <v>51489</v>
      </c>
      <c r="C7243" s="5">
        <f t="shared" si="3412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  <c r="V7243">
        <f t="shared" si="3409"/>
        <v>3</v>
      </c>
      <c r="W7243">
        <f t="shared" si="3407"/>
        <v>3</v>
      </c>
      <c r="X7243">
        <f t="shared" si="3408"/>
        <v>2012</v>
      </c>
    </row>
    <row r="7244" spans="1:24" ht="12" customHeight="1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  <c r="V7244">
        <f t="shared" si="3409"/>
        <v>8</v>
      </c>
      <c r="W7244">
        <f t="shared" si="3407"/>
        <v>7</v>
      </c>
      <c r="X7244">
        <f t="shared" si="3408"/>
        <v>2011</v>
      </c>
    </row>
    <row r="7245" spans="1:24" ht="12" customHeight="1">
      <c r="A7245" s="4">
        <v>7283</v>
      </c>
      <c r="B7245" s="4">
        <v>51969</v>
      </c>
      <c r="C7245" s="5">
        <f t="shared" ref="C7245:C7246" si="3413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  <c r="V7245">
        <f t="shared" si="3409"/>
        <v>4</v>
      </c>
      <c r="W7245">
        <f t="shared" si="3407"/>
        <v>9</v>
      </c>
      <c r="X7245">
        <f t="shared" si="3408"/>
        <v>2011</v>
      </c>
    </row>
    <row r="7246" spans="1:24" ht="12" customHeight="1">
      <c r="A7246" s="4">
        <v>7284</v>
      </c>
      <c r="B7246" s="4">
        <v>51969</v>
      </c>
      <c r="C7246" s="5">
        <f t="shared" si="3413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  <c r="V7246">
        <f t="shared" si="3409"/>
        <v>7</v>
      </c>
      <c r="W7246">
        <f t="shared" si="3407"/>
        <v>9</v>
      </c>
      <c r="X7246">
        <f t="shared" si="3408"/>
        <v>2011</v>
      </c>
    </row>
    <row r="7247" spans="1:24" ht="12" customHeight="1">
      <c r="A7247" s="4">
        <v>7292</v>
      </c>
      <c r="B7247" s="4">
        <v>52003</v>
      </c>
      <c r="C7247" s="5">
        <f t="shared" ref="C7247:C7248" si="3414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  <c r="V7247">
        <f t="shared" si="3409"/>
        <v>25</v>
      </c>
      <c r="W7247">
        <f t="shared" si="3407"/>
        <v>2</v>
      </c>
      <c r="X7247">
        <f t="shared" si="3408"/>
        <v>2012</v>
      </c>
    </row>
    <row r="7248" spans="1:24" ht="12" customHeight="1">
      <c r="A7248" s="4">
        <v>7293</v>
      </c>
      <c r="B7248" s="4">
        <v>52003</v>
      </c>
      <c r="C7248" s="5">
        <f t="shared" si="3414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  <c r="V7248">
        <f t="shared" si="3409"/>
        <v>18</v>
      </c>
      <c r="W7248">
        <f t="shared" si="3407"/>
        <v>2</v>
      </c>
      <c r="X7248">
        <f t="shared" si="3408"/>
        <v>2012</v>
      </c>
    </row>
    <row r="7249" spans="1:24" ht="12" customHeight="1">
      <c r="A7249" s="4">
        <v>7323</v>
      </c>
      <c r="B7249" s="4">
        <v>52196</v>
      </c>
      <c r="C7249" s="5">
        <f t="shared" ref="C7249:C7250" si="3415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  <c r="V7249">
        <f t="shared" si="3409"/>
        <v>31</v>
      </c>
      <c r="W7249">
        <f t="shared" si="3407"/>
        <v>1</v>
      </c>
      <c r="X7249">
        <f t="shared" si="3408"/>
        <v>2010</v>
      </c>
    </row>
    <row r="7250" spans="1:24" ht="12" customHeight="1">
      <c r="A7250" s="4">
        <v>7324</v>
      </c>
      <c r="B7250" s="4">
        <v>52196</v>
      </c>
      <c r="C7250" s="5">
        <f t="shared" si="3415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  <c r="V7250">
        <f t="shared" si="3409"/>
        <v>1</v>
      </c>
      <c r="W7250">
        <f t="shared" si="3407"/>
        <v>2</v>
      </c>
      <c r="X7250">
        <f t="shared" si="3408"/>
        <v>2010</v>
      </c>
    </row>
    <row r="7251" spans="1:24" ht="12" customHeight="1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  <c r="V7251">
        <f t="shared" si="3409"/>
        <v>4</v>
      </c>
      <c r="W7251">
        <f t="shared" si="3407"/>
        <v>10</v>
      </c>
      <c r="X7251">
        <f t="shared" si="3408"/>
        <v>2010</v>
      </c>
    </row>
    <row r="7252" spans="1:24" ht="12" customHeight="1">
      <c r="A7252" s="4">
        <v>7359</v>
      </c>
      <c r="B7252" s="4">
        <v>52423</v>
      </c>
      <c r="C7252" s="5">
        <f t="shared" ref="C7252:C7253" si="3416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  <c r="V7252">
        <f t="shared" si="3409"/>
        <v>13</v>
      </c>
      <c r="W7252">
        <f t="shared" si="3407"/>
        <v>4</v>
      </c>
      <c r="X7252">
        <f t="shared" si="3408"/>
        <v>2011</v>
      </c>
    </row>
    <row r="7253" spans="1:24" ht="12" customHeight="1">
      <c r="A7253" s="4">
        <v>7360</v>
      </c>
      <c r="B7253" s="4">
        <v>52423</v>
      </c>
      <c r="C7253" s="5">
        <f t="shared" si="3416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417">C7253+1</f>
        <v>40645</v>
      </c>
      <c r="V7253">
        <f t="shared" si="3409"/>
        <v>12</v>
      </c>
      <c r="W7253">
        <f t="shared" si="3407"/>
        <v>4</v>
      </c>
      <c r="X7253">
        <f t="shared" si="3408"/>
        <v>2011</v>
      </c>
    </row>
    <row r="7254" spans="1:24" ht="12" customHeight="1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417"/>
        <v>40432</v>
      </c>
      <c r="V7254">
        <f t="shared" si="3409"/>
        <v>11</v>
      </c>
      <c r="W7254">
        <f t="shared" si="3407"/>
        <v>9</v>
      </c>
      <c r="X7254">
        <f t="shared" si="3408"/>
        <v>2010</v>
      </c>
    </row>
    <row r="7255" spans="1:24" ht="12" customHeight="1">
      <c r="A7255" s="4">
        <v>7376</v>
      </c>
      <c r="B7255" s="4">
        <v>52580</v>
      </c>
      <c r="C7255" s="5">
        <f t="shared" ref="C7255:C7256" si="3418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419">C7255+2</f>
        <v>41151</v>
      </c>
      <c r="V7255">
        <f t="shared" si="3409"/>
        <v>30</v>
      </c>
      <c r="W7255">
        <f t="shared" si="3407"/>
        <v>8</v>
      </c>
      <c r="X7255">
        <f t="shared" si="3408"/>
        <v>2012</v>
      </c>
    </row>
    <row r="7256" spans="1:24" ht="12" customHeight="1">
      <c r="A7256" s="4">
        <v>7377</v>
      </c>
      <c r="B7256" s="4">
        <v>52580</v>
      </c>
      <c r="C7256" s="5">
        <f t="shared" si="3418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419"/>
        <v>41151</v>
      </c>
      <c r="V7256">
        <f t="shared" si="3409"/>
        <v>30</v>
      </c>
      <c r="W7256">
        <f t="shared" si="3407"/>
        <v>8</v>
      </c>
      <c r="X7256">
        <f t="shared" si="3408"/>
        <v>2012</v>
      </c>
    </row>
    <row r="7257" spans="1:24" ht="12" customHeight="1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  <c r="V7257">
        <f t="shared" si="3409"/>
        <v>4</v>
      </c>
      <c r="W7257">
        <f t="shared" si="3407"/>
        <v>11</v>
      </c>
      <c r="X7257">
        <f t="shared" si="3408"/>
        <v>2011</v>
      </c>
    </row>
    <row r="7258" spans="1:24" ht="12" customHeight="1">
      <c r="A7258" s="4">
        <v>7442</v>
      </c>
      <c r="B7258" s="4">
        <v>53060</v>
      </c>
      <c r="C7258" s="5">
        <f t="shared" ref="C7258:C7259" si="3420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421">C7258+2</f>
        <v>40261</v>
      </c>
      <c r="V7258">
        <f t="shared" si="3409"/>
        <v>24</v>
      </c>
      <c r="W7258">
        <f t="shared" si="3407"/>
        <v>3</v>
      </c>
      <c r="X7258">
        <f t="shared" si="3408"/>
        <v>2010</v>
      </c>
    </row>
    <row r="7259" spans="1:24" ht="12" customHeight="1">
      <c r="A7259" s="4">
        <v>7443</v>
      </c>
      <c r="B7259" s="4">
        <v>53060</v>
      </c>
      <c r="C7259" s="5">
        <f t="shared" si="3420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421"/>
        <v>40261</v>
      </c>
      <c r="V7259">
        <f t="shared" si="3409"/>
        <v>24</v>
      </c>
      <c r="W7259">
        <f t="shared" si="3407"/>
        <v>3</v>
      </c>
      <c r="X7259">
        <f t="shared" si="3408"/>
        <v>2010</v>
      </c>
    </row>
    <row r="7260" spans="1:24" ht="12" customHeight="1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  <c r="V7260">
        <f t="shared" si="3409"/>
        <v>29</v>
      </c>
      <c r="W7260">
        <f t="shared" si="3407"/>
        <v>10</v>
      </c>
      <c r="X7260">
        <f t="shared" si="3408"/>
        <v>2011</v>
      </c>
    </row>
    <row r="7261" spans="1:24" ht="12" customHeight="1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  <c r="V7261">
        <f t="shared" si="3409"/>
        <v>26</v>
      </c>
      <c r="W7261">
        <f t="shared" si="3407"/>
        <v>2</v>
      </c>
      <c r="X7261">
        <f t="shared" si="3408"/>
        <v>2010</v>
      </c>
    </row>
    <row r="7262" spans="1:24" ht="12" customHeight="1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  <c r="V7262">
        <f t="shared" si="3409"/>
        <v>27</v>
      </c>
      <c r="W7262">
        <f t="shared" si="3407"/>
        <v>9</v>
      </c>
      <c r="X7262">
        <f t="shared" si="3408"/>
        <v>2010</v>
      </c>
    </row>
    <row r="7263" spans="1:24" ht="12" customHeight="1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422">C7263+2</f>
        <v>40985</v>
      </c>
      <c r="V7263">
        <f t="shared" si="3409"/>
        <v>17</v>
      </c>
      <c r="W7263">
        <f t="shared" si="3407"/>
        <v>3</v>
      </c>
      <c r="X7263">
        <f t="shared" si="3408"/>
        <v>2012</v>
      </c>
    </row>
    <row r="7264" spans="1:24" ht="12" customHeight="1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422"/>
        <v>41110</v>
      </c>
      <c r="V7264">
        <f t="shared" si="3409"/>
        <v>20</v>
      </c>
      <c r="W7264">
        <f t="shared" si="3407"/>
        <v>7</v>
      </c>
      <c r="X7264">
        <f t="shared" si="3408"/>
        <v>2012</v>
      </c>
    </row>
    <row r="7265" spans="1:24" ht="12" customHeight="1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  <c r="V7265">
        <f t="shared" si="3409"/>
        <v>2</v>
      </c>
      <c r="W7265">
        <f t="shared" si="3407"/>
        <v>6</v>
      </c>
      <c r="X7265">
        <f t="shared" si="3408"/>
        <v>2012</v>
      </c>
    </row>
    <row r="7266" spans="1:24" ht="12" customHeight="1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423">C7266+2</f>
        <v>41160</v>
      </c>
      <c r="V7266">
        <f t="shared" si="3409"/>
        <v>8</v>
      </c>
      <c r="W7266">
        <f t="shared" si="3407"/>
        <v>9</v>
      </c>
      <c r="X7266">
        <f t="shared" si="3408"/>
        <v>2012</v>
      </c>
    </row>
    <row r="7267" spans="1:24" ht="12" customHeight="1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423"/>
        <v>41206</v>
      </c>
      <c r="V7267">
        <f t="shared" si="3409"/>
        <v>24</v>
      </c>
      <c r="W7267">
        <f t="shared" si="3407"/>
        <v>10</v>
      </c>
      <c r="X7267">
        <f t="shared" si="3408"/>
        <v>2012</v>
      </c>
    </row>
    <row r="7268" spans="1:24" ht="12" customHeight="1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423"/>
        <v>40839</v>
      </c>
      <c r="V7268">
        <f t="shared" si="3409"/>
        <v>23</v>
      </c>
      <c r="W7268">
        <f t="shared" si="3407"/>
        <v>10</v>
      </c>
      <c r="X7268">
        <f t="shared" si="3408"/>
        <v>2011</v>
      </c>
    </row>
    <row r="7269" spans="1:24" ht="12" customHeight="1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423"/>
        <v>40285</v>
      </c>
      <c r="V7269">
        <f t="shared" si="3409"/>
        <v>17</v>
      </c>
      <c r="W7269">
        <f t="shared" si="3407"/>
        <v>4</v>
      </c>
      <c r="X7269">
        <f t="shared" si="3408"/>
        <v>2010</v>
      </c>
    </row>
    <row r="7270" spans="1:24" ht="12" customHeight="1">
      <c r="A7270" s="4">
        <v>7610</v>
      </c>
      <c r="B7270" s="4">
        <v>54467</v>
      </c>
      <c r="C7270" s="5">
        <f t="shared" ref="C7270:C7272" si="3424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423"/>
        <v>40471</v>
      </c>
      <c r="V7270">
        <f t="shared" si="3409"/>
        <v>20</v>
      </c>
      <c r="W7270">
        <f t="shared" si="3407"/>
        <v>10</v>
      </c>
      <c r="X7270">
        <f t="shared" si="3408"/>
        <v>2010</v>
      </c>
    </row>
    <row r="7271" spans="1:24" ht="12" customHeight="1">
      <c r="A7271" s="4">
        <v>7611</v>
      </c>
      <c r="B7271" s="4">
        <v>54467</v>
      </c>
      <c r="C7271" s="5">
        <f t="shared" si="3424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423"/>
        <v>40471</v>
      </c>
      <c r="V7271">
        <f t="shared" si="3409"/>
        <v>20</v>
      </c>
      <c r="W7271">
        <f t="shared" si="3407"/>
        <v>10</v>
      </c>
      <c r="X7271">
        <f t="shared" si="3408"/>
        <v>2010</v>
      </c>
    </row>
    <row r="7272" spans="1:24" ht="12" customHeight="1">
      <c r="A7272" s="4">
        <v>7612</v>
      </c>
      <c r="B7272" s="4">
        <v>54467</v>
      </c>
      <c r="C7272" s="5">
        <f t="shared" si="3424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  <c r="V7272">
        <f t="shared" si="3409"/>
        <v>23</v>
      </c>
      <c r="W7272">
        <f t="shared" si="3407"/>
        <v>10</v>
      </c>
      <c r="X7272">
        <f t="shared" si="3408"/>
        <v>2010</v>
      </c>
    </row>
    <row r="7273" spans="1:24" ht="12" customHeight="1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425">C7273+2</f>
        <v>40989</v>
      </c>
      <c r="V7273">
        <f t="shared" si="3409"/>
        <v>21</v>
      </c>
      <c r="W7273">
        <f t="shared" si="3407"/>
        <v>3</v>
      </c>
      <c r="X7273">
        <f t="shared" si="3408"/>
        <v>2012</v>
      </c>
    </row>
    <row r="7274" spans="1:24" ht="12" customHeight="1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425"/>
        <v>40520</v>
      </c>
      <c r="V7274">
        <f t="shared" si="3409"/>
        <v>8</v>
      </c>
      <c r="W7274">
        <f t="shared" si="3407"/>
        <v>12</v>
      </c>
      <c r="X7274">
        <f t="shared" si="3408"/>
        <v>2010</v>
      </c>
    </row>
    <row r="7275" spans="1:24" ht="12" customHeight="1">
      <c r="A7275" s="4">
        <v>7637</v>
      </c>
      <c r="B7275" s="4">
        <v>54692</v>
      </c>
      <c r="C7275" s="5">
        <f t="shared" ref="C7275:C7276" si="3426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  <c r="V7275">
        <f t="shared" si="3409"/>
        <v>5</v>
      </c>
      <c r="W7275">
        <f t="shared" si="3407"/>
        <v>3</v>
      </c>
      <c r="X7275">
        <f t="shared" si="3408"/>
        <v>2010</v>
      </c>
    </row>
    <row r="7276" spans="1:24" ht="12" customHeight="1">
      <c r="A7276" s="4">
        <v>7638</v>
      </c>
      <c r="B7276" s="4">
        <v>54692</v>
      </c>
      <c r="C7276" s="5">
        <f t="shared" si="3426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  <c r="V7276">
        <f t="shared" si="3409"/>
        <v>7</v>
      </c>
      <c r="W7276">
        <f t="shared" si="3407"/>
        <v>3</v>
      </c>
      <c r="X7276">
        <f t="shared" si="3408"/>
        <v>2010</v>
      </c>
    </row>
    <row r="7277" spans="1:24" ht="12" customHeight="1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427">C7277+1</f>
        <v>40526</v>
      </c>
      <c r="V7277">
        <f t="shared" si="3409"/>
        <v>14</v>
      </c>
      <c r="W7277">
        <f t="shared" si="3407"/>
        <v>12</v>
      </c>
      <c r="X7277">
        <f t="shared" si="3408"/>
        <v>2010</v>
      </c>
    </row>
    <row r="7278" spans="1:24" ht="12" customHeight="1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427"/>
        <v>41126</v>
      </c>
      <c r="V7278">
        <f t="shared" si="3409"/>
        <v>5</v>
      </c>
      <c r="W7278">
        <f t="shared" si="3407"/>
        <v>8</v>
      </c>
      <c r="X7278">
        <f t="shared" si="3408"/>
        <v>2012</v>
      </c>
    </row>
    <row r="7279" spans="1:24" ht="12" customHeight="1">
      <c r="A7279" s="4">
        <v>7668</v>
      </c>
      <c r="B7279" s="4">
        <v>54977</v>
      </c>
      <c r="C7279" s="5">
        <f t="shared" ref="C7279:C7280" si="3428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  <c r="V7279">
        <f t="shared" si="3409"/>
        <v>14</v>
      </c>
      <c r="W7279">
        <f t="shared" si="3407"/>
        <v>7</v>
      </c>
      <c r="X7279">
        <f t="shared" si="3408"/>
        <v>2011</v>
      </c>
    </row>
    <row r="7280" spans="1:24" ht="12" customHeight="1">
      <c r="A7280" s="4">
        <v>7669</v>
      </c>
      <c r="B7280" s="4">
        <v>54977</v>
      </c>
      <c r="C7280" s="5">
        <f t="shared" si="3428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  <c r="V7280">
        <f t="shared" si="3409"/>
        <v>15</v>
      </c>
      <c r="W7280">
        <f t="shared" si="3407"/>
        <v>7</v>
      </c>
      <c r="X7280">
        <f t="shared" si="3408"/>
        <v>2011</v>
      </c>
    </row>
    <row r="7281" spans="1:24" ht="12" customHeight="1">
      <c r="A7281" s="4">
        <v>7676</v>
      </c>
      <c r="B7281" s="4">
        <v>55040</v>
      </c>
      <c r="C7281" s="5">
        <f t="shared" ref="C7281:C7284" si="3429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  <c r="V7281">
        <f t="shared" si="3409"/>
        <v>14</v>
      </c>
      <c r="W7281">
        <f t="shared" si="3407"/>
        <v>4</v>
      </c>
      <c r="X7281">
        <f t="shared" si="3408"/>
        <v>2009</v>
      </c>
    </row>
    <row r="7282" spans="1:24" ht="12" customHeight="1">
      <c r="A7282" s="4">
        <v>7677</v>
      </c>
      <c r="B7282" s="4">
        <v>55040</v>
      </c>
      <c r="C7282" s="5">
        <f t="shared" si="3429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  <c r="V7282">
        <f t="shared" si="3409"/>
        <v>12</v>
      </c>
      <c r="W7282">
        <f t="shared" si="3407"/>
        <v>4</v>
      </c>
      <c r="X7282">
        <f t="shared" si="3408"/>
        <v>2009</v>
      </c>
    </row>
    <row r="7283" spans="1:24" ht="12" customHeight="1">
      <c r="A7283" s="4">
        <v>7678</v>
      </c>
      <c r="B7283" s="4">
        <v>55040</v>
      </c>
      <c r="C7283" s="5">
        <f t="shared" si="3429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430">C7283+2</f>
        <v>39917</v>
      </c>
      <c r="V7283">
        <f t="shared" si="3409"/>
        <v>14</v>
      </c>
      <c r="W7283">
        <f t="shared" si="3407"/>
        <v>4</v>
      </c>
      <c r="X7283">
        <f t="shared" si="3408"/>
        <v>2009</v>
      </c>
    </row>
    <row r="7284" spans="1:24" ht="12" customHeight="1">
      <c r="A7284" s="4">
        <v>7679</v>
      </c>
      <c r="B7284" s="4">
        <v>55040</v>
      </c>
      <c r="C7284" s="5">
        <f t="shared" si="3429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430"/>
        <v>39917</v>
      </c>
      <c r="V7284">
        <f t="shared" si="3409"/>
        <v>14</v>
      </c>
      <c r="W7284">
        <f t="shared" si="3407"/>
        <v>4</v>
      </c>
      <c r="X7284">
        <f t="shared" si="3408"/>
        <v>2009</v>
      </c>
    </row>
    <row r="7285" spans="1:24" ht="12" customHeight="1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  <c r="V7285">
        <f t="shared" si="3409"/>
        <v>18</v>
      </c>
      <c r="W7285">
        <f t="shared" si="3407"/>
        <v>1</v>
      </c>
      <c r="X7285">
        <f t="shared" si="3408"/>
        <v>2010</v>
      </c>
    </row>
    <row r="7286" spans="1:24" ht="12" customHeight="1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431">C7286+0</f>
        <v>40279</v>
      </c>
      <c r="V7286">
        <f t="shared" si="3409"/>
        <v>11</v>
      </c>
      <c r="W7286">
        <f t="shared" si="3407"/>
        <v>4</v>
      </c>
      <c r="X7286">
        <f t="shared" si="3408"/>
        <v>2010</v>
      </c>
    </row>
    <row r="7287" spans="1:24" ht="12" customHeight="1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431"/>
        <v>40037</v>
      </c>
      <c r="V7287">
        <f t="shared" si="3409"/>
        <v>12</v>
      </c>
      <c r="W7287">
        <f t="shared" si="3407"/>
        <v>8</v>
      </c>
      <c r="X7287">
        <f t="shared" si="3408"/>
        <v>2009</v>
      </c>
    </row>
    <row r="7288" spans="1:24" ht="12" customHeight="1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  <c r="V7288">
        <f t="shared" si="3409"/>
        <v>9</v>
      </c>
      <c r="W7288">
        <f t="shared" si="3407"/>
        <v>6</v>
      </c>
      <c r="X7288">
        <f t="shared" si="3408"/>
        <v>2012</v>
      </c>
    </row>
    <row r="7289" spans="1:24" ht="12" customHeight="1">
      <c r="A7289" s="4">
        <v>7756</v>
      </c>
      <c r="B7289" s="4">
        <v>55494</v>
      </c>
      <c r="C7289" s="5">
        <f t="shared" ref="C7289:C7290" si="3432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  <c r="V7289">
        <f t="shared" si="3409"/>
        <v>27</v>
      </c>
      <c r="W7289">
        <f t="shared" si="3407"/>
        <v>6</v>
      </c>
      <c r="X7289">
        <f t="shared" si="3408"/>
        <v>2012</v>
      </c>
    </row>
    <row r="7290" spans="1:24" ht="12" customHeight="1">
      <c r="A7290" s="4">
        <v>7757</v>
      </c>
      <c r="B7290" s="4">
        <v>55494</v>
      </c>
      <c r="C7290" s="5">
        <f t="shared" si="3432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433">C7290+1</f>
        <v>41086</v>
      </c>
      <c r="V7290">
        <f t="shared" si="3409"/>
        <v>26</v>
      </c>
      <c r="W7290">
        <f t="shared" si="3407"/>
        <v>6</v>
      </c>
      <c r="X7290">
        <f t="shared" si="3408"/>
        <v>2012</v>
      </c>
    </row>
    <row r="7291" spans="1:24" ht="12" customHeight="1">
      <c r="A7291" s="4">
        <v>7762</v>
      </c>
      <c r="B7291" s="4">
        <v>55554</v>
      </c>
      <c r="C7291" s="5">
        <f t="shared" ref="C7291:C7293" si="3434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433"/>
        <v>40134</v>
      </c>
      <c r="V7291">
        <f t="shared" si="3409"/>
        <v>17</v>
      </c>
      <c r="W7291">
        <f t="shared" si="3407"/>
        <v>11</v>
      </c>
      <c r="X7291">
        <f t="shared" si="3408"/>
        <v>2009</v>
      </c>
    </row>
    <row r="7292" spans="1:24" ht="12" customHeight="1">
      <c r="A7292" s="4">
        <v>7763</v>
      </c>
      <c r="B7292" s="4">
        <v>55554</v>
      </c>
      <c r="C7292" s="5">
        <f t="shared" si="3434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  <c r="V7292">
        <f t="shared" si="3409"/>
        <v>19</v>
      </c>
      <c r="W7292">
        <f t="shared" si="3407"/>
        <v>11</v>
      </c>
      <c r="X7292">
        <f t="shared" si="3408"/>
        <v>2009</v>
      </c>
    </row>
    <row r="7293" spans="1:24" ht="12" customHeight="1">
      <c r="A7293" s="4">
        <v>7764</v>
      </c>
      <c r="B7293" s="4">
        <v>55554</v>
      </c>
      <c r="C7293" s="5">
        <f t="shared" si="3434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435">C7293+1</f>
        <v>40134</v>
      </c>
      <c r="V7293">
        <f t="shared" si="3409"/>
        <v>17</v>
      </c>
      <c r="W7293">
        <f t="shared" si="3407"/>
        <v>11</v>
      </c>
      <c r="X7293">
        <f t="shared" si="3408"/>
        <v>2009</v>
      </c>
    </row>
    <row r="7294" spans="1:24" ht="12" customHeight="1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435"/>
        <v>40976</v>
      </c>
      <c r="V7294">
        <f t="shared" si="3409"/>
        <v>8</v>
      </c>
      <c r="W7294">
        <f t="shared" si="3407"/>
        <v>3</v>
      </c>
      <c r="X7294">
        <f t="shared" si="3408"/>
        <v>2012</v>
      </c>
    </row>
    <row r="7295" spans="1:24" ht="12" customHeight="1">
      <c r="A7295" s="4">
        <v>7836</v>
      </c>
      <c r="B7295" s="4">
        <v>56006</v>
      </c>
      <c r="C7295" s="5">
        <f t="shared" ref="C7295:C7296" si="3436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  <c r="V7295">
        <f t="shared" si="3409"/>
        <v>1</v>
      </c>
      <c r="W7295">
        <f t="shared" si="3407"/>
        <v>10</v>
      </c>
      <c r="X7295">
        <f t="shared" si="3408"/>
        <v>2011</v>
      </c>
    </row>
    <row r="7296" spans="1:24" ht="12" customHeight="1">
      <c r="A7296" s="4">
        <v>7837</v>
      </c>
      <c r="B7296" s="4">
        <v>56006</v>
      </c>
      <c r="C7296" s="5">
        <f t="shared" si="3436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437">C7296+2</f>
        <v>40819</v>
      </c>
      <c r="V7296">
        <f t="shared" si="3409"/>
        <v>3</v>
      </c>
      <c r="W7296">
        <f t="shared" si="3407"/>
        <v>10</v>
      </c>
      <c r="X7296">
        <f t="shared" si="3408"/>
        <v>2011</v>
      </c>
    </row>
    <row r="7297" spans="1:24" ht="12" customHeight="1">
      <c r="A7297" s="4">
        <v>7850</v>
      </c>
      <c r="B7297" s="4">
        <v>56130</v>
      </c>
      <c r="C7297" s="5">
        <f t="shared" ref="C7297:C7298" si="3438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437"/>
        <v>40878</v>
      </c>
      <c r="V7297">
        <f t="shared" si="3409"/>
        <v>1</v>
      </c>
      <c r="W7297">
        <f t="shared" si="3407"/>
        <v>12</v>
      </c>
      <c r="X7297">
        <f t="shared" si="3408"/>
        <v>2011</v>
      </c>
    </row>
    <row r="7298" spans="1:24" ht="12" customHeight="1">
      <c r="A7298" s="4">
        <v>7851</v>
      </c>
      <c r="B7298" s="4">
        <v>56130</v>
      </c>
      <c r="C7298" s="5">
        <f t="shared" si="3438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437"/>
        <v>40878</v>
      </c>
      <c r="V7298">
        <f t="shared" si="3409"/>
        <v>1</v>
      </c>
      <c r="W7298">
        <f t="shared" si="3407"/>
        <v>12</v>
      </c>
      <c r="X7298">
        <f t="shared" si="3408"/>
        <v>2011</v>
      </c>
    </row>
    <row r="7299" spans="1:24" ht="12" customHeight="1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437"/>
        <v>40660</v>
      </c>
      <c r="V7299">
        <f t="shared" si="3409"/>
        <v>27</v>
      </c>
      <c r="W7299">
        <f t="shared" ref="W7299:W7362" si="3439">MONTH(U7299)</f>
        <v>4</v>
      </c>
      <c r="X7299">
        <f t="shared" ref="X7299:X7362" si="3440">YEAR(U7299)</f>
        <v>2011</v>
      </c>
    </row>
    <row r="7300" spans="1:24" ht="12" customHeight="1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437"/>
        <v>40968</v>
      </c>
      <c r="V7300">
        <f t="shared" ref="V7300:V7363" si="3441">DAY(U7300)</f>
        <v>29</v>
      </c>
      <c r="W7300">
        <f t="shared" si="3439"/>
        <v>2</v>
      </c>
      <c r="X7300">
        <f t="shared" si="3440"/>
        <v>2012</v>
      </c>
    </row>
    <row r="7301" spans="1:24" ht="12" customHeight="1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437"/>
        <v>40971</v>
      </c>
      <c r="V7301">
        <f t="shared" si="3441"/>
        <v>3</v>
      </c>
      <c r="W7301">
        <f t="shared" si="3439"/>
        <v>3</v>
      </c>
      <c r="X7301">
        <f t="shared" si="3440"/>
        <v>2012</v>
      </c>
    </row>
    <row r="7302" spans="1:24" ht="12" customHeight="1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  <c r="V7302">
        <f t="shared" si="3441"/>
        <v>15</v>
      </c>
      <c r="W7302">
        <f t="shared" si="3439"/>
        <v>2</v>
      </c>
      <c r="X7302">
        <f t="shared" si="3440"/>
        <v>2009</v>
      </c>
    </row>
    <row r="7303" spans="1:24" ht="12" customHeight="1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  <c r="V7303">
        <f t="shared" si="3441"/>
        <v>19</v>
      </c>
      <c r="W7303">
        <f t="shared" si="3439"/>
        <v>2</v>
      </c>
      <c r="X7303">
        <f t="shared" si="3440"/>
        <v>2009</v>
      </c>
    </row>
    <row r="7304" spans="1:24" ht="12" customHeight="1">
      <c r="A7304" s="4">
        <v>7896</v>
      </c>
      <c r="B7304" s="4">
        <v>56484</v>
      </c>
      <c r="C7304" s="5">
        <f t="shared" ref="C7304:C7305" si="3442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443">C7304+1</f>
        <v>40869</v>
      </c>
      <c r="V7304">
        <f t="shared" si="3441"/>
        <v>22</v>
      </c>
      <c r="W7304">
        <f t="shared" si="3439"/>
        <v>11</v>
      </c>
      <c r="X7304">
        <f t="shared" si="3440"/>
        <v>2011</v>
      </c>
    </row>
    <row r="7305" spans="1:24" ht="12" customHeight="1">
      <c r="A7305" s="4">
        <v>7897</v>
      </c>
      <c r="B7305" s="4">
        <v>56484</v>
      </c>
      <c r="C7305" s="5">
        <f t="shared" si="3442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443"/>
        <v>40869</v>
      </c>
      <c r="V7305">
        <f t="shared" si="3441"/>
        <v>22</v>
      </c>
      <c r="W7305">
        <f t="shared" si="3439"/>
        <v>11</v>
      </c>
      <c r="X7305">
        <f t="shared" si="3440"/>
        <v>2011</v>
      </c>
    </row>
    <row r="7306" spans="1:24" ht="12" customHeight="1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443"/>
        <v>41208</v>
      </c>
      <c r="V7306">
        <f t="shared" si="3441"/>
        <v>26</v>
      </c>
      <c r="W7306">
        <f t="shared" si="3439"/>
        <v>10</v>
      </c>
      <c r="X7306">
        <f t="shared" si="3440"/>
        <v>2012</v>
      </c>
    </row>
    <row r="7307" spans="1:24" ht="12" customHeight="1">
      <c r="A7307" s="4">
        <v>7941</v>
      </c>
      <c r="B7307" s="4">
        <v>56740</v>
      </c>
      <c r="C7307" s="5">
        <f t="shared" ref="C7307:C7308" si="3444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  <c r="V7307">
        <f t="shared" si="3441"/>
        <v>18</v>
      </c>
      <c r="W7307">
        <f t="shared" si="3439"/>
        <v>10</v>
      </c>
      <c r="X7307">
        <f t="shared" si="3440"/>
        <v>2012</v>
      </c>
    </row>
    <row r="7308" spans="1:24" ht="12" customHeight="1">
      <c r="A7308" s="4">
        <v>7942</v>
      </c>
      <c r="B7308" s="4">
        <v>56740</v>
      </c>
      <c r="C7308" s="5">
        <f t="shared" si="3444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  <c r="V7308">
        <f t="shared" si="3441"/>
        <v>20</v>
      </c>
      <c r="W7308">
        <f t="shared" si="3439"/>
        <v>10</v>
      </c>
      <c r="X7308">
        <f t="shared" si="3440"/>
        <v>2012</v>
      </c>
    </row>
    <row r="7309" spans="1:24" ht="12" customHeight="1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  <c r="V7309">
        <f t="shared" si="3441"/>
        <v>30</v>
      </c>
      <c r="W7309">
        <f t="shared" si="3439"/>
        <v>5</v>
      </c>
      <c r="X7309">
        <f t="shared" si="3440"/>
        <v>2012</v>
      </c>
    </row>
    <row r="7310" spans="1:24" ht="12" customHeight="1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  <c r="V7310">
        <f t="shared" si="3441"/>
        <v>10</v>
      </c>
      <c r="W7310">
        <f t="shared" si="3439"/>
        <v>12</v>
      </c>
      <c r="X7310">
        <f t="shared" si="3440"/>
        <v>2011</v>
      </c>
    </row>
    <row r="7311" spans="1:24" ht="12" customHeight="1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  <c r="V7311">
        <f t="shared" si="3441"/>
        <v>25</v>
      </c>
      <c r="W7311">
        <f t="shared" si="3439"/>
        <v>7</v>
      </c>
      <c r="X7311">
        <f t="shared" si="3440"/>
        <v>2010</v>
      </c>
    </row>
    <row r="7312" spans="1:24" ht="12" customHeight="1">
      <c r="A7312" s="4">
        <v>8004</v>
      </c>
      <c r="B7312" s="4">
        <v>57190</v>
      </c>
      <c r="C7312" s="5">
        <f t="shared" ref="C7312:C7313" si="3445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  <c r="V7312">
        <f t="shared" si="3441"/>
        <v>28</v>
      </c>
      <c r="W7312">
        <f t="shared" si="3439"/>
        <v>5</v>
      </c>
      <c r="X7312">
        <f t="shared" si="3440"/>
        <v>2010</v>
      </c>
    </row>
    <row r="7313" spans="1:24" ht="12" customHeight="1">
      <c r="A7313" s="4">
        <v>8005</v>
      </c>
      <c r="B7313" s="4">
        <v>57190</v>
      </c>
      <c r="C7313" s="5">
        <f t="shared" si="3445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  <c r="V7313">
        <f t="shared" si="3441"/>
        <v>29</v>
      </c>
      <c r="W7313">
        <f t="shared" si="3439"/>
        <v>5</v>
      </c>
      <c r="X7313">
        <f t="shared" si="3440"/>
        <v>2010</v>
      </c>
    </row>
    <row r="7314" spans="1:24" ht="12" customHeight="1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446">C7314+2</f>
        <v>40103</v>
      </c>
      <c r="V7314">
        <f t="shared" si="3441"/>
        <v>17</v>
      </c>
      <c r="W7314">
        <f t="shared" si="3439"/>
        <v>10</v>
      </c>
      <c r="X7314">
        <f t="shared" si="3440"/>
        <v>2009</v>
      </c>
    </row>
    <row r="7315" spans="1:24" ht="12" customHeight="1">
      <c r="A7315" s="4">
        <v>8022</v>
      </c>
      <c r="B7315" s="4">
        <v>57318</v>
      </c>
      <c r="C7315" s="5">
        <f t="shared" ref="C7315:C7316" si="3447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446"/>
        <v>40190</v>
      </c>
      <c r="V7315">
        <f t="shared" si="3441"/>
        <v>12</v>
      </c>
      <c r="W7315">
        <f t="shared" si="3439"/>
        <v>1</v>
      </c>
      <c r="X7315">
        <f t="shared" si="3440"/>
        <v>2010</v>
      </c>
    </row>
    <row r="7316" spans="1:24" ht="12" customHeight="1">
      <c r="A7316" s="4">
        <v>8023</v>
      </c>
      <c r="B7316" s="4">
        <v>57318</v>
      </c>
      <c r="C7316" s="5">
        <f t="shared" si="3447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446"/>
        <v>40190</v>
      </c>
      <c r="V7316">
        <f t="shared" si="3441"/>
        <v>12</v>
      </c>
      <c r="W7316">
        <f t="shared" si="3439"/>
        <v>1</v>
      </c>
      <c r="X7316">
        <f t="shared" si="3440"/>
        <v>2010</v>
      </c>
    </row>
    <row r="7317" spans="1:24" ht="12" customHeight="1">
      <c r="A7317" s="4">
        <v>8025</v>
      </c>
      <c r="B7317" s="4">
        <v>57350</v>
      </c>
      <c r="C7317" s="5">
        <f t="shared" ref="C7317:C7318" si="3448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449">C7317+1</f>
        <v>40689</v>
      </c>
      <c r="V7317">
        <f t="shared" si="3441"/>
        <v>26</v>
      </c>
      <c r="W7317">
        <f t="shared" si="3439"/>
        <v>5</v>
      </c>
      <c r="X7317">
        <f t="shared" si="3440"/>
        <v>2011</v>
      </c>
    </row>
    <row r="7318" spans="1:24" ht="12" customHeight="1">
      <c r="A7318" s="4">
        <v>8026</v>
      </c>
      <c r="B7318" s="4">
        <v>57350</v>
      </c>
      <c r="C7318" s="5">
        <f t="shared" si="3448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449"/>
        <v>40689</v>
      </c>
      <c r="V7318">
        <f t="shared" si="3441"/>
        <v>26</v>
      </c>
      <c r="W7318">
        <f t="shared" si="3439"/>
        <v>5</v>
      </c>
      <c r="X7318">
        <f t="shared" si="3440"/>
        <v>2011</v>
      </c>
    </row>
    <row r="7319" spans="1:24" ht="12" customHeight="1">
      <c r="A7319" s="4">
        <v>8032</v>
      </c>
      <c r="B7319" s="4">
        <v>57381</v>
      </c>
      <c r="C7319" s="5">
        <f t="shared" ref="C7319:C7320" si="3450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449"/>
        <v>40033</v>
      </c>
      <c r="V7319">
        <f t="shared" si="3441"/>
        <v>8</v>
      </c>
      <c r="W7319">
        <f t="shared" si="3439"/>
        <v>8</v>
      </c>
      <c r="X7319">
        <f t="shared" si="3440"/>
        <v>2009</v>
      </c>
    </row>
    <row r="7320" spans="1:24" ht="12" customHeight="1">
      <c r="A7320" s="4">
        <v>8033</v>
      </c>
      <c r="B7320" s="4">
        <v>57381</v>
      </c>
      <c r="C7320" s="5">
        <f t="shared" si="3450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  <c r="V7320">
        <f t="shared" si="3441"/>
        <v>7</v>
      </c>
      <c r="W7320">
        <f t="shared" si="3439"/>
        <v>8</v>
      </c>
      <c r="X7320">
        <f t="shared" si="3440"/>
        <v>2009</v>
      </c>
    </row>
    <row r="7321" spans="1:24" ht="12" customHeight="1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451">C7321+1</f>
        <v>40678</v>
      </c>
      <c r="V7321">
        <f t="shared" si="3441"/>
        <v>15</v>
      </c>
      <c r="W7321">
        <f t="shared" si="3439"/>
        <v>5</v>
      </c>
      <c r="X7321">
        <f t="shared" si="3440"/>
        <v>2011</v>
      </c>
    </row>
    <row r="7322" spans="1:24" ht="12" customHeight="1">
      <c r="A7322" s="4">
        <v>8048</v>
      </c>
      <c r="B7322" s="4">
        <v>57476</v>
      </c>
      <c r="C7322" s="5">
        <f t="shared" ref="C7322:C7323" si="3452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451"/>
        <v>39889</v>
      </c>
      <c r="V7322">
        <f t="shared" si="3441"/>
        <v>17</v>
      </c>
      <c r="W7322">
        <f t="shared" si="3439"/>
        <v>3</v>
      </c>
      <c r="X7322">
        <f t="shared" si="3440"/>
        <v>2009</v>
      </c>
    </row>
    <row r="7323" spans="1:24" ht="12" customHeight="1">
      <c r="A7323" s="4">
        <v>8049</v>
      </c>
      <c r="B7323" s="4">
        <v>57476</v>
      </c>
      <c r="C7323" s="5">
        <f t="shared" si="3452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  <c r="V7323">
        <f t="shared" si="3441"/>
        <v>18</v>
      </c>
      <c r="W7323">
        <f t="shared" si="3439"/>
        <v>3</v>
      </c>
      <c r="X7323">
        <f t="shared" si="3440"/>
        <v>2009</v>
      </c>
    </row>
    <row r="7324" spans="1:24" ht="12" customHeight="1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453">C7324+1</f>
        <v>40581</v>
      </c>
      <c r="V7324">
        <f t="shared" si="3441"/>
        <v>7</v>
      </c>
      <c r="W7324">
        <f t="shared" si="3439"/>
        <v>2</v>
      </c>
      <c r="X7324">
        <f t="shared" si="3440"/>
        <v>2011</v>
      </c>
    </row>
    <row r="7325" spans="1:24" ht="12" customHeight="1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453"/>
        <v>40399</v>
      </c>
      <c r="V7325">
        <f t="shared" si="3441"/>
        <v>9</v>
      </c>
      <c r="W7325">
        <f t="shared" si="3439"/>
        <v>8</v>
      </c>
      <c r="X7325">
        <f t="shared" si="3440"/>
        <v>2010</v>
      </c>
    </row>
    <row r="7326" spans="1:24" ht="12" customHeight="1">
      <c r="A7326" s="4">
        <v>8093</v>
      </c>
      <c r="B7326" s="4">
        <v>57734</v>
      </c>
      <c r="C7326" s="5">
        <f t="shared" ref="C7326:C7327" si="3454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455">C7326+2</f>
        <v>40074</v>
      </c>
      <c r="V7326">
        <f t="shared" si="3441"/>
        <v>18</v>
      </c>
      <c r="W7326">
        <f t="shared" si="3439"/>
        <v>9</v>
      </c>
      <c r="X7326">
        <f t="shared" si="3440"/>
        <v>2009</v>
      </c>
    </row>
    <row r="7327" spans="1:24" ht="12" customHeight="1">
      <c r="A7327" s="4">
        <v>8094</v>
      </c>
      <c r="B7327" s="4">
        <v>57734</v>
      </c>
      <c r="C7327" s="5">
        <f t="shared" si="3454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455"/>
        <v>40074</v>
      </c>
      <c r="V7327">
        <f t="shared" si="3441"/>
        <v>18</v>
      </c>
      <c r="W7327">
        <f t="shared" si="3439"/>
        <v>9</v>
      </c>
      <c r="X7327">
        <f t="shared" si="3440"/>
        <v>2009</v>
      </c>
    </row>
    <row r="7328" spans="1:24" ht="12" customHeight="1">
      <c r="A7328" s="4">
        <v>8095</v>
      </c>
      <c r="B7328" s="4">
        <v>57760</v>
      </c>
      <c r="C7328" s="5">
        <f t="shared" ref="C7328:C7329" si="3456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455"/>
        <v>40738</v>
      </c>
      <c r="V7328">
        <f t="shared" si="3441"/>
        <v>14</v>
      </c>
      <c r="W7328">
        <f t="shared" si="3439"/>
        <v>7</v>
      </c>
      <c r="X7328">
        <f t="shared" si="3440"/>
        <v>2011</v>
      </c>
    </row>
    <row r="7329" spans="1:24" ht="12" customHeight="1">
      <c r="A7329" s="4">
        <v>8096</v>
      </c>
      <c r="B7329" s="4">
        <v>57760</v>
      </c>
      <c r="C7329" s="5">
        <f t="shared" si="3456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455"/>
        <v>40738</v>
      </c>
      <c r="V7329">
        <f t="shared" si="3441"/>
        <v>14</v>
      </c>
      <c r="W7329">
        <f t="shared" si="3439"/>
        <v>7</v>
      </c>
      <c r="X7329">
        <f t="shared" si="3440"/>
        <v>2011</v>
      </c>
    </row>
    <row r="7330" spans="1:24" ht="12" customHeight="1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457">C7330+0</f>
        <v>40529</v>
      </c>
      <c r="V7330">
        <f t="shared" si="3441"/>
        <v>17</v>
      </c>
      <c r="W7330">
        <f t="shared" si="3439"/>
        <v>12</v>
      </c>
      <c r="X7330">
        <f t="shared" si="3440"/>
        <v>2010</v>
      </c>
    </row>
    <row r="7331" spans="1:24" ht="12" customHeight="1">
      <c r="A7331" s="4">
        <v>8125</v>
      </c>
      <c r="B7331" s="4">
        <v>58084</v>
      </c>
      <c r="C7331" s="5">
        <f t="shared" ref="C7331:C7332" si="3458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457"/>
        <v>41140</v>
      </c>
      <c r="V7331">
        <f t="shared" si="3441"/>
        <v>19</v>
      </c>
      <c r="W7331">
        <f t="shared" si="3439"/>
        <v>8</v>
      </c>
      <c r="X7331">
        <f t="shared" si="3440"/>
        <v>2012</v>
      </c>
    </row>
    <row r="7332" spans="1:24" ht="12" customHeight="1">
      <c r="A7332" s="4">
        <v>8126</v>
      </c>
      <c r="B7332" s="4">
        <v>58084</v>
      </c>
      <c r="C7332" s="5">
        <f t="shared" si="3458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  <c r="V7332">
        <f t="shared" si="3441"/>
        <v>21</v>
      </c>
      <c r="W7332">
        <f t="shared" si="3439"/>
        <v>8</v>
      </c>
      <c r="X7332">
        <f t="shared" si="3440"/>
        <v>2012</v>
      </c>
    </row>
    <row r="7333" spans="1:24" ht="12" customHeight="1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  <c r="V7333">
        <f t="shared" si="3441"/>
        <v>6</v>
      </c>
      <c r="W7333">
        <f t="shared" si="3439"/>
        <v>9</v>
      </c>
      <c r="X7333">
        <f t="shared" si="3440"/>
        <v>2011</v>
      </c>
    </row>
    <row r="7334" spans="1:24" ht="12" customHeight="1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  <c r="V7334">
        <f t="shared" si="3441"/>
        <v>11</v>
      </c>
      <c r="W7334">
        <f t="shared" si="3439"/>
        <v>4</v>
      </c>
      <c r="X7334">
        <f t="shared" si="3440"/>
        <v>2009</v>
      </c>
    </row>
    <row r="7335" spans="1:24" ht="12" customHeight="1">
      <c r="A7335" s="4">
        <v>8165</v>
      </c>
      <c r="B7335" s="4">
        <v>58369</v>
      </c>
      <c r="C7335" s="5">
        <f t="shared" ref="C7335:C7336" si="3459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  <c r="V7335">
        <f t="shared" si="3441"/>
        <v>31</v>
      </c>
      <c r="W7335">
        <f t="shared" si="3439"/>
        <v>8</v>
      </c>
      <c r="X7335">
        <f t="shared" si="3440"/>
        <v>2012</v>
      </c>
    </row>
    <row r="7336" spans="1:24" ht="12" customHeight="1">
      <c r="A7336" s="4">
        <v>8166</v>
      </c>
      <c r="B7336" s="4">
        <v>58369</v>
      </c>
      <c r="C7336" s="5">
        <f t="shared" si="3459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  <c r="V7336">
        <f t="shared" si="3441"/>
        <v>30</v>
      </c>
      <c r="W7336">
        <f t="shared" si="3439"/>
        <v>8</v>
      </c>
      <c r="X7336">
        <f t="shared" si="3440"/>
        <v>2012</v>
      </c>
    </row>
    <row r="7337" spans="1:24" ht="12" customHeight="1">
      <c r="A7337" s="4">
        <v>8167</v>
      </c>
      <c r="B7337" s="4">
        <v>58371</v>
      </c>
      <c r="C7337" s="5">
        <f t="shared" ref="C7337:C7339" si="3460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  <c r="V7337">
        <f t="shared" si="3441"/>
        <v>13</v>
      </c>
      <c r="W7337">
        <f t="shared" si="3439"/>
        <v>5</v>
      </c>
      <c r="X7337">
        <f t="shared" si="3440"/>
        <v>2010</v>
      </c>
    </row>
    <row r="7338" spans="1:24" ht="12" customHeight="1">
      <c r="A7338" s="4">
        <v>8168</v>
      </c>
      <c r="B7338" s="4">
        <v>58371</v>
      </c>
      <c r="C7338" s="5">
        <f t="shared" si="3460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  <c r="V7338">
        <f t="shared" si="3441"/>
        <v>12</v>
      </c>
      <c r="W7338">
        <f t="shared" si="3439"/>
        <v>5</v>
      </c>
      <c r="X7338">
        <f t="shared" si="3440"/>
        <v>2010</v>
      </c>
    </row>
    <row r="7339" spans="1:24" ht="12" customHeight="1">
      <c r="A7339" s="4">
        <v>8169</v>
      </c>
      <c r="B7339" s="4">
        <v>58371</v>
      </c>
      <c r="C7339" s="5">
        <f t="shared" si="3460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  <c r="V7339">
        <f t="shared" si="3441"/>
        <v>13</v>
      </c>
      <c r="W7339">
        <f t="shared" si="3439"/>
        <v>5</v>
      </c>
      <c r="X7339">
        <f t="shared" si="3440"/>
        <v>2010</v>
      </c>
    </row>
    <row r="7340" spans="1:24" ht="12" customHeight="1">
      <c r="A7340" s="4">
        <v>8173</v>
      </c>
      <c r="B7340" s="4">
        <v>58433</v>
      </c>
      <c r="C7340" s="5">
        <f t="shared" ref="C7340:C7342" si="3461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  <c r="V7340">
        <f t="shared" si="3441"/>
        <v>2</v>
      </c>
      <c r="W7340">
        <f t="shared" si="3439"/>
        <v>7</v>
      </c>
      <c r="X7340">
        <f t="shared" si="3440"/>
        <v>2011</v>
      </c>
    </row>
    <row r="7341" spans="1:24" ht="12" customHeight="1">
      <c r="A7341" s="4">
        <v>8174</v>
      </c>
      <c r="B7341" s="4">
        <v>58433</v>
      </c>
      <c r="C7341" s="5">
        <f t="shared" si="3461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462">C7341+2</f>
        <v>40727</v>
      </c>
      <c r="V7341">
        <f t="shared" si="3441"/>
        <v>3</v>
      </c>
      <c r="W7341">
        <f t="shared" si="3439"/>
        <v>7</v>
      </c>
      <c r="X7341">
        <f t="shared" si="3440"/>
        <v>2011</v>
      </c>
    </row>
    <row r="7342" spans="1:24" ht="12" customHeight="1">
      <c r="A7342" s="4">
        <v>8175</v>
      </c>
      <c r="B7342" s="4">
        <v>58433</v>
      </c>
      <c r="C7342" s="5">
        <f t="shared" si="3461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462"/>
        <v>40727</v>
      </c>
      <c r="V7342">
        <f t="shared" si="3441"/>
        <v>3</v>
      </c>
      <c r="W7342">
        <f t="shared" si="3439"/>
        <v>7</v>
      </c>
      <c r="X7342">
        <f t="shared" si="3440"/>
        <v>2011</v>
      </c>
    </row>
    <row r="7343" spans="1:24" ht="12" customHeight="1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  <c r="V7343">
        <f t="shared" si="3441"/>
        <v>31</v>
      </c>
      <c r="W7343">
        <f t="shared" si="3439"/>
        <v>10</v>
      </c>
      <c r="X7343">
        <f t="shared" si="3440"/>
        <v>2010</v>
      </c>
    </row>
    <row r="7344" spans="1:24" ht="12" customHeight="1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463">C7344+1</f>
        <v>40533</v>
      </c>
      <c r="V7344">
        <f t="shared" si="3441"/>
        <v>21</v>
      </c>
      <c r="W7344">
        <f t="shared" si="3439"/>
        <v>12</v>
      </c>
      <c r="X7344">
        <f t="shared" si="3440"/>
        <v>2010</v>
      </c>
    </row>
    <row r="7345" spans="1:24" ht="12" customHeight="1">
      <c r="A7345" s="4">
        <v>8284</v>
      </c>
      <c r="B7345" s="4">
        <v>59204</v>
      </c>
      <c r="C7345" s="5">
        <f t="shared" ref="C7345:C7346" si="3464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463"/>
        <v>40969</v>
      </c>
      <c r="V7345">
        <f t="shared" si="3441"/>
        <v>1</v>
      </c>
      <c r="W7345">
        <f t="shared" si="3439"/>
        <v>3</v>
      </c>
      <c r="X7345">
        <f t="shared" si="3440"/>
        <v>2012</v>
      </c>
    </row>
    <row r="7346" spans="1:24" ht="12" customHeight="1">
      <c r="A7346" s="4">
        <v>8285</v>
      </c>
      <c r="B7346" s="4">
        <v>59204</v>
      </c>
      <c r="C7346" s="5">
        <f t="shared" si="3464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463"/>
        <v>40969</v>
      </c>
      <c r="V7346">
        <f t="shared" si="3441"/>
        <v>1</v>
      </c>
      <c r="W7346">
        <f t="shared" si="3439"/>
        <v>3</v>
      </c>
      <c r="X7346">
        <f t="shared" si="3440"/>
        <v>2012</v>
      </c>
    </row>
    <row r="7347" spans="1:24" ht="12" customHeight="1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  <c r="V7347">
        <f t="shared" si="3441"/>
        <v>2</v>
      </c>
      <c r="W7347">
        <f t="shared" si="3439"/>
        <v>5</v>
      </c>
      <c r="X7347">
        <f t="shared" si="3440"/>
        <v>2009</v>
      </c>
    </row>
    <row r="7348" spans="1:24" ht="12" customHeight="1">
      <c r="A7348" s="4">
        <v>8328</v>
      </c>
      <c r="B7348" s="4">
        <v>59553</v>
      </c>
      <c r="C7348" s="5">
        <f t="shared" ref="C7348:C7349" si="3465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  <c r="V7348">
        <f t="shared" si="3441"/>
        <v>13</v>
      </c>
      <c r="W7348">
        <f t="shared" si="3439"/>
        <v>11</v>
      </c>
      <c r="X7348">
        <f t="shared" si="3440"/>
        <v>2010</v>
      </c>
    </row>
    <row r="7349" spans="1:24" ht="12" customHeight="1">
      <c r="A7349" s="4">
        <v>8329</v>
      </c>
      <c r="B7349" s="4">
        <v>59553</v>
      </c>
      <c r="C7349" s="5">
        <f t="shared" si="3465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466">C7349+2</f>
        <v>40496</v>
      </c>
      <c r="V7349">
        <f t="shared" si="3441"/>
        <v>14</v>
      </c>
      <c r="W7349">
        <f t="shared" si="3439"/>
        <v>11</v>
      </c>
      <c r="X7349">
        <f t="shared" si="3440"/>
        <v>2010</v>
      </c>
    </row>
    <row r="7350" spans="1:24" ht="12" customHeight="1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466"/>
        <v>39977</v>
      </c>
      <c r="V7350">
        <f t="shared" si="3441"/>
        <v>13</v>
      </c>
      <c r="W7350">
        <f t="shared" si="3439"/>
        <v>6</v>
      </c>
      <c r="X7350">
        <f t="shared" si="3440"/>
        <v>2009</v>
      </c>
    </row>
    <row r="7351" spans="1:24" ht="12" customHeight="1">
      <c r="A7351" s="4">
        <v>8369</v>
      </c>
      <c r="B7351" s="4">
        <v>59781</v>
      </c>
      <c r="C7351" s="5">
        <f t="shared" ref="C7351:C7352" si="3467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468">C7351+1</f>
        <v>41256</v>
      </c>
      <c r="V7351">
        <f t="shared" si="3441"/>
        <v>13</v>
      </c>
      <c r="W7351">
        <f t="shared" si="3439"/>
        <v>12</v>
      </c>
      <c r="X7351">
        <f t="shared" si="3440"/>
        <v>2012</v>
      </c>
    </row>
    <row r="7352" spans="1:24" ht="12" customHeight="1">
      <c r="A7352" s="4">
        <v>8370</v>
      </c>
      <c r="B7352" s="4">
        <v>59781</v>
      </c>
      <c r="C7352" s="5">
        <f t="shared" si="3467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468"/>
        <v>41256</v>
      </c>
      <c r="V7352">
        <f t="shared" si="3441"/>
        <v>13</v>
      </c>
      <c r="W7352">
        <f t="shared" si="3439"/>
        <v>12</v>
      </c>
      <c r="X7352">
        <f t="shared" si="3440"/>
        <v>2012</v>
      </c>
    </row>
    <row r="7353" spans="1:24" ht="12" customHeight="1">
      <c r="A7353" s="4">
        <v>8374</v>
      </c>
      <c r="B7353" s="4">
        <v>59812</v>
      </c>
      <c r="C7353" s="5">
        <f t="shared" ref="C7353:C7354" si="3469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  <c r="V7353">
        <f t="shared" si="3441"/>
        <v>22</v>
      </c>
      <c r="W7353">
        <f t="shared" si="3439"/>
        <v>6</v>
      </c>
      <c r="X7353">
        <f t="shared" si="3440"/>
        <v>2011</v>
      </c>
    </row>
    <row r="7354" spans="1:24" ht="12" customHeight="1">
      <c r="A7354" s="4">
        <v>8375</v>
      </c>
      <c r="B7354" s="4">
        <v>59812</v>
      </c>
      <c r="C7354" s="5">
        <f t="shared" si="3469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  <c r="V7354">
        <f t="shared" si="3441"/>
        <v>23</v>
      </c>
      <c r="W7354">
        <f t="shared" si="3439"/>
        <v>6</v>
      </c>
      <c r="X7354">
        <f t="shared" si="3440"/>
        <v>2011</v>
      </c>
    </row>
    <row r="7355" spans="1:24" ht="12" customHeight="1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470">C7355+2</f>
        <v>40529</v>
      </c>
      <c r="V7355">
        <f t="shared" si="3441"/>
        <v>17</v>
      </c>
      <c r="W7355">
        <f t="shared" si="3439"/>
        <v>12</v>
      </c>
      <c r="X7355">
        <f t="shared" si="3440"/>
        <v>2010</v>
      </c>
    </row>
    <row r="7356" spans="1:24" ht="12" customHeight="1">
      <c r="A7356" s="4">
        <v>8395</v>
      </c>
      <c r="B7356" s="4">
        <v>59971</v>
      </c>
      <c r="C7356" s="5">
        <f t="shared" ref="C7356:C7358" si="3471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470"/>
        <v>40696</v>
      </c>
      <c r="V7356">
        <f t="shared" si="3441"/>
        <v>2</v>
      </c>
      <c r="W7356">
        <f t="shared" si="3439"/>
        <v>6</v>
      </c>
      <c r="X7356">
        <f t="shared" si="3440"/>
        <v>2011</v>
      </c>
    </row>
    <row r="7357" spans="1:24" ht="12" customHeight="1">
      <c r="A7357" s="4">
        <v>8396</v>
      </c>
      <c r="B7357" s="4">
        <v>59971</v>
      </c>
      <c r="C7357" s="5">
        <f t="shared" si="3471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470"/>
        <v>40696</v>
      </c>
      <c r="V7357">
        <f t="shared" si="3441"/>
        <v>2</v>
      </c>
      <c r="W7357">
        <f t="shared" si="3439"/>
        <v>6</v>
      </c>
      <c r="X7357">
        <f t="shared" si="3440"/>
        <v>2011</v>
      </c>
    </row>
    <row r="7358" spans="1:24" ht="12" customHeight="1">
      <c r="A7358" s="4">
        <v>8397</v>
      </c>
      <c r="B7358" s="4">
        <v>59971</v>
      </c>
      <c r="C7358" s="5">
        <f t="shared" si="3471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470"/>
        <v>40696</v>
      </c>
      <c r="V7358">
        <f t="shared" si="3441"/>
        <v>2</v>
      </c>
      <c r="W7358">
        <f t="shared" si="3439"/>
        <v>6</v>
      </c>
      <c r="X7358">
        <f t="shared" si="3440"/>
        <v>2011</v>
      </c>
    </row>
    <row r="7359" spans="1:24" ht="12" customHeight="1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470"/>
        <v>41191</v>
      </c>
      <c r="V7359">
        <f t="shared" si="3441"/>
        <v>9</v>
      </c>
      <c r="W7359">
        <f t="shared" si="3439"/>
        <v>10</v>
      </c>
      <c r="X7359">
        <f t="shared" si="3440"/>
        <v>2012</v>
      </c>
    </row>
    <row r="7360" spans="1:24" ht="12" customHeight="1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  <c r="V7360">
        <f t="shared" si="3441"/>
        <v>23</v>
      </c>
      <c r="W7360">
        <f t="shared" si="3439"/>
        <v>5</v>
      </c>
      <c r="X7360">
        <f t="shared" si="3440"/>
        <v>2009</v>
      </c>
    </row>
    <row r="7361" spans="1:24" ht="12" customHeight="1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  <c r="V7361">
        <f t="shared" si="3441"/>
        <v>15</v>
      </c>
      <c r="W7361">
        <f t="shared" si="3439"/>
        <v>8</v>
      </c>
      <c r="X7361">
        <f t="shared" si="3440"/>
        <v>2011</v>
      </c>
    </row>
    <row r="7362" spans="1:24" ht="12" customHeight="1">
      <c r="A7362" s="4">
        <v>335</v>
      </c>
      <c r="B7362" s="4">
        <v>2305</v>
      </c>
      <c r="C7362" s="5">
        <f t="shared" ref="C7362:C7363" si="3472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  <c r="V7362">
        <f t="shared" si="3441"/>
        <v>27</v>
      </c>
      <c r="W7362">
        <f t="shared" si="3439"/>
        <v>1</v>
      </c>
      <c r="X7362">
        <f t="shared" si="3440"/>
        <v>2010</v>
      </c>
    </row>
    <row r="7363" spans="1:24" ht="12" customHeight="1">
      <c r="A7363" s="4">
        <v>336</v>
      </c>
      <c r="B7363" s="4">
        <v>2305</v>
      </c>
      <c r="C7363" s="5">
        <f t="shared" si="3472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473">C7363+1</f>
        <v>40204</v>
      </c>
      <c r="V7363">
        <f t="shared" si="3441"/>
        <v>26</v>
      </c>
      <c r="W7363">
        <f t="shared" ref="W7363:W7426" si="3474">MONTH(U7363)</f>
        <v>1</v>
      </c>
      <c r="X7363">
        <f t="shared" ref="X7363:X7426" si="3475">YEAR(U7363)</f>
        <v>2010</v>
      </c>
    </row>
    <row r="7364" spans="1:24" ht="12" customHeight="1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473"/>
        <v>40665</v>
      </c>
      <c r="V7364">
        <f t="shared" ref="V7364:V7427" si="3476">DAY(U7364)</f>
        <v>2</v>
      </c>
      <c r="W7364">
        <f t="shared" si="3474"/>
        <v>5</v>
      </c>
      <c r="X7364">
        <f t="shared" si="3475"/>
        <v>2011</v>
      </c>
    </row>
    <row r="7365" spans="1:24" ht="12" customHeight="1">
      <c r="A7365" s="4">
        <v>351</v>
      </c>
      <c r="B7365" s="4">
        <v>2438</v>
      </c>
      <c r="C7365" s="5">
        <f t="shared" ref="C7365:C7366" si="3477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  <c r="V7365">
        <f t="shared" si="3476"/>
        <v>17</v>
      </c>
      <c r="W7365">
        <f t="shared" si="3474"/>
        <v>7</v>
      </c>
      <c r="X7365">
        <f t="shared" si="3475"/>
        <v>2010</v>
      </c>
    </row>
    <row r="7366" spans="1:24" ht="12" customHeight="1">
      <c r="A7366" s="4">
        <v>352</v>
      </c>
      <c r="B7366" s="4">
        <v>2438</v>
      </c>
      <c r="C7366" s="5">
        <f t="shared" si="3477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  <c r="V7366">
        <f t="shared" si="3476"/>
        <v>16</v>
      </c>
      <c r="W7366">
        <f t="shared" si="3474"/>
        <v>7</v>
      </c>
      <c r="X7366">
        <f t="shared" si="3475"/>
        <v>2010</v>
      </c>
    </row>
    <row r="7367" spans="1:24" ht="12" customHeight="1">
      <c r="A7367" s="4">
        <v>374</v>
      </c>
      <c r="B7367" s="4">
        <v>2595</v>
      </c>
      <c r="C7367" s="5">
        <f t="shared" ref="C7367:C7369" si="3478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  <c r="V7367">
        <f t="shared" si="3476"/>
        <v>14</v>
      </c>
      <c r="W7367">
        <f t="shared" si="3474"/>
        <v>12</v>
      </c>
      <c r="X7367">
        <f t="shared" si="3475"/>
        <v>2011</v>
      </c>
    </row>
    <row r="7368" spans="1:24" ht="12" customHeight="1">
      <c r="A7368" s="4">
        <v>375</v>
      </c>
      <c r="B7368" s="4">
        <v>2595</v>
      </c>
      <c r="C7368" s="5">
        <f t="shared" si="3478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479">C7368+2</f>
        <v>40892</v>
      </c>
      <c r="V7368">
        <f t="shared" si="3476"/>
        <v>15</v>
      </c>
      <c r="W7368">
        <f t="shared" si="3474"/>
        <v>12</v>
      </c>
      <c r="X7368">
        <f t="shared" si="3475"/>
        <v>2011</v>
      </c>
    </row>
    <row r="7369" spans="1:24" ht="12" customHeight="1">
      <c r="A7369" s="4">
        <v>376</v>
      </c>
      <c r="B7369" s="4">
        <v>2595</v>
      </c>
      <c r="C7369" s="5">
        <f t="shared" si="3478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479"/>
        <v>40892</v>
      </c>
      <c r="V7369">
        <f t="shared" si="3476"/>
        <v>15</v>
      </c>
      <c r="W7369">
        <f t="shared" si="3474"/>
        <v>12</v>
      </c>
      <c r="X7369">
        <f t="shared" si="3475"/>
        <v>2011</v>
      </c>
    </row>
    <row r="7370" spans="1:24" ht="12" customHeight="1">
      <c r="A7370" s="4">
        <v>409</v>
      </c>
      <c r="B7370" s="4">
        <v>2790</v>
      </c>
      <c r="C7370" s="5">
        <f t="shared" ref="C7370:C7373" si="3480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  <c r="V7370">
        <f t="shared" si="3476"/>
        <v>19</v>
      </c>
      <c r="W7370">
        <f t="shared" si="3474"/>
        <v>8</v>
      </c>
      <c r="X7370">
        <f t="shared" si="3475"/>
        <v>2009</v>
      </c>
    </row>
    <row r="7371" spans="1:24" ht="12" customHeight="1">
      <c r="A7371" s="4">
        <v>410</v>
      </c>
      <c r="B7371" s="4">
        <v>2790</v>
      </c>
      <c r="C7371" s="5">
        <f t="shared" si="3480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  <c r="V7371">
        <f t="shared" si="3476"/>
        <v>20</v>
      </c>
      <c r="W7371">
        <f t="shared" si="3474"/>
        <v>8</v>
      </c>
      <c r="X7371">
        <f t="shared" si="3475"/>
        <v>2009</v>
      </c>
    </row>
    <row r="7372" spans="1:24" ht="12" customHeight="1">
      <c r="A7372" s="4">
        <v>411</v>
      </c>
      <c r="B7372" s="4">
        <v>2790</v>
      </c>
      <c r="C7372" s="5">
        <f t="shared" si="3480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  <c r="V7372">
        <f t="shared" si="3476"/>
        <v>19</v>
      </c>
      <c r="W7372">
        <f t="shared" si="3474"/>
        <v>8</v>
      </c>
      <c r="X7372">
        <f t="shared" si="3475"/>
        <v>2009</v>
      </c>
    </row>
    <row r="7373" spans="1:24" ht="12" customHeight="1">
      <c r="A7373" s="4">
        <v>412</v>
      </c>
      <c r="B7373" s="4">
        <v>2790</v>
      </c>
      <c r="C7373" s="5">
        <f t="shared" si="3480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481">C7373+2</f>
        <v>40045</v>
      </c>
      <c r="V7373">
        <f t="shared" si="3476"/>
        <v>20</v>
      </c>
      <c r="W7373">
        <f t="shared" si="3474"/>
        <v>8</v>
      </c>
      <c r="X7373">
        <f t="shared" si="3475"/>
        <v>2009</v>
      </c>
    </row>
    <row r="7374" spans="1:24" ht="12" customHeight="1">
      <c r="A7374" s="4">
        <v>490</v>
      </c>
      <c r="B7374" s="4">
        <v>3395</v>
      </c>
      <c r="C7374" s="5">
        <f t="shared" ref="C7374:C7377" si="3482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481"/>
        <v>40117</v>
      </c>
      <c r="V7374">
        <f t="shared" si="3476"/>
        <v>31</v>
      </c>
      <c r="W7374">
        <f t="shared" si="3474"/>
        <v>10</v>
      </c>
      <c r="X7374">
        <f t="shared" si="3475"/>
        <v>2009</v>
      </c>
    </row>
    <row r="7375" spans="1:24" ht="12" customHeight="1">
      <c r="A7375" s="4">
        <v>491</v>
      </c>
      <c r="B7375" s="4">
        <v>3395</v>
      </c>
      <c r="C7375" s="5">
        <f t="shared" si="3482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481"/>
        <v>40117</v>
      </c>
      <c r="V7375">
        <f t="shared" si="3476"/>
        <v>31</v>
      </c>
      <c r="W7375">
        <f t="shared" si="3474"/>
        <v>10</v>
      </c>
      <c r="X7375">
        <f t="shared" si="3475"/>
        <v>2009</v>
      </c>
    </row>
    <row r="7376" spans="1:24" ht="12" customHeight="1">
      <c r="A7376" s="4">
        <v>492</v>
      </c>
      <c r="B7376" s="4">
        <v>3395</v>
      </c>
      <c r="C7376" s="5">
        <f t="shared" si="3482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483">C7376+1</f>
        <v>40116</v>
      </c>
      <c r="V7376">
        <f t="shared" si="3476"/>
        <v>30</v>
      </c>
      <c r="W7376">
        <f t="shared" si="3474"/>
        <v>10</v>
      </c>
      <c r="X7376">
        <f t="shared" si="3475"/>
        <v>2009</v>
      </c>
    </row>
    <row r="7377" spans="1:24" ht="12" customHeight="1">
      <c r="A7377" s="4">
        <v>493</v>
      </c>
      <c r="B7377" s="4">
        <v>3395</v>
      </c>
      <c r="C7377" s="5">
        <f t="shared" si="3482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483"/>
        <v>40116</v>
      </c>
      <c r="V7377">
        <f t="shared" si="3476"/>
        <v>30</v>
      </c>
      <c r="W7377">
        <f t="shared" si="3474"/>
        <v>10</v>
      </c>
      <c r="X7377">
        <f t="shared" si="3475"/>
        <v>2009</v>
      </c>
    </row>
    <row r="7378" spans="1:24" ht="12" customHeight="1">
      <c r="A7378" s="4">
        <v>575</v>
      </c>
      <c r="B7378" s="4">
        <v>3907</v>
      </c>
      <c r="C7378" s="5">
        <f t="shared" ref="C7378:C7379" si="3484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  <c r="V7378">
        <f t="shared" si="3476"/>
        <v>20</v>
      </c>
      <c r="W7378">
        <f t="shared" si="3474"/>
        <v>8</v>
      </c>
      <c r="X7378">
        <f t="shared" si="3475"/>
        <v>2012</v>
      </c>
    </row>
    <row r="7379" spans="1:24" ht="12" customHeight="1">
      <c r="A7379" s="4">
        <v>576</v>
      </c>
      <c r="B7379" s="4">
        <v>3907</v>
      </c>
      <c r="C7379" s="5">
        <f t="shared" si="3484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  <c r="V7379">
        <f t="shared" si="3476"/>
        <v>19</v>
      </c>
      <c r="W7379">
        <f t="shared" si="3474"/>
        <v>8</v>
      </c>
      <c r="X7379">
        <f t="shared" si="3475"/>
        <v>2012</v>
      </c>
    </row>
    <row r="7380" spans="1:24" ht="12" customHeight="1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485">C7380+2</f>
        <v>40328</v>
      </c>
      <c r="V7380">
        <f t="shared" si="3476"/>
        <v>30</v>
      </c>
      <c r="W7380">
        <f t="shared" si="3474"/>
        <v>5</v>
      </c>
      <c r="X7380">
        <f t="shared" si="3475"/>
        <v>2010</v>
      </c>
    </row>
    <row r="7381" spans="1:24" ht="12" customHeight="1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485"/>
        <v>40958</v>
      </c>
      <c r="V7381">
        <f t="shared" si="3476"/>
        <v>19</v>
      </c>
      <c r="W7381">
        <f t="shared" si="3474"/>
        <v>2</v>
      </c>
      <c r="X7381">
        <f t="shared" si="3475"/>
        <v>2012</v>
      </c>
    </row>
    <row r="7382" spans="1:24" ht="12" customHeight="1">
      <c r="A7382" s="4">
        <v>633</v>
      </c>
      <c r="B7382" s="4">
        <v>4422</v>
      </c>
      <c r="C7382" s="5">
        <f t="shared" ref="C7382:C7383" si="3486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487">C7382+0</f>
        <v>40684</v>
      </c>
      <c r="V7382">
        <f t="shared" si="3476"/>
        <v>21</v>
      </c>
      <c r="W7382">
        <f t="shared" si="3474"/>
        <v>5</v>
      </c>
      <c r="X7382">
        <f t="shared" si="3475"/>
        <v>2011</v>
      </c>
    </row>
    <row r="7383" spans="1:24" ht="12" customHeight="1">
      <c r="A7383" s="4">
        <v>634</v>
      </c>
      <c r="B7383" s="4">
        <v>4422</v>
      </c>
      <c r="C7383" s="5">
        <f t="shared" si="3486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487"/>
        <v>40684</v>
      </c>
      <c r="V7383">
        <f t="shared" si="3476"/>
        <v>21</v>
      </c>
      <c r="W7383">
        <f t="shared" si="3474"/>
        <v>5</v>
      </c>
      <c r="X7383">
        <f t="shared" si="3475"/>
        <v>2011</v>
      </c>
    </row>
    <row r="7384" spans="1:24" ht="12" customHeight="1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  <c r="V7384">
        <f t="shared" si="3476"/>
        <v>7</v>
      </c>
      <c r="W7384">
        <f t="shared" si="3474"/>
        <v>7</v>
      </c>
      <c r="X7384">
        <f t="shared" si="3475"/>
        <v>2012</v>
      </c>
    </row>
    <row r="7385" spans="1:24" ht="12" customHeight="1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  <c r="V7385">
        <f t="shared" si="3476"/>
        <v>24</v>
      </c>
      <c r="W7385">
        <f t="shared" si="3474"/>
        <v>10</v>
      </c>
      <c r="X7385">
        <f t="shared" si="3475"/>
        <v>2009</v>
      </c>
    </row>
    <row r="7386" spans="1:24" ht="12" customHeight="1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  <c r="V7386">
        <f t="shared" si="3476"/>
        <v>18</v>
      </c>
      <c r="W7386">
        <f t="shared" si="3474"/>
        <v>4</v>
      </c>
      <c r="X7386">
        <f t="shared" si="3475"/>
        <v>2012</v>
      </c>
    </row>
    <row r="7387" spans="1:24" ht="12" customHeight="1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  <c r="V7387">
        <f t="shared" si="3476"/>
        <v>22</v>
      </c>
      <c r="W7387">
        <f t="shared" si="3474"/>
        <v>4</v>
      </c>
      <c r="X7387">
        <f t="shared" si="3475"/>
        <v>2012</v>
      </c>
    </row>
    <row r="7388" spans="1:24" ht="12" customHeight="1">
      <c r="A7388" s="4">
        <v>736</v>
      </c>
      <c r="B7388" s="4">
        <v>5317</v>
      </c>
      <c r="C7388" s="5">
        <f t="shared" ref="C7388:C7390" si="3488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489">C7388+7</f>
        <v>40071</v>
      </c>
      <c r="V7388">
        <f t="shared" si="3476"/>
        <v>15</v>
      </c>
      <c r="W7388">
        <f t="shared" si="3474"/>
        <v>9</v>
      </c>
      <c r="X7388">
        <f t="shared" si="3475"/>
        <v>2009</v>
      </c>
    </row>
    <row r="7389" spans="1:24" ht="12" customHeight="1">
      <c r="A7389" s="4">
        <v>737</v>
      </c>
      <c r="B7389" s="4">
        <v>5317</v>
      </c>
      <c r="C7389" s="5">
        <f t="shared" si="3488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489"/>
        <v>40071</v>
      </c>
      <c r="V7389">
        <f t="shared" si="3476"/>
        <v>15</v>
      </c>
      <c r="W7389">
        <f t="shared" si="3474"/>
        <v>9</v>
      </c>
      <c r="X7389">
        <f t="shared" si="3475"/>
        <v>2009</v>
      </c>
    </row>
    <row r="7390" spans="1:24" ht="12" customHeight="1">
      <c r="A7390" s="4">
        <v>738</v>
      </c>
      <c r="B7390" s="4">
        <v>5317</v>
      </c>
      <c r="C7390" s="5">
        <f t="shared" si="3488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489"/>
        <v>40071</v>
      </c>
      <c r="V7390">
        <f t="shared" si="3476"/>
        <v>15</v>
      </c>
      <c r="W7390">
        <f t="shared" si="3474"/>
        <v>9</v>
      </c>
      <c r="X7390">
        <f t="shared" si="3475"/>
        <v>2009</v>
      </c>
    </row>
    <row r="7391" spans="1:24" ht="12" customHeight="1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  <c r="V7391">
        <f t="shared" si="3476"/>
        <v>11</v>
      </c>
      <c r="W7391">
        <f t="shared" si="3474"/>
        <v>12</v>
      </c>
      <c r="X7391">
        <f t="shared" si="3475"/>
        <v>2009</v>
      </c>
    </row>
    <row r="7392" spans="1:24" ht="12" customHeight="1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490">C7392+2</f>
        <v>40124</v>
      </c>
      <c r="V7392">
        <f t="shared" si="3476"/>
        <v>7</v>
      </c>
      <c r="W7392">
        <f t="shared" si="3474"/>
        <v>11</v>
      </c>
      <c r="X7392">
        <f t="shared" si="3475"/>
        <v>2009</v>
      </c>
    </row>
    <row r="7393" spans="1:24" ht="12" customHeight="1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490"/>
        <v>41273</v>
      </c>
      <c r="V7393">
        <f t="shared" si="3476"/>
        <v>30</v>
      </c>
      <c r="W7393">
        <f t="shared" si="3474"/>
        <v>12</v>
      </c>
      <c r="X7393">
        <f t="shared" si="3475"/>
        <v>2012</v>
      </c>
    </row>
    <row r="7394" spans="1:24" ht="12" customHeight="1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491">C7394+1</f>
        <v>40739</v>
      </c>
      <c r="V7394">
        <f t="shared" si="3476"/>
        <v>15</v>
      </c>
      <c r="W7394">
        <f t="shared" si="3474"/>
        <v>7</v>
      </c>
      <c r="X7394">
        <f t="shared" si="3475"/>
        <v>2011</v>
      </c>
    </row>
    <row r="7395" spans="1:24" ht="12" customHeight="1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491"/>
        <v>40339</v>
      </c>
      <c r="V7395">
        <f t="shared" si="3476"/>
        <v>10</v>
      </c>
      <c r="W7395">
        <f t="shared" si="3474"/>
        <v>6</v>
      </c>
      <c r="X7395">
        <f t="shared" si="3475"/>
        <v>2010</v>
      </c>
    </row>
    <row r="7396" spans="1:24" ht="12" customHeight="1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  <c r="V7396">
        <f t="shared" si="3476"/>
        <v>22</v>
      </c>
      <c r="W7396">
        <f t="shared" si="3474"/>
        <v>2</v>
      </c>
      <c r="X7396">
        <f t="shared" si="3475"/>
        <v>2009</v>
      </c>
    </row>
    <row r="7397" spans="1:24" ht="12" customHeight="1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  <c r="V7397">
        <f t="shared" si="3476"/>
        <v>10</v>
      </c>
      <c r="W7397">
        <f t="shared" si="3474"/>
        <v>12</v>
      </c>
      <c r="X7397">
        <f t="shared" si="3475"/>
        <v>2010</v>
      </c>
    </row>
    <row r="7398" spans="1:24" ht="12" customHeight="1">
      <c r="A7398" s="4">
        <v>1024</v>
      </c>
      <c r="B7398" s="4">
        <v>7461</v>
      </c>
      <c r="C7398" s="5">
        <f t="shared" ref="C7398:C7400" si="3492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  <c r="V7398">
        <f t="shared" si="3476"/>
        <v>14</v>
      </c>
      <c r="W7398">
        <f t="shared" si="3474"/>
        <v>1</v>
      </c>
      <c r="X7398">
        <f t="shared" si="3475"/>
        <v>2009</v>
      </c>
    </row>
    <row r="7399" spans="1:24" ht="12" customHeight="1">
      <c r="A7399" s="4">
        <v>1025</v>
      </c>
      <c r="B7399" s="4">
        <v>7461</v>
      </c>
      <c r="C7399" s="5">
        <f t="shared" si="3492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493">C7399+4</f>
        <v>39829</v>
      </c>
      <c r="V7399">
        <f t="shared" si="3476"/>
        <v>16</v>
      </c>
      <c r="W7399">
        <f t="shared" si="3474"/>
        <v>1</v>
      </c>
      <c r="X7399">
        <f t="shared" si="3475"/>
        <v>2009</v>
      </c>
    </row>
    <row r="7400" spans="1:24" ht="12" customHeight="1">
      <c r="A7400" s="4">
        <v>1026</v>
      </c>
      <c r="B7400" s="4">
        <v>7461</v>
      </c>
      <c r="C7400" s="5">
        <f t="shared" si="3492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493"/>
        <v>39829</v>
      </c>
      <c r="V7400">
        <f t="shared" si="3476"/>
        <v>16</v>
      </c>
      <c r="W7400">
        <f t="shared" si="3474"/>
        <v>1</v>
      </c>
      <c r="X7400">
        <f t="shared" si="3475"/>
        <v>2009</v>
      </c>
    </row>
    <row r="7401" spans="1:24" ht="12" customHeight="1">
      <c r="A7401" s="4">
        <v>1297</v>
      </c>
      <c r="B7401" s="4">
        <v>9505</v>
      </c>
      <c r="C7401" s="5">
        <f t="shared" ref="C7401:C7402" si="3494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  <c r="V7401">
        <f t="shared" si="3476"/>
        <v>9</v>
      </c>
      <c r="W7401">
        <f t="shared" si="3474"/>
        <v>6</v>
      </c>
      <c r="X7401">
        <f t="shared" si="3475"/>
        <v>2012</v>
      </c>
    </row>
    <row r="7402" spans="1:24" ht="12" customHeight="1">
      <c r="A7402" s="4">
        <v>1298</v>
      </c>
      <c r="B7402" s="4">
        <v>9505</v>
      </c>
      <c r="C7402" s="5">
        <f t="shared" si="3494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  <c r="V7402">
        <f t="shared" si="3476"/>
        <v>10</v>
      </c>
      <c r="W7402">
        <f t="shared" si="3474"/>
        <v>6</v>
      </c>
      <c r="X7402">
        <f t="shared" si="3475"/>
        <v>2012</v>
      </c>
    </row>
    <row r="7403" spans="1:24" ht="12" customHeight="1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  <c r="V7403">
        <f t="shared" si="3476"/>
        <v>25</v>
      </c>
      <c r="W7403">
        <f t="shared" si="3474"/>
        <v>3</v>
      </c>
      <c r="X7403">
        <f t="shared" si="3475"/>
        <v>2012</v>
      </c>
    </row>
    <row r="7404" spans="1:24" ht="12" customHeight="1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  <c r="V7404">
        <f t="shared" si="3476"/>
        <v>25</v>
      </c>
      <c r="W7404">
        <f t="shared" si="3474"/>
        <v>3</v>
      </c>
      <c r="X7404">
        <f t="shared" si="3475"/>
        <v>2009</v>
      </c>
    </row>
    <row r="7405" spans="1:24" ht="12" customHeight="1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  <c r="V7405">
        <f t="shared" si="3476"/>
        <v>26</v>
      </c>
      <c r="W7405">
        <f t="shared" si="3474"/>
        <v>3</v>
      </c>
      <c r="X7405">
        <f t="shared" si="3475"/>
        <v>2012</v>
      </c>
    </row>
    <row r="7406" spans="1:24" ht="12" customHeight="1">
      <c r="A7406" s="4">
        <v>1537</v>
      </c>
      <c r="B7406" s="4">
        <v>11074</v>
      </c>
      <c r="C7406" s="5">
        <f t="shared" ref="C7406:C7407" si="3495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  <c r="V7406">
        <f t="shared" si="3476"/>
        <v>11</v>
      </c>
      <c r="W7406">
        <f t="shared" si="3474"/>
        <v>6</v>
      </c>
      <c r="X7406">
        <f t="shared" si="3475"/>
        <v>2011</v>
      </c>
    </row>
    <row r="7407" spans="1:24" ht="12" customHeight="1">
      <c r="A7407" s="4">
        <v>1538</v>
      </c>
      <c r="B7407" s="4">
        <v>11074</v>
      </c>
      <c r="C7407" s="5">
        <f t="shared" si="3495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  <c r="V7407">
        <f t="shared" si="3476"/>
        <v>10</v>
      </c>
      <c r="W7407">
        <f t="shared" si="3474"/>
        <v>6</v>
      </c>
      <c r="X7407">
        <f t="shared" si="3475"/>
        <v>2011</v>
      </c>
    </row>
    <row r="7408" spans="1:24" ht="12" customHeight="1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  <c r="V7408">
        <f t="shared" si="3476"/>
        <v>2</v>
      </c>
      <c r="W7408">
        <f t="shared" si="3474"/>
        <v>2</v>
      </c>
      <c r="X7408">
        <f t="shared" si="3475"/>
        <v>2010</v>
      </c>
    </row>
    <row r="7409" spans="1:24" ht="12" customHeight="1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496">C7409+1</f>
        <v>40203</v>
      </c>
      <c r="V7409">
        <f t="shared" si="3476"/>
        <v>25</v>
      </c>
      <c r="W7409">
        <f t="shared" si="3474"/>
        <v>1</v>
      </c>
      <c r="X7409">
        <f t="shared" si="3475"/>
        <v>2010</v>
      </c>
    </row>
    <row r="7410" spans="1:24" ht="12" customHeight="1">
      <c r="A7410" s="4">
        <v>2143</v>
      </c>
      <c r="B7410" s="4">
        <v>15303</v>
      </c>
      <c r="C7410" s="5">
        <f t="shared" ref="C7410:C7411" si="3497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496"/>
        <v>40435</v>
      </c>
      <c r="V7410">
        <f t="shared" si="3476"/>
        <v>14</v>
      </c>
      <c r="W7410">
        <f t="shared" si="3474"/>
        <v>9</v>
      </c>
      <c r="X7410">
        <f t="shared" si="3475"/>
        <v>2010</v>
      </c>
    </row>
    <row r="7411" spans="1:24" ht="12" customHeight="1">
      <c r="A7411" s="4">
        <v>2144</v>
      </c>
      <c r="B7411" s="4">
        <v>15303</v>
      </c>
      <c r="C7411" s="5">
        <f t="shared" si="3497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  <c r="V7411">
        <f t="shared" si="3476"/>
        <v>15</v>
      </c>
      <c r="W7411">
        <f t="shared" si="3474"/>
        <v>9</v>
      </c>
      <c r="X7411">
        <f t="shared" si="3475"/>
        <v>2010</v>
      </c>
    </row>
    <row r="7412" spans="1:24" ht="12" customHeight="1">
      <c r="A7412" s="4">
        <v>2171</v>
      </c>
      <c r="B7412" s="4">
        <v>15622</v>
      </c>
      <c r="C7412" s="5">
        <f t="shared" ref="C7412:C7413" si="3498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499">C7412+1</f>
        <v>40781</v>
      </c>
      <c r="V7412">
        <f t="shared" si="3476"/>
        <v>26</v>
      </c>
      <c r="W7412">
        <f t="shared" si="3474"/>
        <v>8</v>
      </c>
      <c r="X7412">
        <f t="shared" si="3475"/>
        <v>2011</v>
      </c>
    </row>
    <row r="7413" spans="1:24" ht="12" customHeight="1">
      <c r="A7413" s="4">
        <v>2172</v>
      </c>
      <c r="B7413" s="4">
        <v>15622</v>
      </c>
      <c r="C7413" s="5">
        <f t="shared" si="3498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499"/>
        <v>40781</v>
      </c>
      <c r="V7413">
        <f t="shared" si="3476"/>
        <v>26</v>
      </c>
      <c r="W7413">
        <f t="shared" si="3474"/>
        <v>8</v>
      </c>
      <c r="X7413">
        <f t="shared" si="3475"/>
        <v>2011</v>
      </c>
    </row>
    <row r="7414" spans="1:24" ht="12" customHeight="1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  <c r="V7414">
        <f t="shared" si="3476"/>
        <v>8</v>
      </c>
      <c r="W7414">
        <f t="shared" si="3474"/>
        <v>5</v>
      </c>
      <c r="X7414">
        <f t="shared" si="3475"/>
        <v>2010</v>
      </c>
    </row>
    <row r="7415" spans="1:24" ht="12" customHeight="1">
      <c r="A7415" s="4">
        <v>2239</v>
      </c>
      <c r="B7415" s="4">
        <v>16164</v>
      </c>
      <c r="C7415" s="5">
        <f t="shared" ref="C7415:C7416" si="3500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  <c r="V7415">
        <f t="shared" si="3476"/>
        <v>12</v>
      </c>
      <c r="W7415">
        <f t="shared" si="3474"/>
        <v>1</v>
      </c>
      <c r="X7415">
        <f t="shared" si="3475"/>
        <v>2012</v>
      </c>
    </row>
    <row r="7416" spans="1:24" ht="12" customHeight="1">
      <c r="A7416" s="4">
        <v>2240</v>
      </c>
      <c r="B7416" s="4">
        <v>16164</v>
      </c>
      <c r="C7416" s="5">
        <f t="shared" si="3500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  <c r="V7416">
        <f t="shared" si="3476"/>
        <v>10</v>
      </c>
      <c r="W7416">
        <f t="shared" si="3474"/>
        <v>1</v>
      </c>
      <c r="X7416">
        <f t="shared" si="3475"/>
        <v>2012</v>
      </c>
    </row>
    <row r="7417" spans="1:24" ht="12" customHeight="1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501">C7417+1</f>
        <v>40210</v>
      </c>
      <c r="V7417">
        <f t="shared" si="3476"/>
        <v>1</v>
      </c>
      <c r="W7417">
        <f t="shared" si="3474"/>
        <v>2</v>
      </c>
      <c r="X7417">
        <f t="shared" si="3475"/>
        <v>2010</v>
      </c>
    </row>
    <row r="7418" spans="1:24" ht="12" customHeight="1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501"/>
        <v>40020</v>
      </c>
      <c r="V7418">
        <f t="shared" si="3476"/>
        <v>26</v>
      </c>
      <c r="W7418">
        <f t="shared" si="3474"/>
        <v>7</v>
      </c>
      <c r="X7418">
        <f t="shared" si="3475"/>
        <v>2009</v>
      </c>
    </row>
    <row r="7419" spans="1:24" ht="12" customHeight="1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502">C7419+2</f>
        <v>39942</v>
      </c>
      <c r="V7419">
        <f t="shared" si="3476"/>
        <v>9</v>
      </c>
      <c r="W7419">
        <f t="shared" si="3474"/>
        <v>5</v>
      </c>
      <c r="X7419">
        <f t="shared" si="3475"/>
        <v>2009</v>
      </c>
    </row>
    <row r="7420" spans="1:24" ht="12" customHeight="1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502"/>
        <v>41049</v>
      </c>
      <c r="V7420">
        <f t="shared" si="3476"/>
        <v>20</v>
      </c>
      <c r="W7420">
        <f t="shared" si="3474"/>
        <v>5</v>
      </c>
      <c r="X7420">
        <f t="shared" si="3475"/>
        <v>2012</v>
      </c>
    </row>
    <row r="7421" spans="1:24" ht="12" customHeight="1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503">C7421+1</f>
        <v>40426</v>
      </c>
      <c r="V7421">
        <f t="shared" si="3476"/>
        <v>5</v>
      </c>
      <c r="W7421">
        <f t="shared" si="3474"/>
        <v>9</v>
      </c>
      <c r="X7421">
        <f t="shared" si="3475"/>
        <v>2010</v>
      </c>
    </row>
    <row r="7422" spans="1:24" ht="12" customHeight="1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503"/>
        <v>40441</v>
      </c>
      <c r="V7422">
        <f t="shared" si="3476"/>
        <v>20</v>
      </c>
      <c r="W7422">
        <f t="shared" si="3474"/>
        <v>9</v>
      </c>
      <c r="X7422">
        <f t="shared" si="3475"/>
        <v>2010</v>
      </c>
    </row>
    <row r="7423" spans="1:24" ht="12" customHeight="1">
      <c r="A7423" s="4">
        <v>2581</v>
      </c>
      <c r="B7423" s="4">
        <v>18598</v>
      </c>
      <c r="C7423" s="5">
        <f t="shared" ref="C7423:C7424" si="3504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  <c r="V7423">
        <f t="shared" si="3476"/>
        <v>9</v>
      </c>
      <c r="W7423">
        <f t="shared" si="3474"/>
        <v>8</v>
      </c>
      <c r="X7423">
        <f t="shared" si="3475"/>
        <v>2010</v>
      </c>
    </row>
    <row r="7424" spans="1:24" ht="12" customHeight="1">
      <c r="A7424" s="4">
        <v>2582</v>
      </c>
      <c r="B7424" s="4">
        <v>18598</v>
      </c>
      <c r="C7424" s="5">
        <f t="shared" si="3504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  <c r="V7424">
        <f t="shared" si="3476"/>
        <v>8</v>
      </c>
      <c r="W7424">
        <f t="shared" si="3474"/>
        <v>8</v>
      </c>
      <c r="X7424">
        <f t="shared" si="3475"/>
        <v>2010</v>
      </c>
    </row>
    <row r="7425" spans="1:24" ht="12" customHeight="1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  <c r="V7425">
        <f t="shared" si="3476"/>
        <v>24</v>
      </c>
      <c r="W7425">
        <f t="shared" si="3474"/>
        <v>1</v>
      </c>
      <c r="X7425">
        <f t="shared" si="3475"/>
        <v>2009</v>
      </c>
    </row>
    <row r="7426" spans="1:24" ht="12" customHeight="1">
      <c r="A7426" s="4">
        <v>2701</v>
      </c>
      <c r="B7426" s="4">
        <v>19555</v>
      </c>
      <c r="C7426" s="5">
        <f t="shared" ref="C7426:C7427" si="3505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  <c r="V7426">
        <f t="shared" si="3476"/>
        <v>15</v>
      </c>
      <c r="W7426">
        <f t="shared" si="3474"/>
        <v>2</v>
      </c>
      <c r="X7426">
        <f t="shared" si="3475"/>
        <v>2010</v>
      </c>
    </row>
    <row r="7427" spans="1:24" ht="12" customHeight="1">
      <c r="A7427" s="4">
        <v>2702</v>
      </c>
      <c r="B7427" s="4">
        <v>19555</v>
      </c>
      <c r="C7427" s="5">
        <f t="shared" si="3505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  <c r="V7427">
        <f t="shared" si="3476"/>
        <v>18</v>
      </c>
      <c r="W7427">
        <f t="shared" ref="W7427:W7490" si="3506">MONTH(U7427)</f>
        <v>2</v>
      </c>
      <c r="X7427">
        <f t="shared" ref="X7427:X7490" si="3507">YEAR(U7427)</f>
        <v>2010</v>
      </c>
    </row>
    <row r="7428" spans="1:24" ht="12" customHeight="1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  <c r="V7428">
        <f t="shared" ref="V7428:V7491" si="3508">DAY(U7428)</f>
        <v>29</v>
      </c>
      <c r="W7428">
        <f t="shared" si="3506"/>
        <v>7</v>
      </c>
      <c r="X7428">
        <f t="shared" si="3507"/>
        <v>2010</v>
      </c>
    </row>
    <row r="7429" spans="1:24" ht="12" customHeight="1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509">C7429+2</f>
        <v>40634</v>
      </c>
      <c r="V7429">
        <f t="shared" si="3508"/>
        <v>1</v>
      </c>
      <c r="W7429">
        <f t="shared" si="3506"/>
        <v>4</v>
      </c>
      <c r="X7429">
        <f t="shared" si="3507"/>
        <v>2011</v>
      </c>
    </row>
    <row r="7430" spans="1:24" ht="12" customHeight="1">
      <c r="A7430" s="4">
        <v>2928</v>
      </c>
      <c r="B7430" s="4">
        <v>21222</v>
      </c>
      <c r="C7430" s="5">
        <f t="shared" ref="C7430:C7431" si="3510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509"/>
        <v>39849</v>
      </c>
      <c r="V7430">
        <f t="shared" si="3508"/>
        <v>5</v>
      </c>
      <c r="W7430">
        <f t="shared" si="3506"/>
        <v>2</v>
      </c>
      <c r="X7430">
        <f t="shared" si="3507"/>
        <v>2009</v>
      </c>
    </row>
    <row r="7431" spans="1:24" ht="12" customHeight="1">
      <c r="A7431" s="4">
        <v>2929</v>
      </c>
      <c r="B7431" s="4">
        <v>21222</v>
      </c>
      <c r="C7431" s="5">
        <f t="shared" si="3510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509"/>
        <v>39849</v>
      </c>
      <c r="V7431">
        <f t="shared" si="3508"/>
        <v>5</v>
      </c>
      <c r="W7431">
        <f t="shared" si="3506"/>
        <v>2</v>
      </c>
      <c r="X7431">
        <f t="shared" si="3507"/>
        <v>2009</v>
      </c>
    </row>
    <row r="7432" spans="1:24" ht="12" customHeight="1">
      <c r="A7432" s="4">
        <v>3166</v>
      </c>
      <c r="B7432" s="4">
        <v>22755</v>
      </c>
      <c r="C7432" s="5">
        <f t="shared" ref="C7432:C7434" si="3511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  <c r="V7432">
        <f t="shared" si="3508"/>
        <v>31</v>
      </c>
      <c r="W7432">
        <f t="shared" si="3506"/>
        <v>3</v>
      </c>
      <c r="X7432">
        <f t="shared" si="3507"/>
        <v>2009</v>
      </c>
    </row>
    <row r="7433" spans="1:24" ht="12" customHeight="1">
      <c r="A7433" s="4">
        <v>3167</v>
      </c>
      <c r="B7433" s="4">
        <v>22755</v>
      </c>
      <c r="C7433" s="5">
        <f t="shared" si="3511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512">C7433+2</f>
        <v>39904</v>
      </c>
      <c r="V7433">
        <f t="shared" si="3508"/>
        <v>1</v>
      </c>
      <c r="W7433">
        <f t="shared" si="3506"/>
        <v>4</v>
      </c>
      <c r="X7433">
        <f t="shared" si="3507"/>
        <v>2009</v>
      </c>
    </row>
    <row r="7434" spans="1:24" ht="12" customHeight="1">
      <c r="A7434" s="4">
        <v>3168</v>
      </c>
      <c r="B7434" s="4">
        <v>22755</v>
      </c>
      <c r="C7434" s="5">
        <f t="shared" si="3511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512"/>
        <v>39904</v>
      </c>
      <c r="V7434">
        <f t="shared" si="3508"/>
        <v>1</v>
      </c>
      <c r="W7434">
        <f t="shared" si="3506"/>
        <v>4</v>
      </c>
      <c r="X7434">
        <f t="shared" si="3507"/>
        <v>2009</v>
      </c>
    </row>
    <row r="7435" spans="1:24" ht="12" customHeight="1">
      <c r="A7435" s="4">
        <v>3222</v>
      </c>
      <c r="B7435" s="4">
        <v>23136</v>
      </c>
      <c r="C7435" s="5">
        <f t="shared" ref="C7435:C7436" si="3513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514">C7435+1</f>
        <v>40082</v>
      </c>
      <c r="V7435">
        <f t="shared" si="3508"/>
        <v>26</v>
      </c>
      <c r="W7435">
        <f t="shared" si="3506"/>
        <v>9</v>
      </c>
      <c r="X7435">
        <f t="shared" si="3507"/>
        <v>2009</v>
      </c>
    </row>
    <row r="7436" spans="1:24" ht="12" customHeight="1">
      <c r="A7436" s="4">
        <v>3223</v>
      </c>
      <c r="B7436" s="4">
        <v>23136</v>
      </c>
      <c r="C7436" s="5">
        <f t="shared" si="3513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514"/>
        <v>40082</v>
      </c>
      <c r="V7436">
        <f t="shared" si="3508"/>
        <v>26</v>
      </c>
      <c r="W7436">
        <f t="shared" si="3506"/>
        <v>9</v>
      </c>
      <c r="X7436">
        <f t="shared" si="3507"/>
        <v>2009</v>
      </c>
    </row>
    <row r="7437" spans="1:24" ht="12" customHeight="1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514"/>
        <v>41090</v>
      </c>
      <c r="V7437">
        <f t="shared" si="3508"/>
        <v>30</v>
      </c>
      <c r="W7437">
        <f t="shared" si="3506"/>
        <v>6</v>
      </c>
      <c r="X7437">
        <f t="shared" si="3507"/>
        <v>2012</v>
      </c>
    </row>
    <row r="7438" spans="1:24" ht="12" customHeight="1">
      <c r="A7438" s="4">
        <v>3319</v>
      </c>
      <c r="B7438" s="4">
        <v>23745</v>
      </c>
      <c r="C7438" s="5">
        <f t="shared" ref="C7438:C7439" si="3515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  <c r="V7438">
        <f t="shared" si="3508"/>
        <v>5</v>
      </c>
      <c r="W7438">
        <f t="shared" si="3506"/>
        <v>12</v>
      </c>
      <c r="X7438">
        <f t="shared" si="3507"/>
        <v>2012</v>
      </c>
    </row>
    <row r="7439" spans="1:24" ht="12" customHeight="1">
      <c r="A7439" s="4">
        <v>3320</v>
      </c>
      <c r="B7439" s="4">
        <v>23745</v>
      </c>
      <c r="C7439" s="5">
        <f t="shared" si="3515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  <c r="V7439">
        <f t="shared" si="3508"/>
        <v>9</v>
      </c>
      <c r="W7439">
        <f t="shared" si="3506"/>
        <v>12</v>
      </c>
      <c r="X7439">
        <f t="shared" si="3507"/>
        <v>2012</v>
      </c>
    </row>
    <row r="7440" spans="1:24" ht="12" customHeight="1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  <c r="V7440">
        <f t="shared" si="3508"/>
        <v>20</v>
      </c>
      <c r="W7440">
        <f t="shared" si="3506"/>
        <v>8</v>
      </c>
      <c r="X7440">
        <f t="shared" si="3507"/>
        <v>2012</v>
      </c>
    </row>
    <row r="7441" spans="1:24" ht="12" customHeight="1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  <c r="V7441">
        <f t="shared" si="3508"/>
        <v>24</v>
      </c>
      <c r="W7441">
        <f t="shared" si="3506"/>
        <v>1</v>
      </c>
      <c r="X7441">
        <f t="shared" si="3507"/>
        <v>2012</v>
      </c>
    </row>
    <row r="7442" spans="1:24" ht="12" customHeight="1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516">C7442+1</f>
        <v>40722</v>
      </c>
      <c r="V7442">
        <f t="shared" si="3508"/>
        <v>28</v>
      </c>
      <c r="W7442">
        <f t="shared" si="3506"/>
        <v>6</v>
      </c>
      <c r="X7442">
        <f t="shared" si="3507"/>
        <v>2011</v>
      </c>
    </row>
    <row r="7443" spans="1:24" ht="12" customHeight="1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516"/>
        <v>40123</v>
      </c>
      <c r="V7443">
        <f t="shared" si="3508"/>
        <v>6</v>
      </c>
      <c r="W7443">
        <f t="shared" si="3506"/>
        <v>11</v>
      </c>
      <c r="X7443">
        <f t="shared" si="3507"/>
        <v>2009</v>
      </c>
    </row>
    <row r="7444" spans="1:24" ht="12" customHeight="1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  <c r="V7444">
        <f t="shared" si="3508"/>
        <v>10</v>
      </c>
      <c r="W7444">
        <f t="shared" si="3506"/>
        <v>11</v>
      </c>
      <c r="X7444">
        <f t="shared" si="3507"/>
        <v>2009</v>
      </c>
    </row>
    <row r="7445" spans="1:24" ht="12" customHeight="1">
      <c r="A7445" s="4">
        <v>3791</v>
      </c>
      <c r="B7445" s="4">
        <v>27013</v>
      </c>
      <c r="C7445" s="5">
        <f t="shared" ref="C7445:C7446" si="3517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  <c r="V7445">
        <f t="shared" si="3508"/>
        <v>9</v>
      </c>
      <c r="W7445">
        <f t="shared" si="3506"/>
        <v>7</v>
      </c>
      <c r="X7445">
        <f t="shared" si="3507"/>
        <v>2009</v>
      </c>
    </row>
    <row r="7446" spans="1:24" ht="12" customHeight="1">
      <c r="A7446" s="4">
        <v>3792</v>
      </c>
      <c r="B7446" s="4">
        <v>27013</v>
      </c>
      <c r="C7446" s="5">
        <f t="shared" si="3517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  <c r="V7446">
        <f t="shared" si="3508"/>
        <v>5</v>
      </c>
      <c r="W7446">
        <f t="shared" si="3506"/>
        <v>7</v>
      </c>
      <c r="X7446">
        <f t="shared" si="3507"/>
        <v>2009</v>
      </c>
    </row>
    <row r="7447" spans="1:24" ht="12" customHeight="1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  <c r="V7447">
        <f t="shared" si="3508"/>
        <v>4</v>
      </c>
      <c r="W7447">
        <f t="shared" si="3506"/>
        <v>9</v>
      </c>
      <c r="X7447">
        <f t="shared" si="3507"/>
        <v>2011</v>
      </c>
    </row>
    <row r="7448" spans="1:24" ht="12" customHeight="1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  <c r="V7448">
        <f t="shared" si="3508"/>
        <v>9</v>
      </c>
      <c r="W7448">
        <f t="shared" si="3506"/>
        <v>10</v>
      </c>
      <c r="X7448">
        <f t="shared" si="3507"/>
        <v>2010</v>
      </c>
    </row>
    <row r="7449" spans="1:24" ht="12" customHeight="1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518">C7449+1</f>
        <v>40580</v>
      </c>
      <c r="V7449">
        <f t="shared" si="3508"/>
        <v>6</v>
      </c>
      <c r="W7449">
        <f t="shared" si="3506"/>
        <v>2</v>
      </c>
      <c r="X7449">
        <f t="shared" si="3507"/>
        <v>2011</v>
      </c>
    </row>
    <row r="7450" spans="1:24" ht="12" customHeight="1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518"/>
        <v>40081</v>
      </c>
      <c r="V7450">
        <f t="shared" si="3508"/>
        <v>25</v>
      </c>
      <c r="W7450">
        <f t="shared" si="3506"/>
        <v>9</v>
      </c>
      <c r="X7450">
        <f t="shared" si="3507"/>
        <v>2009</v>
      </c>
    </row>
    <row r="7451" spans="1:24" ht="12" customHeight="1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  <c r="V7451">
        <f t="shared" si="3508"/>
        <v>3</v>
      </c>
      <c r="W7451">
        <f t="shared" si="3506"/>
        <v>7</v>
      </c>
      <c r="X7451">
        <f t="shared" si="3507"/>
        <v>2011</v>
      </c>
    </row>
    <row r="7452" spans="1:24" ht="12" customHeight="1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  <c r="V7452">
        <f t="shared" si="3508"/>
        <v>15</v>
      </c>
      <c r="W7452">
        <f t="shared" si="3506"/>
        <v>5</v>
      </c>
      <c r="X7452">
        <f t="shared" si="3507"/>
        <v>2009</v>
      </c>
    </row>
    <row r="7453" spans="1:24" ht="12" customHeight="1">
      <c r="A7453" s="4">
        <v>4379</v>
      </c>
      <c r="B7453" s="4">
        <v>31204</v>
      </c>
      <c r="C7453" s="5">
        <f t="shared" ref="C7453:C7454" si="3519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  <c r="V7453">
        <f t="shared" si="3508"/>
        <v>26</v>
      </c>
      <c r="W7453">
        <f t="shared" si="3506"/>
        <v>8</v>
      </c>
      <c r="X7453">
        <f t="shared" si="3507"/>
        <v>2010</v>
      </c>
    </row>
    <row r="7454" spans="1:24" ht="12" customHeight="1">
      <c r="A7454" s="4">
        <v>4380</v>
      </c>
      <c r="B7454" s="4">
        <v>31204</v>
      </c>
      <c r="C7454" s="5">
        <f t="shared" si="3519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  <c r="V7454">
        <f t="shared" si="3508"/>
        <v>21</v>
      </c>
      <c r="W7454">
        <f t="shared" si="3506"/>
        <v>8</v>
      </c>
      <c r="X7454">
        <f t="shared" si="3507"/>
        <v>2010</v>
      </c>
    </row>
    <row r="7455" spans="1:24" ht="12" customHeight="1">
      <c r="A7455" s="4">
        <v>4567</v>
      </c>
      <c r="B7455" s="4">
        <v>32513</v>
      </c>
      <c r="C7455" s="5">
        <f t="shared" ref="C7455:C7456" si="3520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521">C7455+5</f>
        <v>40946</v>
      </c>
      <c r="V7455">
        <f t="shared" si="3508"/>
        <v>7</v>
      </c>
      <c r="W7455">
        <f t="shared" si="3506"/>
        <v>2</v>
      </c>
      <c r="X7455">
        <f t="shared" si="3507"/>
        <v>2012</v>
      </c>
    </row>
    <row r="7456" spans="1:24" ht="12" customHeight="1">
      <c r="A7456" s="4">
        <v>4568</v>
      </c>
      <c r="B7456" s="4">
        <v>32513</v>
      </c>
      <c r="C7456" s="5">
        <f t="shared" si="3520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521"/>
        <v>40946</v>
      </c>
      <c r="V7456">
        <f t="shared" si="3508"/>
        <v>7</v>
      </c>
      <c r="W7456">
        <f t="shared" si="3506"/>
        <v>2</v>
      </c>
      <c r="X7456">
        <f t="shared" si="3507"/>
        <v>2012</v>
      </c>
    </row>
    <row r="7457" spans="1:24" ht="12" customHeight="1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522">C7457+1</f>
        <v>40259</v>
      </c>
      <c r="V7457">
        <f t="shared" si="3508"/>
        <v>22</v>
      </c>
      <c r="W7457">
        <f t="shared" si="3506"/>
        <v>3</v>
      </c>
      <c r="X7457">
        <f t="shared" si="3507"/>
        <v>2010</v>
      </c>
    </row>
    <row r="7458" spans="1:24" ht="12" customHeight="1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522"/>
        <v>41172</v>
      </c>
      <c r="V7458">
        <f t="shared" si="3508"/>
        <v>20</v>
      </c>
      <c r="W7458">
        <f t="shared" si="3506"/>
        <v>9</v>
      </c>
      <c r="X7458">
        <f t="shared" si="3507"/>
        <v>2012</v>
      </c>
    </row>
    <row r="7459" spans="1:24" ht="12" customHeight="1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  <c r="V7459">
        <f t="shared" si="3508"/>
        <v>5</v>
      </c>
      <c r="W7459">
        <f t="shared" si="3506"/>
        <v>2</v>
      </c>
      <c r="X7459">
        <f t="shared" si="3507"/>
        <v>2012</v>
      </c>
    </row>
    <row r="7460" spans="1:24" ht="12" customHeight="1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  <c r="V7460">
        <f t="shared" si="3508"/>
        <v>6</v>
      </c>
      <c r="W7460">
        <f t="shared" si="3506"/>
        <v>7</v>
      </c>
      <c r="X7460">
        <f t="shared" si="3507"/>
        <v>2009</v>
      </c>
    </row>
    <row r="7461" spans="1:24" ht="12" customHeight="1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  <c r="V7461">
        <f t="shared" si="3508"/>
        <v>18</v>
      </c>
      <c r="W7461">
        <f t="shared" si="3506"/>
        <v>12</v>
      </c>
      <c r="X7461">
        <f t="shared" si="3507"/>
        <v>2012</v>
      </c>
    </row>
    <row r="7462" spans="1:24" ht="12" customHeight="1">
      <c r="A7462" s="4">
        <v>4942</v>
      </c>
      <c r="B7462" s="4">
        <v>35139</v>
      </c>
      <c r="C7462" s="5">
        <f t="shared" ref="C7462:C7464" si="3523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  <c r="V7462">
        <f t="shared" si="3508"/>
        <v>19</v>
      </c>
      <c r="W7462">
        <f t="shared" si="3506"/>
        <v>1</v>
      </c>
      <c r="X7462">
        <f t="shared" si="3507"/>
        <v>2010</v>
      </c>
    </row>
    <row r="7463" spans="1:24" ht="12" customHeight="1">
      <c r="A7463" s="4">
        <v>4943</v>
      </c>
      <c r="B7463" s="4">
        <v>35139</v>
      </c>
      <c r="C7463" s="5">
        <f t="shared" si="3523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524">C7463+2</f>
        <v>40198</v>
      </c>
      <c r="V7463">
        <f t="shared" si="3508"/>
        <v>20</v>
      </c>
      <c r="W7463">
        <f t="shared" si="3506"/>
        <v>1</v>
      </c>
      <c r="X7463">
        <f t="shared" si="3507"/>
        <v>2010</v>
      </c>
    </row>
    <row r="7464" spans="1:24" ht="12" customHeight="1">
      <c r="A7464" s="4">
        <v>4944</v>
      </c>
      <c r="B7464" s="4">
        <v>35139</v>
      </c>
      <c r="C7464" s="5">
        <f t="shared" si="3523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524"/>
        <v>40198</v>
      </c>
      <c r="V7464">
        <f t="shared" si="3508"/>
        <v>20</v>
      </c>
      <c r="W7464">
        <f t="shared" si="3506"/>
        <v>1</v>
      </c>
      <c r="X7464">
        <f t="shared" si="3507"/>
        <v>2010</v>
      </c>
    </row>
    <row r="7465" spans="1:24" ht="12" customHeight="1">
      <c r="A7465" s="4">
        <v>4952</v>
      </c>
      <c r="B7465" s="4">
        <v>35239</v>
      </c>
      <c r="C7465" s="5">
        <f t="shared" ref="C7465:C7466" si="3525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  <c r="V7465">
        <f t="shared" si="3508"/>
        <v>13</v>
      </c>
      <c r="W7465">
        <f t="shared" si="3506"/>
        <v>11</v>
      </c>
      <c r="X7465">
        <f t="shared" si="3507"/>
        <v>2011</v>
      </c>
    </row>
    <row r="7466" spans="1:24" ht="12" customHeight="1">
      <c r="A7466" s="4">
        <v>4953</v>
      </c>
      <c r="B7466" s="4">
        <v>35239</v>
      </c>
      <c r="C7466" s="5">
        <f t="shared" si="3525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  <c r="V7466">
        <f t="shared" si="3508"/>
        <v>14</v>
      </c>
      <c r="W7466">
        <f t="shared" si="3506"/>
        <v>11</v>
      </c>
      <c r="X7466">
        <f t="shared" si="3507"/>
        <v>2011</v>
      </c>
    </row>
    <row r="7467" spans="1:24" ht="12" customHeight="1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  <c r="V7467">
        <f t="shared" si="3508"/>
        <v>14</v>
      </c>
      <c r="W7467">
        <f t="shared" si="3506"/>
        <v>6</v>
      </c>
      <c r="X7467">
        <f t="shared" si="3507"/>
        <v>2011</v>
      </c>
    </row>
    <row r="7468" spans="1:24" ht="12" customHeight="1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  <c r="V7468">
        <f t="shared" si="3508"/>
        <v>15</v>
      </c>
      <c r="W7468">
        <f t="shared" si="3506"/>
        <v>1</v>
      </c>
      <c r="X7468">
        <f t="shared" si="3507"/>
        <v>2010</v>
      </c>
    </row>
    <row r="7469" spans="1:24" ht="12" customHeight="1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  <c r="V7469">
        <f t="shared" si="3508"/>
        <v>27</v>
      </c>
      <c r="W7469">
        <f t="shared" si="3506"/>
        <v>9</v>
      </c>
      <c r="X7469">
        <f t="shared" si="3507"/>
        <v>2012</v>
      </c>
    </row>
    <row r="7470" spans="1:24" ht="12" customHeight="1">
      <c r="A7470" s="4">
        <v>5252</v>
      </c>
      <c r="B7470" s="4">
        <v>37380</v>
      </c>
      <c r="C7470" s="5">
        <f t="shared" ref="C7470:C7472" si="3526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527">C7470+1</f>
        <v>40635</v>
      </c>
      <c r="V7470">
        <f t="shared" si="3508"/>
        <v>2</v>
      </c>
      <c r="W7470">
        <f t="shared" si="3506"/>
        <v>4</v>
      </c>
      <c r="X7470">
        <f t="shared" si="3507"/>
        <v>2011</v>
      </c>
    </row>
    <row r="7471" spans="1:24" ht="12" customHeight="1">
      <c r="A7471" s="4">
        <v>5253</v>
      </c>
      <c r="B7471" s="4">
        <v>37380</v>
      </c>
      <c r="C7471" s="5">
        <f t="shared" si="3526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527"/>
        <v>40635</v>
      </c>
      <c r="V7471">
        <f t="shared" si="3508"/>
        <v>2</v>
      </c>
      <c r="W7471">
        <f t="shared" si="3506"/>
        <v>4</v>
      </c>
      <c r="X7471">
        <f t="shared" si="3507"/>
        <v>2011</v>
      </c>
    </row>
    <row r="7472" spans="1:24" ht="12" customHeight="1">
      <c r="A7472" s="4">
        <v>5254</v>
      </c>
      <c r="B7472" s="4">
        <v>37380</v>
      </c>
      <c r="C7472" s="5">
        <f t="shared" si="3526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527"/>
        <v>40635</v>
      </c>
      <c r="V7472">
        <f t="shared" si="3508"/>
        <v>2</v>
      </c>
      <c r="W7472">
        <f t="shared" si="3506"/>
        <v>4</v>
      </c>
      <c r="X7472">
        <f t="shared" si="3507"/>
        <v>2011</v>
      </c>
    </row>
    <row r="7473" spans="1:24" ht="12" customHeight="1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527"/>
        <v>40958</v>
      </c>
      <c r="V7473">
        <f t="shared" si="3508"/>
        <v>19</v>
      </c>
      <c r="W7473">
        <f t="shared" si="3506"/>
        <v>2</v>
      </c>
      <c r="X7473">
        <f t="shared" si="3507"/>
        <v>2012</v>
      </c>
    </row>
    <row r="7474" spans="1:24" ht="12" customHeight="1">
      <c r="A7474" s="4">
        <v>5373</v>
      </c>
      <c r="B7474" s="4">
        <v>38212</v>
      </c>
      <c r="C7474" s="5">
        <f t="shared" ref="C7474:C7476" si="3528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527"/>
        <v>40638</v>
      </c>
      <c r="V7474">
        <f t="shared" si="3508"/>
        <v>5</v>
      </c>
      <c r="W7474">
        <f t="shared" si="3506"/>
        <v>4</v>
      </c>
      <c r="X7474">
        <f t="shared" si="3507"/>
        <v>2011</v>
      </c>
    </row>
    <row r="7475" spans="1:24" ht="12" customHeight="1">
      <c r="A7475" s="4">
        <v>5374</v>
      </c>
      <c r="B7475" s="4">
        <v>38212</v>
      </c>
      <c r="C7475" s="5">
        <f t="shared" si="3528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529">C7475+2</f>
        <v>40639</v>
      </c>
      <c r="V7475">
        <f t="shared" si="3508"/>
        <v>6</v>
      </c>
      <c r="W7475">
        <f t="shared" si="3506"/>
        <v>4</v>
      </c>
      <c r="X7475">
        <f t="shared" si="3507"/>
        <v>2011</v>
      </c>
    </row>
    <row r="7476" spans="1:24" ht="12" customHeight="1">
      <c r="A7476" s="4">
        <v>5375</v>
      </c>
      <c r="B7476" s="4">
        <v>38212</v>
      </c>
      <c r="C7476" s="5">
        <f t="shared" si="3528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529"/>
        <v>40639</v>
      </c>
      <c r="V7476">
        <f t="shared" si="3508"/>
        <v>6</v>
      </c>
      <c r="W7476">
        <f t="shared" si="3506"/>
        <v>4</v>
      </c>
      <c r="X7476">
        <f t="shared" si="3507"/>
        <v>2011</v>
      </c>
    </row>
    <row r="7477" spans="1:24" ht="12" customHeight="1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529"/>
        <v>40168</v>
      </c>
      <c r="V7477">
        <f t="shared" si="3508"/>
        <v>21</v>
      </c>
      <c r="W7477">
        <f t="shared" si="3506"/>
        <v>12</v>
      </c>
      <c r="X7477">
        <f t="shared" si="3507"/>
        <v>2009</v>
      </c>
    </row>
    <row r="7478" spans="1:24" ht="12" customHeight="1">
      <c r="A7478" s="4">
        <v>5447</v>
      </c>
      <c r="B7478" s="4">
        <v>38661</v>
      </c>
      <c r="C7478" s="5">
        <f t="shared" ref="C7478:C7479" si="3530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  <c r="V7478">
        <f t="shared" si="3508"/>
        <v>13</v>
      </c>
      <c r="W7478">
        <f t="shared" si="3506"/>
        <v>2</v>
      </c>
      <c r="X7478">
        <f t="shared" si="3507"/>
        <v>2012</v>
      </c>
    </row>
    <row r="7479" spans="1:24" ht="12" customHeight="1">
      <c r="A7479" s="4">
        <v>5448</v>
      </c>
      <c r="B7479" s="4">
        <v>38661</v>
      </c>
      <c r="C7479" s="5">
        <f t="shared" si="3530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  <c r="V7479">
        <f t="shared" si="3508"/>
        <v>15</v>
      </c>
      <c r="W7479">
        <f t="shared" si="3506"/>
        <v>2</v>
      </c>
      <c r="X7479">
        <f t="shared" si="3507"/>
        <v>2012</v>
      </c>
    </row>
    <row r="7480" spans="1:24" ht="12" customHeight="1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  <c r="V7480">
        <f t="shared" si="3508"/>
        <v>5</v>
      </c>
      <c r="W7480">
        <f t="shared" si="3506"/>
        <v>2</v>
      </c>
      <c r="X7480">
        <f t="shared" si="3507"/>
        <v>2010</v>
      </c>
    </row>
    <row r="7481" spans="1:24" ht="12" customHeight="1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  <c r="V7481">
        <f t="shared" si="3508"/>
        <v>16</v>
      </c>
      <c r="W7481">
        <f t="shared" si="3506"/>
        <v>7</v>
      </c>
      <c r="X7481">
        <f t="shared" si="3507"/>
        <v>2010</v>
      </c>
    </row>
    <row r="7482" spans="1:24" ht="12" customHeight="1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  <c r="V7482">
        <f t="shared" si="3508"/>
        <v>6</v>
      </c>
      <c r="W7482">
        <f t="shared" si="3506"/>
        <v>2</v>
      </c>
      <c r="X7482">
        <f t="shared" si="3507"/>
        <v>2011</v>
      </c>
    </row>
    <row r="7483" spans="1:24" ht="12" customHeight="1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531">C7483+2</f>
        <v>40684</v>
      </c>
      <c r="V7483">
        <f t="shared" si="3508"/>
        <v>21</v>
      </c>
      <c r="W7483">
        <f t="shared" si="3506"/>
        <v>5</v>
      </c>
      <c r="X7483">
        <f t="shared" si="3507"/>
        <v>2011</v>
      </c>
    </row>
    <row r="7484" spans="1:24" ht="12" customHeight="1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531"/>
        <v>39986</v>
      </c>
      <c r="V7484">
        <f t="shared" si="3508"/>
        <v>22</v>
      </c>
      <c r="W7484">
        <f t="shared" si="3506"/>
        <v>6</v>
      </c>
      <c r="X7484">
        <f t="shared" si="3507"/>
        <v>2009</v>
      </c>
    </row>
    <row r="7485" spans="1:24" ht="12" customHeight="1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  <c r="V7485">
        <f t="shared" si="3508"/>
        <v>22</v>
      </c>
      <c r="W7485">
        <f t="shared" si="3506"/>
        <v>2</v>
      </c>
      <c r="X7485">
        <f t="shared" si="3507"/>
        <v>2012</v>
      </c>
    </row>
    <row r="7486" spans="1:24" ht="12" customHeight="1">
      <c r="A7486" s="4">
        <v>5837</v>
      </c>
      <c r="B7486" s="4">
        <v>41413</v>
      </c>
      <c r="C7486" s="5">
        <f t="shared" ref="C7486:C7488" si="3532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  <c r="V7486">
        <f t="shared" si="3508"/>
        <v>23</v>
      </c>
      <c r="W7486">
        <f t="shared" si="3506"/>
        <v>11</v>
      </c>
      <c r="X7486">
        <f t="shared" si="3507"/>
        <v>2011</v>
      </c>
    </row>
    <row r="7487" spans="1:24" ht="12" customHeight="1">
      <c r="A7487" s="4">
        <v>5838</v>
      </c>
      <c r="B7487" s="4">
        <v>41413</v>
      </c>
      <c r="C7487" s="5">
        <f t="shared" si="3532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  <c r="V7487">
        <f t="shared" si="3508"/>
        <v>18</v>
      </c>
      <c r="W7487">
        <f t="shared" si="3506"/>
        <v>11</v>
      </c>
      <c r="X7487">
        <f t="shared" si="3507"/>
        <v>2011</v>
      </c>
    </row>
    <row r="7488" spans="1:24" ht="12" customHeight="1">
      <c r="A7488" s="4">
        <v>5839</v>
      </c>
      <c r="B7488" s="4">
        <v>41413</v>
      </c>
      <c r="C7488" s="5">
        <f t="shared" si="3532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  <c r="V7488">
        <f t="shared" si="3508"/>
        <v>20</v>
      </c>
      <c r="W7488">
        <f t="shared" si="3506"/>
        <v>11</v>
      </c>
      <c r="X7488">
        <f t="shared" si="3507"/>
        <v>2011</v>
      </c>
    </row>
    <row r="7489" spans="1:24" ht="12" customHeight="1">
      <c r="A7489" s="4">
        <v>5895</v>
      </c>
      <c r="B7489" s="4">
        <v>41824</v>
      </c>
      <c r="C7489" s="5">
        <f t="shared" ref="C7489:C7490" si="3533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  <c r="V7489">
        <f t="shared" si="3508"/>
        <v>5</v>
      </c>
      <c r="W7489">
        <f t="shared" si="3506"/>
        <v>7</v>
      </c>
      <c r="X7489">
        <f t="shared" si="3507"/>
        <v>2010</v>
      </c>
    </row>
    <row r="7490" spans="1:24" ht="12" customHeight="1">
      <c r="A7490" s="4">
        <v>5896</v>
      </c>
      <c r="B7490" s="4">
        <v>41824</v>
      </c>
      <c r="C7490" s="5">
        <f t="shared" si="3533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534">C7490+2</f>
        <v>40365</v>
      </c>
      <c r="V7490">
        <f t="shared" si="3508"/>
        <v>6</v>
      </c>
      <c r="W7490">
        <f t="shared" si="3506"/>
        <v>7</v>
      </c>
      <c r="X7490">
        <f t="shared" si="3507"/>
        <v>2010</v>
      </c>
    </row>
    <row r="7491" spans="1:24" ht="12" customHeight="1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534"/>
        <v>40670</v>
      </c>
      <c r="V7491">
        <f t="shared" si="3508"/>
        <v>7</v>
      </c>
      <c r="W7491">
        <f t="shared" ref="W7491:W7554" si="3535">MONTH(U7491)</f>
        <v>5</v>
      </c>
      <c r="X7491">
        <f t="shared" ref="X7491:X7554" si="3536">YEAR(U7491)</f>
        <v>2011</v>
      </c>
    </row>
    <row r="7492" spans="1:24" ht="12" customHeight="1">
      <c r="A7492" s="4">
        <v>6030</v>
      </c>
      <c r="B7492" s="4">
        <v>42722</v>
      </c>
      <c r="C7492" s="5">
        <f t="shared" ref="C7492:C7493" si="3537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  <c r="V7492">
        <f t="shared" ref="V7492:V7555" si="3538">DAY(U7492)</f>
        <v>8</v>
      </c>
      <c r="W7492">
        <f t="shared" si="3535"/>
        <v>10</v>
      </c>
      <c r="X7492">
        <f t="shared" si="3536"/>
        <v>2012</v>
      </c>
    </row>
    <row r="7493" spans="1:24" ht="12" customHeight="1">
      <c r="A7493" s="4">
        <v>6031</v>
      </c>
      <c r="B7493" s="4">
        <v>42722</v>
      </c>
      <c r="C7493" s="5">
        <f t="shared" si="3537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539">C7493+2</f>
        <v>41191</v>
      </c>
      <c r="V7493">
        <f t="shared" si="3538"/>
        <v>9</v>
      </c>
      <c r="W7493">
        <f t="shared" si="3535"/>
        <v>10</v>
      </c>
      <c r="X7493">
        <f t="shared" si="3536"/>
        <v>2012</v>
      </c>
    </row>
    <row r="7494" spans="1:24" ht="12" customHeight="1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539"/>
        <v>40928</v>
      </c>
      <c r="V7494">
        <f t="shared" si="3538"/>
        <v>20</v>
      </c>
      <c r="W7494">
        <f t="shared" si="3535"/>
        <v>1</v>
      </c>
      <c r="X7494">
        <f t="shared" si="3536"/>
        <v>2012</v>
      </c>
    </row>
    <row r="7495" spans="1:24" ht="12" customHeight="1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  <c r="V7495">
        <f t="shared" si="3538"/>
        <v>27</v>
      </c>
      <c r="W7495">
        <f t="shared" si="3535"/>
        <v>4</v>
      </c>
      <c r="X7495">
        <f t="shared" si="3536"/>
        <v>2011</v>
      </c>
    </row>
    <row r="7496" spans="1:24" ht="12" customHeight="1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  <c r="V7496">
        <f t="shared" si="3538"/>
        <v>4</v>
      </c>
      <c r="W7496">
        <f t="shared" si="3535"/>
        <v>1</v>
      </c>
      <c r="X7496">
        <f t="shared" si="3536"/>
        <v>2011</v>
      </c>
    </row>
    <row r="7497" spans="1:24" ht="12" customHeight="1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  <c r="V7497">
        <f t="shared" si="3538"/>
        <v>15</v>
      </c>
      <c r="W7497">
        <f t="shared" si="3535"/>
        <v>9</v>
      </c>
      <c r="X7497">
        <f t="shared" si="3536"/>
        <v>2011</v>
      </c>
    </row>
    <row r="7498" spans="1:24" ht="12" customHeight="1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  <c r="V7498">
        <f t="shared" si="3538"/>
        <v>26</v>
      </c>
      <c r="W7498">
        <f t="shared" si="3535"/>
        <v>12</v>
      </c>
      <c r="X7498">
        <f t="shared" si="3536"/>
        <v>2009</v>
      </c>
    </row>
    <row r="7499" spans="1:24" ht="12" customHeight="1">
      <c r="A7499" s="4">
        <v>6327</v>
      </c>
      <c r="B7499" s="4">
        <v>44834</v>
      </c>
      <c r="C7499" s="5">
        <f t="shared" ref="C7499:C7500" si="3540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  <c r="V7499">
        <f t="shared" si="3538"/>
        <v>20</v>
      </c>
      <c r="W7499">
        <f t="shared" si="3535"/>
        <v>4</v>
      </c>
      <c r="X7499">
        <f t="shared" si="3536"/>
        <v>2009</v>
      </c>
    </row>
    <row r="7500" spans="1:24" ht="12" customHeight="1">
      <c r="A7500" s="4">
        <v>6328</v>
      </c>
      <c r="B7500" s="4">
        <v>44834</v>
      </c>
      <c r="C7500" s="5">
        <f t="shared" si="3540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541">C7500+1</f>
        <v>39924</v>
      </c>
      <c r="V7500">
        <f t="shared" si="3538"/>
        <v>21</v>
      </c>
      <c r="W7500">
        <f t="shared" si="3535"/>
        <v>4</v>
      </c>
      <c r="X7500">
        <f t="shared" si="3536"/>
        <v>2009</v>
      </c>
    </row>
    <row r="7501" spans="1:24" ht="12" customHeight="1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541"/>
        <v>41166</v>
      </c>
      <c r="V7501">
        <f t="shared" si="3538"/>
        <v>14</v>
      </c>
      <c r="W7501">
        <f t="shared" si="3535"/>
        <v>9</v>
      </c>
      <c r="X7501">
        <f t="shared" si="3536"/>
        <v>2012</v>
      </c>
    </row>
    <row r="7502" spans="1:24" ht="12" customHeight="1">
      <c r="A7502" s="4">
        <v>6654</v>
      </c>
      <c r="B7502" s="4">
        <v>47329</v>
      </c>
      <c r="C7502" s="5">
        <f t="shared" ref="C7502:C7503" si="3542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  <c r="V7502">
        <f t="shared" si="3538"/>
        <v>15</v>
      </c>
      <c r="W7502">
        <f t="shared" si="3535"/>
        <v>2</v>
      </c>
      <c r="X7502">
        <f t="shared" si="3536"/>
        <v>2010</v>
      </c>
    </row>
    <row r="7503" spans="1:24" ht="12" customHeight="1">
      <c r="A7503" s="4">
        <v>6655</v>
      </c>
      <c r="B7503" s="4">
        <v>47329</v>
      </c>
      <c r="C7503" s="5">
        <f t="shared" si="3542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  <c r="V7503">
        <f t="shared" si="3538"/>
        <v>19</v>
      </c>
      <c r="W7503">
        <f t="shared" si="3535"/>
        <v>2</v>
      </c>
      <c r="X7503">
        <f t="shared" si="3536"/>
        <v>2010</v>
      </c>
    </row>
    <row r="7504" spans="1:24" ht="12" customHeight="1">
      <c r="A7504" s="4">
        <v>6666</v>
      </c>
      <c r="B7504" s="4">
        <v>47461</v>
      </c>
      <c r="C7504" s="5">
        <f t="shared" ref="C7504:C7506" si="3543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544">C7504+1</f>
        <v>40294</v>
      </c>
      <c r="V7504">
        <f t="shared" si="3538"/>
        <v>26</v>
      </c>
      <c r="W7504">
        <f t="shared" si="3535"/>
        <v>4</v>
      </c>
      <c r="X7504">
        <f t="shared" si="3536"/>
        <v>2010</v>
      </c>
    </row>
    <row r="7505" spans="1:24" ht="12" customHeight="1">
      <c r="A7505" s="4">
        <v>6667</v>
      </c>
      <c r="B7505" s="4">
        <v>47461</v>
      </c>
      <c r="C7505" s="5">
        <f t="shared" si="3543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544"/>
        <v>40294</v>
      </c>
      <c r="V7505">
        <f t="shared" si="3538"/>
        <v>26</v>
      </c>
      <c r="W7505">
        <f t="shared" si="3535"/>
        <v>4</v>
      </c>
      <c r="X7505">
        <f t="shared" si="3536"/>
        <v>2010</v>
      </c>
    </row>
    <row r="7506" spans="1:24" ht="12" customHeight="1">
      <c r="A7506" s="4">
        <v>6668</v>
      </c>
      <c r="B7506" s="4">
        <v>47461</v>
      </c>
      <c r="C7506" s="5">
        <f t="shared" si="3543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  <c r="V7506">
        <f t="shared" si="3538"/>
        <v>27</v>
      </c>
      <c r="W7506">
        <f t="shared" si="3535"/>
        <v>4</v>
      </c>
      <c r="X7506">
        <f t="shared" si="3536"/>
        <v>2010</v>
      </c>
    </row>
    <row r="7507" spans="1:24" ht="12" customHeight="1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545">C7507+1</f>
        <v>40606</v>
      </c>
      <c r="V7507">
        <f t="shared" si="3538"/>
        <v>4</v>
      </c>
      <c r="W7507">
        <f t="shared" si="3535"/>
        <v>3</v>
      </c>
      <c r="X7507">
        <f t="shared" si="3536"/>
        <v>2011</v>
      </c>
    </row>
    <row r="7508" spans="1:24" ht="12" customHeight="1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545"/>
        <v>41223</v>
      </c>
      <c r="V7508">
        <f t="shared" si="3538"/>
        <v>10</v>
      </c>
      <c r="W7508">
        <f t="shared" si="3535"/>
        <v>11</v>
      </c>
      <c r="X7508">
        <f t="shared" si="3536"/>
        <v>2012</v>
      </c>
    </row>
    <row r="7509" spans="1:24" ht="12" customHeight="1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545"/>
        <v>40645</v>
      </c>
      <c r="V7509">
        <f t="shared" si="3538"/>
        <v>12</v>
      </c>
      <c r="W7509">
        <f t="shared" si="3535"/>
        <v>4</v>
      </c>
      <c r="X7509">
        <f t="shared" si="3536"/>
        <v>2011</v>
      </c>
    </row>
    <row r="7510" spans="1:24" ht="12" customHeight="1">
      <c r="A7510" s="4">
        <v>7124</v>
      </c>
      <c r="B7510" s="4">
        <v>50822</v>
      </c>
      <c r="C7510" s="5">
        <f t="shared" ref="C7510:C7511" si="3546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545"/>
        <v>40947</v>
      </c>
      <c r="V7510">
        <f t="shared" si="3538"/>
        <v>8</v>
      </c>
      <c r="W7510">
        <f t="shared" si="3535"/>
        <v>2</v>
      </c>
      <c r="X7510">
        <f t="shared" si="3536"/>
        <v>2012</v>
      </c>
    </row>
    <row r="7511" spans="1:24" ht="12" customHeight="1">
      <c r="A7511" s="4">
        <v>7125</v>
      </c>
      <c r="B7511" s="4">
        <v>50822</v>
      </c>
      <c r="C7511" s="5">
        <f t="shared" si="3546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545"/>
        <v>40947</v>
      </c>
      <c r="V7511">
        <f t="shared" si="3538"/>
        <v>8</v>
      </c>
      <c r="W7511">
        <f t="shared" si="3535"/>
        <v>2</v>
      </c>
      <c r="X7511">
        <f t="shared" si="3536"/>
        <v>2012</v>
      </c>
    </row>
    <row r="7512" spans="1:24" ht="12" customHeight="1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545"/>
        <v>40062</v>
      </c>
      <c r="V7512">
        <f t="shared" si="3538"/>
        <v>6</v>
      </c>
      <c r="W7512">
        <f t="shared" si="3535"/>
        <v>9</v>
      </c>
      <c r="X7512">
        <f t="shared" si="3536"/>
        <v>2009</v>
      </c>
    </row>
    <row r="7513" spans="1:24" ht="12" customHeight="1">
      <c r="A7513" s="4">
        <v>7264</v>
      </c>
      <c r="B7513" s="4">
        <v>51815</v>
      </c>
      <c r="C7513" s="5">
        <f t="shared" ref="C7513:C7514" si="3547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  <c r="V7513">
        <f t="shared" si="3538"/>
        <v>2</v>
      </c>
      <c r="W7513">
        <f t="shared" si="3535"/>
        <v>6</v>
      </c>
      <c r="X7513">
        <f t="shared" si="3536"/>
        <v>2009</v>
      </c>
    </row>
    <row r="7514" spans="1:24" ht="12" customHeight="1">
      <c r="A7514" s="4">
        <v>7265</v>
      </c>
      <c r="B7514" s="4">
        <v>51815</v>
      </c>
      <c r="C7514" s="5">
        <f t="shared" si="3547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  <c r="V7514">
        <f t="shared" si="3538"/>
        <v>26</v>
      </c>
      <c r="W7514">
        <f t="shared" si="3535"/>
        <v>5</v>
      </c>
      <c r="X7514">
        <f t="shared" si="3536"/>
        <v>2009</v>
      </c>
    </row>
    <row r="7515" spans="1:24" ht="12" customHeight="1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548">C7515+1</f>
        <v>40788</v>
      </c>
      <c r="V7515">
        <f t="shared" si="3538"/>
        <v>2</v>
      </c>
      <c r="W7515">
        <f t="shared" si="3535"/>
        <v>9</v>
      </c>
      <c r="X7515">
        <f t="shared" si="3536"/>
        <v>2011</v>
      </c>
    </row>
    <row r="7516" spans="1:24" ht="12" customHeight="1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548"/>
        <v>40505</v>
      </c>
      <c r="V7516">
        <f t="shared" si="3538"/>
        <v>23</v>
      </c>
      <c r="W7516">
        <f t="shared" si="3535"/>
        <v>11</v>
      </c>
      <c r="X7516">
        <f t="shared" si="3536"/>
        <v>2010</v>
      </c>
    </row>
    <row r="7517" spans="1:24" ht="12" customHeight="1">
      <c r="A7517" s="4">
        <v>7392</v>
      </c>
      <c r="B7517" s="4">
        <v>52675</v>
      </c>
      <c r="C7517" s="5">
        <f t="shared" ref="C7517:C7518" si="3549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550">C7517+2</f>
        <v>40828</v>
      </c>
      <c r="V7517">
        <f t="shared" si="3538"/>
        <v>12</v>
      </c>
      <c r="W7517">
        <f t="shared" si="3535"/>
        <v>10</v>
      </c>
      <c r="X7517">
        <f t="shared" si="3536"/>
        <v>2011</v>
      </c>
    </row>
    <row r="7518" spans="1:24" ht="12" customHeight="1">
      <c r="A7518" s="4">
        <v>7393</v>
      </c>
      <c r="B7518" s="4">
        <v>52675</v>
      </c>
      <c r="C7518" s="5">
        <f t="shared" si="3549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550"/>
        <v>40828</v>
      </c>
      <c r="V7518">
        <f t="shared" si="3538"/>
        <v>12</v>
      </c>
      <c r="W7518">
        <f t="shared" si="3535"/>
        <v>10</v>
      </c>
      <c r="X7518">
        <f t="shared" si="3536"/>
        <v>2011</v>
      </c>
    </row>
    <row r="7519" spans="1:24" ht="12" customHeight="1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  <c r="V7519">
        <f t="shared" si="3538"/>
        <v>23</v>
      </c>
      <c r="W7519">
        <f t="shared" si="3535"/>
        <v>8</v>
      </c>
      <c r="X7519">
        <f t="shared" si="3536"/>
        <v>2011</v>
      </c>
    </row>
    <row r="7520" spans="1:24" ht="12" customHeight="1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551">C7520+1</f>
        <v>40917</v>
      </c>
      <c r="V7520">
        <f t="shared" si="3538"/>
        <v>9</v>
      </c>
      <c r="W7520">
        <f t="shared" si="3535"/>
        <v>1</v>
      </c>
      <c r="X7520">
        <f t="shared" si="3536"/>
        <v>2012</v>
      </c>
    </row>
    <row r="7521" spans="1:24" ht="12" customHeight="1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551"/>
        <v>40278</v>
      </c>
      <c r="V7521">
        <f t="shared" si="3538"/>
        <v>10</v>
      </c>
      <c r="W7521">
        <f t="shared" si="3535"/>
        <v>4</v>
      </c>
      <c r="X7521">
        <f t="shared" si="3536"/>
        <v>2010</v>
      </c>
    </row>
    <row r="7522" spans="1:24" ht="12" customHeight="1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  <c r="V7522">
        <f t="shared" si="3538"/>
        <v>24</v>
      </c>
      <c r="W7522">
        <f t="shared" si="3535"/>
        <v>8</v>
      </c>
      <c r="X7522">
        <f t="shared" si="3536"/>
        <v>2012</v>
      </c>
    </row>
    <row r="7523" spans="1:24" ht="12" customHeight="1">
      <c r="A7523" s="4">
        <v>8060</v>
      </c>
      <c r="B7523" s="4">
        <v>57511</v>
      </c>
      <c r="C7523" s="5">
        <f t="shared" ref="C7523:C7524" si="3552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  <c r="V7523">
        <f t="shared" si="3538"/>
        <v>7</v>
      </c>
      <c r="W7523">
        <f t="shared" si="3535"/>
        <v>10</v>
      </c>
      <c r="X7523">
        <f t="shared" si="3536"/>
        <v>2009</v>
      </c>
    </row>
    <row r="7524" spans="1:24" ht="12" customHeight="1">
      <c r="A7524" s="4">
        <v>8061</v>
      </c>
      <c r="B7524" s="4">
        <v>57511</v>
      </c>
      <c r="C7524" s="5">
        <f t="shared" si="3552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  <c r="V7524">
        <f t="shared" si="3538"/>
        <v>8</v>
      </c>
      <c r="W7524">
        <f t="shared" si="3535"/>
        <v>10</v>
      </c>
      <c r="X7524">
        <f t="shared" si="3536"/>
        <v>2009</v>
      </c>
    </row>
    <row r="7525" spans="1:24" ht="12" customHeight="1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  <c r="V7525">
        <f t="shared" si="3538"/>
        <v>1</v>
      </c>
      <c r="W7525">
        <f t="shared" si="3535"/>
        <v>5</v>
      </c>
      <c r="X7525">
        <f t="shared" si="3536"/>
        <v>2010</v>
      </c>
    </row>
    <row r="7526" spans="1:24" ht="12" customHeight="1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  <c r="V7526">
        <f t="shared" si="3538"/>
        <v>27</v>
      </c>
      <c r="W7526">
        <f t="shared" si="3535"/>
        <v>10</v>
      </c>
      <c r="X7526">
        <f t="shared" si="3536"/>
        <v>2012</v>
      </c>
    </row>
    <row r="7527" spans="1:24" ht="12" customHeight="1">
      <c r="A7527" s="4">
        <v>8145</v>
      </c>
      <c r="B7527" s="4">
        <v>58247</v>
      </c>
      <c r="C7527" s="5">
        <f t="shared" ref="C7527:C7528" si="3553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  <c r="V7527">
        <f t="shared" si="3538"/>
        <v>23</v>
      </c>
      <c r="W7527">
        <f t="shared" si="3535"/>
        <v>9</v>
      </c>
      <c r="X7527">
        <f t="shared" si="3536"/>
        <v>2011</v>
      </c>
    </row>
    <row r="7528" spans="1:24" ht="12" customHeight="1">
      <c r="A7528" s="4">
        <v>8146</v>
      </c>
      <c r="B7528" s="4">
        <v>58247</v>
      </c>
      <c r="C7528" s="5">
        <f t="shared" si="3553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  <c r="V7528">
        <f t="shared" si="3538"/>
        <v>25</v>
      </c>
      <c r="W7528">
        <f t="shared" si="3535"/>
        <v>9</v>
      </c>
      <c r="X7528">
        <f t="shared" si="3536"/>
        <v>2011</v>
      </c>
    </row>
    <row r="7529" spans="1:24" ht="12" customHeight="1">
      <c r="A7529" s="4">
        <v>8178</v>
      </c>
      <c r="B7529" s="4">
        <v>58470</v>
      </c>
      <c r="C7529" s="5">
        <f t="shared" ref="C7529:C7533" si="3554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  <c r="V7529">
        <f t="shared" si="3538"/>
        <v>9</v>
      </c>
      <c r="W7529">
        <f t="shared" si="3535"/>
        <v>6</v>
      </c>
      <c r="X7529">
        <f t="shared" si="3536"/>
        <v>2011</v>
      </c>
    </row>
    <row r="7530" spans="1:24" ht="12" customHeight="1">
      <c r="A7530" s="4">
        <v>8179</v>
      </c>
      <c r="B7530" s="4">
        <v>58470</v>
      </c>
      <c r="C7530" s="5">
        <f t="shared" si="3554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  <c r="V7530">
        <f t="shared" si="3538"/>
        <v>8</v>
      </c>
      <c r="W7530">
        <f t="shared" si="3535"/>
        <v>6</v>
      </c>
      <c r="X7530">
        <f t="shared" si="3536"/>
        <v>2011</v>
      </c>
    </row>
    <row r="7531" spans="1:24" ht="12" customHeight="1">
      <c r="A7531" s="4">
        <v>8180</v>
      </c>
      <c r="B7531" s="4">
        <v>58470</v>
      </c>
      <c r="C7531" s="5">
        <f t="shared" si="3554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  <c r="V7531">
        <f t="shared" si="3538"/>
        <v>9</v>
      </c>
      <c r="W7531">
        <f t="shared" si="3535"/>
        <v>6</v>
      </c>
      <c r="X7531">
        <f t="shared" si="3536"/>
        <v>2011</v>
      </c>
    </row>
    <row r="7532" spans="1:24" ht="12" customHeight="1">
      <c r="A7532" s="4">
        <v>8181</v>
      </c>
      <c r="B7532" s="4">
        <v>58470</v>
      </c>
      <c r="C7532" s="5">
        <f t="shared" si="3554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  <c r="V7532">
        <f t="shared" si="3538"/>
        <v>10</v>
      </c>
      <c r="W7532">
        <f t="shared" si="3535"/>
        <v>6</v>
      </c>
      <c r="X7532">
        <f t="shared" si="3536"/>
        <v>2011</v>
      </c>
    </row>
    <row r="7533" spans="1:24" ht="12" customHeight="1">
      <c r="A7533" s="4">
        <v>8182</v>
      </c>
      <c r="B7533" s="4">
        <v>58470</v>
      </c>
      <c r="C7533" s="5">
        <f t="shared" si="3554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  <c r="V7533">
        <f t="shared" si="3538"/>
        <v>9</v>
      </c>
      <c r="W7533">
        <f t="shared" si="3535"/>
        <v>6</v>
      </c>
      <c r="X7533">
        <f t="shared" si="3536"/>
        <v>2011</v>
      </c>
    </row>
    <row r="7534" spans="1:24" ht="12" customHeight="1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  <c r="V7534">
        <f t="shared" si="3538"/>
        <v>28</v>
      </c>
      <c r="W7534">
        <f t="shared" si="3535"/>
        <v>1</v>
      </c>
      <c r="X7534">
        <f t="shared" si="3536"/>
        <v>2009</v>
      </c>
    </row>
    <row r="7535" spans="1:24" ht="12" customHeight="1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  <c r="V7535">
        <f t="shared" si="3538"/>
        <v>20</v>
      </c>
      <c r="W7535">
        <f t="shared" si="3535"/>
        <v>2</v>
      </c>
      <c r="X7535">
        <f t="shared" si="3536"/>
        <v>2010</v>
      </c>
    </row>
    <row r="7536" spans="1:24" ht="12" customHeight="1">
      <c r="A7536" s="4">
        <v>62</v>
      </c>
      <c r="B7536" s="4">
        <v>358</v>
      </c>
      <c r="C7536" s="5">
        <f t="shared" ref="C7536:C7537" si="3555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  <c r="V7536">
        <f t="shared" si="3538"/>
        <v>21</v>
      </c>
      <c r="W7536">
        <f t="shared" si="3535"/>
        <v>9</v>
      </c>
      <c r="X7536">
        <f t="shared" si="3536"/>
        <v>2010</v>
      </c>
    </row>
    <row r="7537" spans="1:24" ht="12" customHeight="1">
      <c r="A7537" s="4">
        <v>63</v>
      </c>
      <c r="B7537" s="4">
        <v>358</v>
      </c>
      <c r="C7537" s="5">
        <f t="shared" si="3555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  <c r="V7537">
        <f t="shared" si="3538"/>
        <v>19</v>
      </c>
      <c r="W7537">
        <f t="shared" si="3535"/>
        <v>9</v>
      </c>
      <c r="X7537">
        <f t="shared" si="3536"/>
        <v>2010</v>
      </c>
    </row>
    <row r="7538" spans="1:24" ht="12" customHeight="1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  <c r="V7538">
        <f t="shared" si="3538"/>
        <v>15</v>
      </c>
      <c r="W7538">
        <f t="shared" si="3535"/>
        <v>3</v>
      </c>
      <c r="X7538">
        <f t="shared" si="3536"/>
        <v>2011</v>
      </c>
    </row>
    <row r="7539" spans="1:24" ht="12" customHeight="1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  <c r="V7539">
        <f t="shared" si="3538"/>
        <v>23</v>
      </c>
      <c r="W7539">
        <f t="shared" si="3535"/>
        <v>9</v>
      </c>
      <c r="X7539">
        <f t="shared" si="3536"/>
        <v>2010</v>
      </c>
    </row>
    <row r="7540" spans="1:24" ht="12" customHeight="1">
      <c r="A7540" s="4">
        <v>437</v>
      </c>
      <c r="B7540" s="4">
        <v>2915</v>
      </c>
      <c r="C7540" s="5">
        <f t="shared" ref="C7540:C7541" si="3556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  <c r="V7540">
        <f t="shared" si="3538"/>
        <v>3</v>
      </c>
      <c r="W7540">
        <f t="shared" si="3535"/>
        <v>4</v>
      </c>
      <c r="X7540">
        <f t="shared" si="3536"/>
        <v>2009</v>
      </c>
    </row>
    <row r="7541" spans="1:24" ht="12" customHeight="1">
      <c r="A7541" s="4">
        <v>438</v>
      </c>
      <c r="B7541" s="4">
        <v>2915</v>
      </c>
      <c r="C7541" s="5">
        <f t="shared" si="3556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  <c r="V7541">
        <f t="shared" si="3538"/>
        <v>4</v>
      </c>
      <c r="W7541">
        <f t="shared" si="3535"/>
        <v>4</v>
      </c>
      <c r="X7541">
        <f t="shared" si="3536"/>
        <v>2009</v>
      </c>
    </row>
    <row r="7542" spans="1:24" ht="12" customHeight="1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557">C7542+2</f>
        <v>40878</v>
      </c>
      <c r="V7542">
        <f t="shared" si="3538"/>
        <v>1</v>
      </c>
      <c r="W7542">
        <f t="shared" si="3535"/>
        <v>12</v>
      </c>
      <c r="X7542">
        <f t="shared" si="3536"/>
        <v>2011</v>
      </c>
    </row>
    <row r="7543" spans="1:24" ht="12" customHeight="1">
      <c r="A7543" s="4">
        <v>628</v>
      </c>
      <c r="B7543" s="4">
        <v>4389</v>
      </c>
      <c r="C7543" s="5">
        <f t="shared" ref="C7543:C7545" si="3558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557"/>
        <v>39939</v>
      </c>
      <c r="V7543">
        <f t="shared" si="3538"/>
        <v>6</v>
      </c>
      <c r="W7543">
        <f t="shared" si="3535"/>
        <v>5</v>
      </c>
      <c r="X7543">
        <f t="shared" si="3536"/>
        <v>2009</v>
      </c>
    </row>
    <row r="7544" spans="1:24" ht="12" customHeight="1">
      <c r="A7544" s="4">
        <v>629</v>
      </c>
      <c r="B7544" s="4">
        <v>4389</v>
      </c>
      <c r="C7544" s="5">
        <f t="shared" si="3558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  <c r="V7544">
        <f t="shared" si="3538"/>
        <v>5</v>
      </c>
      <c r="W7544">
        <f t="shared" si="3535"/>
        <v>5</v>
      </c>
      <c r="X7544">
        <f t="shared" si="3536"/>
        <v>2009</v>
      </c>
    </row>
    <row r="7545" spans="1:24" ht="12" customHeight="1">
      <c r="A7545" s="4">
        <v>630</v>
      </c>
      <c r="B7545" s="4">
        <v>4389</v>
      </c>
      <c r="C7545" s="5">
        <f t="shared" si="3558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  <c r="V7545">
        <f t="shared" si="3538"/>
        <v>4</v>
      </c>
      <c r="W7545">
        <f t="shared" si="3535"/>
        <v>5</v>
      </c>
      <c r="X7545">
        <f t="shared" si="3536"/>
        <v>2009</v>
      </c>
    </row>
    <row r="7546" spans="1:24" ht="12" customHeight="1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559">C7546+2</f>
        <v>40646</v>
      </c>
      <c r="V7546">
        <f t="shared" si="3538"/>
        <v>13</v>
      </c>
      <c r="W7546">
        <f t="shared" si="3535"/>
        <v>4</v>
      </c>
      <c r="X7546">
        <f t="shared" si="3536"/>
        <v>2011</v>
      </c>
    </row>
    <row r="7547" spans="1:24" ht="12" customHeight="1">
      <c r="A7547" s="4">
        <v>975</v>
      </c>
      <c r="B7547" s="4">
        <v>7078</v>
      </c>
      <c r="C7547" s="5">
        <f t="shared" ref="C7547:C7550" si="3560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559"/>
        <v>40281</v>
      </c>
      <c r="V7547">
        <f t="shared" si="3538"/>
        <v>13</v>
      </c>
      <c r="W7547">
        <f t="shared" si="3535"/>
        <v>4</v>
      </c>
      <c r="X7547">
        <f t="shared" si="3536"/>
        <v>2010</v>
      </c>
    </row>
    <row r="7548" spans="1:24" ht="12" customHeight="1">
      <c r="A7548" s="4">
        <v>976</v>
      </c>
      <c r="B7548" s="4">
        <v>7078</v>
      </c>
      <c r="C7548" s="5">
        <f t="shared" si="3560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  <c r="V7548">
        <f t="shared" si="3538"/>
        <v>12</v>
      </c>
      <c r="W7548">
        <f t="shared" si="3535"/>
        <v>4</v>
      </c>
      <c r="X7548">
        <f t="shared" si="3536"/>
        <v>2010</v>
      </c>
    </row>
    <row r="7549" spans="1:24" ht="12" customHeight="1">
      <c r="A7549" s="4">
        <v>977</v>
      </c>
      <c r="B7549" s="4">
        <v>7078</v>
      </c>
      <c r="C7549" s="5">
        <f t="shared" si="3560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  <c r="V7549">
        <f t="shared" si="3538"/>
        <v>13</v>
      </c>
      <c r="W7549">
        <f t="shared" si="3535"/>
        <v>4</v>
      </c>
      <c r="X7549">
        <f t="shared" si="3536"/>
        <v>2010</v>
      </c>
    </row>
    <row r="7550" spans="1:24" ht="12" customHeight="1">
      <c r="A7550" s="4">
        <v>978</v>
      </c>
      <c r="B7550" s="4">
        <v>7078</v>
      </c>
      <c r="C7550" s="5">
        <f t="shared" si="3560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  <c r="V7550">
        <f t="shared" si="3538"/>
        <v>12</v>
      </c>
      <c r="W7550">
        <f t="shared" si="3535"/>
        <v>4</v>
      </c>
      <c r="X7550">
        <f t="shared" si="3536"/>
        <v>2010</v>
      </c>
    </row>
    <row r="7551" spans="1:24" ht="12" customHeight="1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561">C7551+2</f>
        <v>40221</v>
      </c>
      <c r="V7551">
        <f t="shared" si="3538"/>
        <v>12</v>
      </c>
      <c r="W7551">
        <f t="shared" si="3535"/>
        <v>2</v>
      </c>
      <c r="X7551">
        <f t="shared" si="3536"/>
        <v>2010</v>
      </c>
    </row>
    <row r="7552" spans="1:24" ht="12" customHeight="1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561"/>
        <v>40519</v>
      </c>
      <c r="V7552">
        <f t="shared" si="3538"/>
        <v>7</v>
      </c>
      <c r="W7552">
        <f t="shared" si="3535"/>
        <v>12</v>
      </c>
      <c r="X7552">
        <f t="shared" si="3536"/>
        <v>2010</v>
      </c>
    </row>
    <row r="7553" spans="1:24" ht="12" customHeight="1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562">C7553+1</f>
        <v>40258</v>
      </c>
      <c r="V7553">
        <f t="shared" si="3538"/>
        <v>21</v>
      </c>
      <c r="W7553">
        <f t="shared" si="3535"/>
        <v>3</v>
      </c>
      <c r="X7553">
        <f t="shared" si="3536"/>
        <v>2010</v>
      </c>
    </row>
    <row r="7554" spans="1:24" ht="12" customHeight="1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562"/>
        <v>40774</v>
      </c>
      <c r="V7554">
        <f t="shared" si="3538"/>
        <v>19</v>
      </c>
      <c r="W7554">
        <f t="shared" si="3535"/>
        <v>8</v>
      </c>
      <c r="X7554">
        <f t="shared" si="3536"/>
        <v>2011</v>
      </c>
    </row>
    <row r="7555" spans="1:24" ht="12" customHeight="1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  <c r="V7555">
        <f t="shared" si="3538"/>
        <v>27</v>
      </c>
      <c r="W7555">
        <f t="shared" ref="W7555:W7618" si="3563">MONTH(U7555)</f>
        <v>11</v>
      </c>
      <c r="X7555">
        <f t="shared" ref="X7555:X7618" si="3564">YEAR(U7555)</f>
        <v>2012</v>
      </c>
    </row>
    <row r="7556" spans="1:24" ht="12" customHeight="1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565">C7556+1</f>
        <v>41265</v>
      </c>
      <c r="V7556">
        <f t="shared" ref="V7556:V7619" si="3566">DAY(U7556)</f>
        <v>22</v>
      </c>
      <c r="W7556">
        <f t="shared" si="3563"/>
        <v>12</v>
      </c>
      <c r="X7556">
        <f t="shared" si="3564"/>
        <v>2012</v>
      </c>
    </row>
    <row r="7557" spans="1:24" ht="12" customHeight="1">
      <c r="A7557" s="4">
        <v>1522</v>
      </c>
      <c r="B7557" s="4">
        <v>10982</v>
      </c>
      <c r="C7557" s="5">
        <f t="shared" ref="C7557:C7559" si="3567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565"/>
        <v>41254</v>
      </c>
      <c r="V7557">
        <f t="shared" si="3566"/>
        <v>11</v>
      </c>
      <c r="W7557">
        <f t="shared" si="3563"/>
        <v>12</v>
      </c>
      <c r="X7557">
        <f t="shared" si="3564"/>
        <v>2012</v>
      </c>
    </row>
    <row r="7558" spans="1:24" ht="12" customHeight="1">
      <c r="A7558" s="4">
        <v>1523</v>
      </c>
      <c r="B7558" s="4">
        <v>10982</v>
      </c>
      <c r="C7558" s="5">
        <f t="shared" si="3567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568">C7558+2</f>
        <v>41255</v>
      </c>
      <c r="V7558">
        <f t="shared" si="3566"/>
        <v>12</v>
      </c>
      <c r="W7558">
        <f t="shared" si="3563"/>
        <v>12</v>
      </c>
      <c r="X7558">
        <f t="shared" si="3564"/>
        <v>2012</v>
      </c>
    </row>
    <row r="7559" spans="1:24" ht="12" customHeight="1">
      <c r="A7559" s="4">
        <v>1524</v>
      </c>
      <c r="B7559" s="4">
        <v>10982</v>
      </c>
      <c r="C7559" s="5">
        <f t="shared" si="3567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568"/>
        <v>41255</v>
      </c>
      <c r="V7559">
        <f t="shared" si="3566"/>
        <v>12</v>
      </c>
      <c r="W7559">
        <f t="shared" si="3563"/>
        <v>12</v>
      </c>
      <c r="X7559">
        <f t="shared" si="3564"/>
        <v>2012</v>
      </c>
    </row>
    <row r="7560" spans="1:24" ht="12" customHeight="1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  <c r="V7560">
        <f t="shared" si="3566"/>
        <v>8</v>
      </c>
      <c r="W7560">
        <f t="shared" si="3563"/>
        <v>9</v>
      </c>
      <c r="X7560">
        <f t="shared" si="3564"/>
        <v>2010</v>
      </c>
    </row>
    <row r="7561" spans="1:24" ht="12" customHeight="1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  <c r="V7561">
        <f t="shared" si="3566"/>
        <v>19</v>
      </c>
      <c r="W7561">
        <f t="shared" si="3563"/>
        <v>3</v>
      </c>
      <c r="X7561">
        <f t="shared" si="3564"/>
        <v>2009</v>
      </c>
    </row>
    <row r="7562" spans="1:24" ht="12" customHeight="1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  <c r="V7562">
        <f t="shared" si="3566"/>
        <v>23</v>
      </c>
      <c r="W7562">
        <f t="shared" si="3563"/>
        <v>5</v>
      </c>
      <c r="X7562">
        <f t="shared" si="3564"/>
        <v>2012</v>
      </c>
    </row>
    <row r="7563" spans="1:24" ht="12" customHeight="1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  <c r="V7563">
        <f t="shared" si="3566"/>
        <v>29</v>
      </c>
      <c r="W7563">
        <f t="shared" si="3563"/>
        <v>11</v>
      </c>
      <c r="X7563">
        <f t="shared" si="3564"/>
        <v>2009</v>
      </c>
    </row>
    <row r="7564" spans="1:24" ht="12" customHeight="1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  <c r="V7564">
        <f t="shared" si="3566"/>
        <v>1</v>
      </c>
      <c r="W7564">
        <f t="shared" si="3563"/>
        <v>4</v>
      </c>
      <c r="X7564">
        <f t="shared" si="3564"/>
        <v>2012</v>
      </c>
    </row>
    <row r="7565" spans="1:24" ht="12" customHeight="1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  <c r="V7565">
        <f t="shared" si="3566"/>
        <v>30</v>
      </c>
      <c r="W7565">
        <f t="shared" si="3563"/>
        <v>10</v>
      </c>
      <c r="X7565">
        <f t="shared" si="3564"/>
        <v>2010</v>
      </c>
    </row>
    <row r="7566" spans="1:24" ht="12" customHeight="1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  <c r="V7566">
        <f t="shared" si="3566"/>
        <v>24</v>
      </c>
      <c r="W7566">
        <f t="shared" si="3563"/>
        <v>8</v>
      </c>
      <c r="X7566">
        <f t="shared" si="3564"/>
        <v>2011</v>
      </c>
    </row>
    <row r="7567" spans="1:24" ht="12" customHeight="1">
      <c r="A7567" s="4">
        <v>2574</v>
      </c>
      <c r="B7567" s="4">
        <v>18593</v>
      </c>
      <c r="C7567" s="5">
        <f t="shared" ref="C7567:C7568" si="3569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  <c r="V7567">
        <f t="shared" si="3566"/>
        <v>23</v>
      </c>
      <c r="W7567">
        <f t="shared" si="3563"/>
        <v>9</v>
      </c>
      <c r="X7567">
        <f t="shared" si="3564"/>
        <v>2011</v>
      </c>
    </row>
    <row r="7568" spans="1:24" ht="12" customHeight="1">
      <c r="A7568" s="4">
        <v>2575</v>
      </c>
      <c r="B7568" s="4">
        <v>18593</v>
      </c>
      <c r="C7568" s="5">
        <f t="shared" si="3569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  <c r="V7568">
        <f t="shared" si="3566"/>
        <v>24</v>
      </c>
      <c r="W7568">
        <f t="shared" si="3563"/>
        <v>9</v>
      </c>
      <c r="X7568">
        <f t="shared" si="3564"/>
        <v>2011</v>
      </c>
    </row>
    <row r="7569" spans="1:24" ht="12" customHeight="1">
      <c r="A7569" s="4">
        <v>2722</v>
      </c>
      <c r="B7569" s="4">
        <v>19652</v>
      </c>
      <c r="C7569" s="5">
        <f t="shared" ref="C7569:C7570" si="3570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  <c r="V7569">
        <f t="shared" si="3566"/>
        <v>3</v>
      </c>
      <c r="W7569">
        <f t="shared" si="3563"/>
        <v>6</v>
      </c>
      <c r="X7569">
        <f t="shared" si="3564"/>
        <v>2012</v>
      </c>
    </row>
    <row r="7570" spans="1:24" ht="12" customHeight="1">
      <c r="A7570" s="4">
        <v>2723</v>
      </c>
      <c r="B7570" s="4">
        <v>19652</v>
      </c>
      <c r="C7570" s="5">
        <f t="shared" si="3570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  <c r="V7570">
        <f t="shared" si="3566"/>
        <v>4</v>
      </c>
      <c r="W7570">
        <f t="shared" si="3563"/>
        <v>6</v>
      </c>
      <c r="X7570">
        <f t="shared" si="3564"/>
        <v>2012</v>
      </c>
    </row>
    <row r="7571" spans="1:24" ht="12" customHeight="1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  <c r="V7571">
        <f t="shared" si="3566"/>
        <v>16</v>
      </c>
      <c r="W7571">
        <f t="shared" si="3563"/>
        <v>12</v>
      </c>
      <c r="X7571">
        <f t="shared" si="3564"/>
        <v>2011</v>
      </c>
    </row>
    <row r="7572" spans="1:24" ht="12" customHeight="1">
      <c r="A7572" s="4">
        <v>3047</v>
      </c>
      <c r="B7572" s="4">
        <v>21862</v>
      </c>
      <c r="C7572" s="5">
        <f t="shared" ref="C7572:C7574" si="3571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  <c r="V7572">
        <f t="shared" si="3566"/>
        <v>12</v>
      </c>
      <c r="W7572">
        <f t="shared" si="3563"/>
        <v>9</v>
      </c>
      <c r="X7572">
        <f t="shared" si="3564"/>
        <v>2010</v>
      </c>
    </row>
    <row r="7573" spans="1:24" ht="12" customHeight="1">
      <c r="A7573" s="4">
        <v>3048</v>
      </c>
      <c r="B7573" s="4">
        <v>21862</v>
      </c>
      <c r="C7573" s="5">
        <f t="shared" si="3571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  <c r="V7573">
        <f t="shared" si="3566"/>
        <v>14</v>
      </c>
      <c r="W7573">
        <f t="shared" si="3563"/>
        <v>9</v>
      </c>
      <c r="X7573">
        <f t="shared" si="3564"/>
        <v>2010</v>
      </c>
    </row>
    <row r="7574" spans="1:24" ht="12" customHeight="1">
      <c r="A7574" s="4">
        <v>3049</v>
      </c>
      <c r="B7574" s="4">
        <v>21862</v>
      </c>
      <c r="C7574" s="5">
        <f t="shared" si="3571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  <c r="V7574">
        <f t="shared" si="3566"/>
        <v>13</v>
      </c>
      <c r="W7574">
        <f t="shared" si="3563"/>
        <v>9</v>
      </c>
      <c r="X7574">
        <f t="shared" si="3564"/>
        <v>2010</v>
      </c>
    </row>
    <row r="7575" spans="1:24" ht="12" customHeight="1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  <c r="V7575">
        <f t="shared" si="3566"/>
        <v>5</v>
      </c>
      <c r="W7575">
        <f t="shared" si="3563"/>
        <v>4</v>
      </c>
      <c r="X7575">
        <f t="shared" si="3564"/>
        <v>2011</v>
      </c>
    </row>
    <row r="7576" spans="1:24" ht="12" customHeight="1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  <c r="V7576">
        <f t="shared" si="3566"/>
        <v>23</v>
      </c>
      <c r="W7576">
        <f t="shared" si="3563"/>
        <v>5</v>
      </c>
      <c r="X7576">
        <f t="shared" si="3564"/>
        <v>2009</v>
      </c>
    </row>
    <row r="7577" spans="1:24" ht="12" customHeight="1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572">C7577+1</f>
        <v>40437</v>
      </c>
      <c r="V7577">
        <f t="shared" si="3566"/>
        <v>16</v>
      </c>
      <c r="W7577">
        <f t="shared" si="3563"/>
        <v>9</v>
      </c>
      <c r="X7577">
        <f t="shared" si="3564"/>
        <v>2010</v>
      </c>
    </row>
    <row r="7578" spans="1:24" ht="12" customHeight="1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572"/>
        <v>40455</v>
      </c>
      <c r="V7578">
        <f t="shared" si="3566"/>
        <v>4</v>
      </c>
      <c r="W7578">
        <f t="shared" si="3563"/>
        <v>10</v>
      </c>
      <c r="X7578">
        <f t="shared" si="3564"/>
        <v>2010</v>
      </c>
    </row>
    <row r="7579" spans="1:24" ht="12" customHeight="1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573">C7579+2</f>
        <v>41171</v>
      </c>
      <c r="V7579">
        <f t="shared" si="3566"/>
        <v>19</v>
      </c>
      <c r="W7579">
        <f t="shared" si="3563"/>
        <v>9</v>
      </c>
      <c r="X7579">
        <f t="shared" si="3564"/>
        <v>2012</v>
      </c>
    </row>
    <row r="7580" spans="1:24" ht="12" customHeight="1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573"/>
        <v>40223</v>
      </c>
      <c r="V7580">
        <f t="shared" si="3566"/>
        <v>14</v>
      </c>
      <c r="W7580">
        <f t="shared" si="3563"/>
        <v>2</v>
      </c>
      <c r="X7580">
        <f t="shared" si="3564"/>
        <v>2010</v>
      </c>
    </row>
    <row r="7581" spans="1:24" ht="12" customHeight="1">
      <c r="A7581" s="4">
        <v>3887</v>
      </c>
      <c r="B7581" s="4">
        <v>27750</v>
      </c>
      <c r="C7581" s="5">
        <f t="shared" ref="C7581:C7582" si="3574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  <c r="V7581">
        <f t="shared" si="3566"/>
        <v>23</v>
      </c>
      <c r="W7581">
        <f t="shared" si="3563"/>
        <v>10</v>
      </c>
      <c r="X7581">
        <f t="shared" si="3564"/>
        <v>2012</v>
      </c>
    </row>
    <row r="7582" spans="1:24" ht="12" customHeight="1">
      <c r="A7582" s="4">
        <v>3888</v>
      </c>
      <c r="B7582" s="4">
        <v>27750</v>
      </c>
      <c r="C7582" s="5">
        <f t="shared" si="3574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  <c r="V7582">
        <f t="shared" si="3566"/>
        <v>19</v>
      </c>
      <c r="W7582">
        <f t="shared" si="3563"/>
        <v>10</v>
      </c>
      <c r="X7582">
        <f t="shared" si="3564"/>
        <v>2012</v>
      </c>
    </row>
    <row r="7583" spans="1:24" ht="12" customHeight="1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  <c r="V7583">
        <f t="shared" si="3566"/>
        <v>15</v>
      </c>
      <c r="W7583">
        <f t="shared" si="3563"/>
        <v>10</v>
      </c>
      <c r="X7583">
        <f t="shared" si="3564"/>
        <v>2011</v>
      </c>
    </row>
    <row r="7584" spans="1:24" ht="12" customHeight="1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  <c r="V7584">
        <f t="shared" si="3566"/>
        <v>1</v>
      </c>
      <c r="W7584">
        <f t="shared" si="3563"/>
        <v>11</v>
      </c>
      <c r="X7584">
        <f t="shared" si="3564"/>
        <v>2011</v>
      </c>
    </row>
    <row r="7585" spans="1:24" ht="12" customHeight="1">
      <c r="A7585" s="4">
        <v>4521</v>
      </c>
      <c r="B7585" s="4">
        <v>32165</v>
      </c>
      <c r="C7585" s="5">
        <f t="shared" ref="C7585:C7586" si="3575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  <c r="V7585">
        <f t="shared" si="3566"/>
        <v>16</v>
      </c>
      <c r="W7585">
        <f t="shared" si="3563"/>
        <v>10</v>
      </c>
      <c r="X7585">
        <f t="shared" si="3564"/>
        <v>2012</v>
      </c>
    </row>
    <row r="7586" spans="1:24" ht="12" customHeight="1">
      <c r="A7586" s="4">
        <v>4522</v>
      </c>
      <c r="B7586" s="4">
        <v>32165</v>
      </c>
      <c r="C7586" s="5">
        <f t="shared" si="3575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576">C7586+1</f>
        <v>41197</v>
      </c>
      <c r="V7586">
        <f t="shared" si="3566"/>
        <v>15</v>
      </c>
      <c r="W7586">
        <f t="shared" si="3563"/>
        <v>10</v>
      </c>
      <c r="X7586">
        <f t="shared" si="3564"/>
        <v>2012</v>
      </c>
    </row>
    <row r="7587" spans="1:24" ht="12" customHeight="1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576"/>
        <v>41215</v>
      </c>
      <c r="V7587">
        <f t="shared" si="3566"/>
        <v>2</v>
      </c>
      <c r="W7587">
        <f t="shared" si="3563"/>
        <v>11</v>
      </c>
      <c r="X7587">
        <f t="shared" si="3564"/>
        <v>2012</v>
      </c>
    </row>
    <row r="7588" spans="1:24" ht="12" customHeight="1">
      <c r="A7588" s="4">
        <v>4627</v>
      </c>
      <c r="B7588" s="4">
        <v>32931</v>
      </c>
      <c r="C7588" s="5">
        <f t="shared" ref="C7588:C7589" si="3577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  <c r="V7588">
        <f t="shared" si="3566"/>
        <v>22</v>
      </c>
      <c r="W7588">
        <f t="shared" si="3563"/>
        <v>2</v>
      </c>
      <c r="X7588">
        <f t="shared" si="3564"/>
        <v>2010</v>
      </c>
    </row>
    <row r="7589" spans="1:24" ht="12" customHeight="1">
      <c r="A7589" s="4">
        <v>4628</v>
      </c>
      <c r="B7589" s="4">
        <v>32931</v>
      </c>
      <c r="C7589" s="5">
        <f t="shared" si="3577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  <c r="V7589">
        <f t="shared" si="3566"/>
        <v>20</v>
      </c>
      <c r="W7589">
        <f t="shared" si="3563"/>
        <v>2</v>
      </c>
      <c r="X7589">
        <f t="shared" si="3564"/>
        <v>2010</v>
      </c>
    </row>
    <row r="7590" spans="1:24" ht="12" customHeight="1">
      <c r="A7590" s="4">
        <v>4660</v>
      </c>
      <c r="B7590" s="4">
        <v>33189</v>
      </c>
      <c r="C7590" s="5">
        <f t="shared" ref="C7590:C7591" si="3578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  <c r="V7590">
        <f t="shared" si="3566"/>
        <v>27</v>
      </c>
      <c r="W7590">
        <f t="shared" si="3563"/>
        <v>11</v>
      </c>
      <c r="X7590">
        <f t="shared" si="3564"/>
        <v>2009</v>
      </c>
    </row>
    <row r="7591" spans="1:24" ht="12" customHeight="1">
      <c r="A7591" s="4">
        <v>4661</v>
      </c>
      <c r="B7591" s="4">
        <v>33189</v>
      </c>
      <c r="C7591" s="5">
        <f t="shared" si="3578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  <c r="V7591">
        <f t="shared" si="3566"/>
        <v>24</v>
      </c>
      <c r="W7591">
        <f t="shared" si="3563"/>
        <v>11</v>
      </c>
      <c r="X7591">
        <f t="shared" si="3564"/>
        <v>2009</v>
      </c>
    </row>
    <row r="7592" spans="1:24" ht="12" customHeight="1">
      <c r="A7592" s="4">
        <v>4699</v>
      </c>
      <c r="B7592" s="4">
        <v>33479</v>
      </c>
      <c r="C7592" s="5">
        <f t="shared" ref="C7592:C7593" si="3579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580">C7592+2</f>
        <v>41172</v>
      </c>
      <c r="V7592">
        <f t="shared" si="3566"/>
        <v>20</v>
      </c>
      <c r="W7592">
        <f t="shared" si="3563"/>
        <v>9</v>
      </c>
      <c r="X7592">
        <f t="shared" si="3564"/>
        <v>2012</v>
      </c>
    </row>
    <row r="7593" spans="1:24" ht="12" customHeight="1">
      <c r="A7593" s="4">
        <v>4700</v>
      </c>
      <c r="B7593" s="4">
        <v>33479</v>
      </c>
      <c r="C7593" s="5">
        <f t="shared" si="3579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580"/>
        <v>41172</v>
      </c>
      <c r="V7593">
        <f t="shared" si="3566"/>
        <v>20</v>
      </c>
      <c r="W7593">
        <f t="shared" si="3563"/>
        <v>9</v>
      </c>
      <c r="X7593">
        <f t="shared" si="3564"/>
        <v>2012</v>
      </c>
    </row>
    <row r="7594" spans="1:24" ht="12" customHeight="1">
      <c r="A7594" s="4">
        <v>4827</v>
      </c>
      <c r="B7594" s="4">
        <v>34311</v>
      </c>
      <c r="C7594" s="5">
        <f t="shared" ref="C7594:C7595" si="3581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  <c r="V7594">
        <f t="shared" si="3566"/>
        <v>6</v>
      </c>
      <c r="W7594">
        <f t="shared" si="3563"/>
        <v>9</v>
      </c>
      <c r="X7594">
        <f t="shared" si="3564"/>
        <v>2009</v>
      </c>
    </row>
    <row r="7595" spans="1:24" ht="12" customHeight="1">
      <c r="A7595" s="4">
        <v>4828</v>
      </c>
      <c r="B7595" s="4">
        <v>34311</v>
      </c>
      <c r="C7595" s="5">
        <f t="shared" si="3581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582">C7595+2</f>
        <v>40063</v>
      </c>
      <c r="V7595">
        <f t="shared" si="3566"/>
        <v>7</v>
      </c>
      <c r="W7595">
        <f t="shared" si="3563"/>
        <v>9</v>
      </c>
      <c r="X7595">
        <f t="shared" si="3564"/>
        <v>2009</v>
      </c>
    </row>
    <row r="7596" spans="1:24" ht="12" customHeight="1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582"/>
        <v>40336</v>
      </c>
      <c r="V7596">
        <f t="shared" si="3566"/>
        <v>7</v>
      </c>
      <c r="W7596">
        <f t="shared" si="3563"/>
        <v>6</v>
      </c>
      <c r="X7596">
        <f t="shared" si="3564"/>
        <v>2010</v>
      </c>
    </row>
    <row r="7597" spans="1:24" ht="12" customHeight="1">
      <c r="A7597" s="4">
        <v>4947</v>
      </c>
      <c r="B7597" s="4">
        <v>35173</v>
      </c>
      <c r="C7597" s="5">
        <f t="shared" ref="C7597:C7598" si="3583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582"/>
        <v>40983</v>
      </c>
      <c r="V7597">
        <f t="shared" si="3566"/>
        <v>15</v>
      </c>
      <c r="W7597">
        <f t="shared" si="3563"/>
        <v>3</v>
      </c>
      <c r="X7597">
        <f t="shared" si="3564"/>
        <v>2012</v>
      </c>
    </row>
    <row r="7598" spans="1:24" ht="12" customHeight="1">
      <c r="A7598" s="4">
        <v>4948</v>
      </c>
      <c r="B7598" s="4">
        <v>35173</v>
      </c>
      <c r="C7598" s="5">
        <f t="shared" si="3583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582"/>
        <v>40983</v>
      </c>
      <c r="V7598">
        <f t="shared" si="3566"/>
        <v>15</v>
      </c>
      <c r="W7598">
        <f t="shared" si="3563"/>
        <v>3</v>
      </c>
      <c r="X7598">
        <f t="shared" si="3564"/>
        <v>2012</v>
      </c>
    </row>
    <row r="7599" spans="1:24" ht="12" customHeight="1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582"/>
        <v>40446</v>
      </c>
      <c r="V7599">
        <f t="shared" si="3566"/>
        <v>25</v>
      </c>
      <c r="W7599">
        <f t="shared" si="3563"/>
        <v>9</v>
      </c>
      <c r="X7599">
        <f t="shared" si="3564"/>
        <v>2010</v>
      </c>
    </row>
    <row r="7600" spans="1:24" ht="12" customHeight="1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  <c r="V7600">
        <f t="shared" si="3566"/>
        <v>6</v>
      </c>
      <c r="W7600">
        <f t="shared" si="3563"/>
        <v>12</v>
      </c>
      <c r="X7600">
        <f t="shared" si="3564"/>
        <v>2010</v>
      </c>
    </row>
    <row r="7601" spans="1:24" ht="12" customHeight="1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  <c r="V7601">
        <f t="shared" si="3566"/>
        <v>11</v>
      </c>
      <c r="W7601">
        <f t="shared" si="3563"/>
        <v>12</v>
      </c>
      <c r="X7601">
        <f t="shared" si="3564"/>
        <v>2009</v>
      </c>
    </row>
    <row r="7602" spans="1:24" ht="12" customHeight="1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  <c r="V7602">
        <f t="shared" si="3566"/>
        <v>2</v>
      </c>
      <c r="W7602">
        <f t="shared" si="3563"/>
        <v>2</v>
      </c>
      <c r="X7602">
        <f t="shared" si="3564"/>
        <v>2009</v>
      </c>
    </row>
    <row r="7603" spans="1:24" ht="12" customHeight="1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  <c r="V7603">
        <f t="shared" si="3566"/>
        <v>26</v>
      </c>
      <c r="W7603">
        <f t="shared" si="3563"/>
        <v>1</v>
      </c>
      <c r="X7603">
        <f t="shared" si="3564"/>
        <v>2010</v>
      </c>
    </row>
    <row r="7604" spans="1:24" ht="12" customHeight="1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584">C7604+1</f>
        <v>40603</v>
      </c>
      <c r="V7604">
        <f t="shared" si="3566"/>
        <v>1</v>
      </c>
      <c r="W7604">
        <f t="shared" si="3563"/>
        <v>3</v>
      </c>
      <c r="X7604">
        <f t="shared" si="3564"/>
        <v>2011</v>
      </c>
    </row>
    <row r="7605" spans="1:24" ht="12" customHeight="1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584"/>
        <v>40838</v>
      </c>
      <c r="V7605">
        <f t="shared" si="3566"/>
        <v>22</v>
      </c>
      <c r="W7605">
        <f t="shared" si="3563"/>
        <v>10</v>
      </c>
      <c r="X7605">
        <f t="shared" si="3564"/>
        <v>2011</v>
      </c>
    </row>
    <row r="7606" spans="1:24" ht="12" customHeight="1">
      <c r="A7606" s="4">
        <v>5932</v>
      </c>
      <c r="B7606" s="4">
        <v>42083</v>
      </c>
      <c r="C7606" s="5">
        <f t="shared" ref="C7606:C7608" si="3585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586">C7606+2</f>
        <v>40890</v>
      </c>
      <c r="V7606">
        <f t="shared" si="3566"/>
        <v>13</v>
      </c>
      <c r="W7606">
        <f t="shared" si="3563"/>
        <v>12</v>
      </c>
      <c r="X7606">
        <f t="shared" si="3564"/>
        <v>2011</v>
      </c>
    </row>
    <row r="7607" spans="1:24" ht="12" customHeight="1">
      <c r="A7607" s="4">
        <v>5933</v>
      </c>
      <c r="B7607" s="4">
        <v>42083</v>
      </c>
      <c r="C7607" s="5">
        <f t="shared" si="3585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586"/>
        <v>40890</v>
      </c>
      <c r="V7607">
        <f t="shared" si="3566"/>
        <v>13</v>
      </c>
      <c r="W7607">
        <f t="shared" si="3563"/>
        <v>12</v>
      </c>
      <c r="X7607">
        <f t="shared" si="3564"/>
        <v>2011</v>
      </c>
    </row>
    <row r="7608" spans="1:24" ht="12" customHeight="1">
      <c r="A7608" s="4">
        <v>5934</v>
      </c>
      <c r="B7608" s="4">
        <v>42083</v>
      </c>
      <c r="C7608" s="5">
        <f t="shared" si="3585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  <c r="V7608">
        <f t="shared" si="3566"/>
        <v>11</v>
      </c>
      <c r="W7608">
        <f t="shared" si="3563"/>
        <v>12</v>
      </c>
      <c r="X7608">
        <f t="shared" si="3564"/>
        <v>2011</v>
      </c>
    </row>
    <row r="7609" spans="1:24" ht="12" customHeight="1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  <c r="V7609">
        <f t="shared" si="3566"/>
        <v>18</v>
      </c>
      <c r="W7609">
        <f t="shared" si="3563"/>
        <v>12</v>
      </c>
      <c r="X7609">
        <f t="shared" si="3564"/>
        <v>2010</v>
      </c>
    </row>
    <row r="7610" spans="1:24" ht="12" customHeight="1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587">C7610+0</f>
        <v>40344</v>
      </c>
      <c r="V7610">
        <f t="shared" si="3566"/>
        <v>15</v>
      </c>
      <c r="W7610">
        <f t="shared" si="3563"/>
        <v>6</v>
      </c>
      <c r="X7610">
        <f t="shared" si="3564"/>
        <v>2010</v>
      </c>
    </row>
    <row r="7611" spans="1:24" ht="12" customHeight="1">
      <c r="A7611" s="4">
        <v>6200</v>
      </c>
      <c r="B7611" s="4">
        <v>43911</v>
      </c>
      <c r="C7611" s="5">
        <f t="shared" ref="C7611:C7613" si="3588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587"/>
        <v>39827</v>
      </c>
      <c r="V7611">
        <f t="shared" si="3566"/>
        <v>14</v>
      </c>
      <c r="W7611">
        <f t="shared" si="3563"/>
        <v>1</v>
      </c>
      <c r="X7611">
        <f t="shared" si="3564"/>
        <v>2009</v>
      </c>
    </row>
    <row r="7612" spans="1:24" ht="12" customHeight="1">
      <c r="A7612" s="4">
        <v>6201</v>
      </c>
      <c r="B7612" s="4">
        <v>43911</v>
      </c>
      <c r="C7612" s="5">
        <f t="shared" si="3588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  <c r="V7612">
        <f t="shared" si="3566"/>
        <v>15</v>
      </c>
      <c r="W7612">
        <f t="shared" si="3563"/>
        <v>1</v>
      </c>
      <c r="X7612">
        <f t="shared" si="3564"/>
        <v>2009</v>
      </c>
    </row>
    <row r="7613" spans="1:24" ht="12" customHeight="1">
      <c r="A7613" s="4">
        <v>6202</v>
      </c>
      <c r="B7613" s="4">
        <v>43911</v>
      </c>
      <c r="C7613" s="5">
        <f t="shared" si="3588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  <c r="V7613">
        <f t="shared" si="3566"/>
        <v>16</v>
      </c>
      <c r="W7613">
        <f t="shared" si="3563"/>
        <v>1</v>
      </c>
      <c r="X7613">
        <f t="shared" si="3564"/>
        <v>2009</v>
      </c>
    </row>
    <row r="7614" spans="1:24" ht="12" customHeight="1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  <c r="V7614">
        <f t="shared" si="3566"/>
        <v>4</v>
      </c>
      <c r="W7614">
        <f t="shared" si="3563"/>
        <v>9</v>
      </c>
      <c r="X7614">
        <f t="shared" si="3564"/>
        <v>2010</v>
      </c>
    </row>
    <row r="7615" spans="1:24" ht="12" customHeight="1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  <c r="V7615">
        <f t="shared" si="3566"/>
        <v>12</v>
      </c>
      <c r="W7615">
        <f t="shared" si="3563"/>
        <v>7</v>
      </c>
      <c r="X7615">
        <f t="shared" si="3564"/>
        <v>2012</v>
      </c>
    </row>
    <row r="7616" spans="1:24" ht="12" customHeight="1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589">C7616+1</f>
        <v>40916</v>
      </c>
      <c r="V7616">
        <f t="shared" si="3566"/>
        <v>8</v>
      </c>
      <c r="W7616">
        <f t="shared" si="3563"/>
        <v>1</v>
      </c>
      <c r="X7616">
        <f t="shared" si="3564"/>
        <v>2012</v>
      </c>
    </row>
    <row r="7617" spans="1:24" ht="12" customHeight="1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589"/>
        <v>40525</v>
      </c>
      <c r="V7617">
        <f t="shared" si="3566"/>
        <v>13</v>
      </c>
      <c r="W7617">
        <f t="shared" si="3563"/>
        <v>12</v>
      </c>
      <c r="X7617">
        <f t="shared" si="3564"/>
        <v>2010</v>
      </c>
    </row>
    <row r="7618" spans="1:24" ht="12" customHeight="1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589"/>
        <v>40993</v>
      </c>
      <c r="V7618">
        <f t="shared" si="3566"/>
        <v>25</v>
      </c>
      <c r="W7618">
        <f t="shared" si="3563"/>
        <v>3</v>
      </c>
      <c r="X7618">
        <f t="shared" si="3564"/>
        <v>2012</v>
      </c>
    </row>
    <row r="7619" spans="1:24" ht="12" customHeight="1">
      <c r="A7619" s="4">
        <v>6544</v>
      </c>
      <c r="B7619" s="4">
        <v>46533</v>
      </c>
      <c r="C7619" s="5">
        <f t="shared" ref="C7619:C7620" si="3590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589"/>
        <v>40094</v>
      </c>
      <c r="V7619">
        <f t="shared" si="3566"/>
        <v>8</v>
      </c>
      <c r="W7619">
        <f t="shared" ref="W7619:W7682" si="3591">MONTH(U7619)</f>
        <v>10</v>
      </c>
      <c r="X7619">
        <f t="shared" ref="X7619:X7682" si="3592">YEAR(U7619)</f>
        <v>2009</v>
      </c>
    </row>
    <row r="7620" spans="1:24" ht="12" customHeight="1">
      <c r="A7620" s="4">
        <v>6545</v>
      </c>
      <c r="B7620" s="4">
        <v>46533</v>
      </c>
      <c r="C7620" s="5">
        <f t="shared" si="3590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  <c r="V7620">
        <f t="shared" ref="V7620:V7683" si="3593">DAY(U7620)</f>
        <v>9</v>
      </c>
      <c r="W7620">
        <f t="shared" si="3591"/>
        <v>10</v>
      </c>
      <c r="X7620">
        <f t="shared" si="3592"/>
        <v>2009</v>
      </c>
    </row>
    <row r="7621" spans="1:24" ht="12" customHeight="1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594">C7621+1</f>
        <v>40389</v>
      </c>
      <c r="V7621">
        <f t="shared" si="3593"/>
        <v>30</v>
      </c>
      <c r="W7621">
        <f t="shared" si="3591"/>
        <v>7</v>
      </c>
      <c r="X7621">
        <f t="shared" si="3592"/>
        <v>2010</v>
      </c>
    </row>
    <row r="7622" spans="1:24" ht="12" customHeight="1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594"/>
        <v>41026</v>
      </c>
      <c r="V7622">
        <f t="shared" si="3593"/>
        <v>27</v>
      </c>
      <c r="W7622">
        <f t="shared" si="3591"/>
        <v>4</v>
      </c>
      <c r="X7622">
        <f t="shared" si="3592"/>
        <v>2012</v>
      </c>
    </row>
    <row r="7623" spans="1:24" ht="12" customHeight="1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595">C7623+2</f>
        <v>41018</v>
      </c>
      <c r="V7623">
        <f t="shared" si="3593"/>
        <v>19</v>
      </c>
      <c r="W7623">
        <f t="shared" si="3591"/>
        <v>4</v>
      </c>
      <c r="X7623">
        <f t="shared" si="3592"/>
        <v>2012</v>
      </c>
    </row>
    <row r="7624" spans="1:24" ht="12" customHeight="1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595"/>
        <v>39862</v>
      </c>
      <c r="V7624">
        <f t="shared" si="3593"/>
        <v>18</v>
      </c>
      <c r="W7624">
        <f t="shared" si="3591"/>
        <v>2</v>
      </c>
      <c r="X7624">
        <f t="shared" si="3592"/>
        <v>2009</v>
      </c>
    </row>
    <row r="7625" spans="1:24" ht="12" customHeight="1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  <c r="V7625">
        <f t="shared" si="3593"/>
        <v>19</v>
      </c>
      <c r="W7625">
        <f t="shared" si="3591"/>
        <v>8</v>
      </c>
      <c r="X7625">
        <f t="shared" si="3592"/>
        <v>2010</v>
      </c>
    </row>
    <row r="7626" spans="1:24" ht="12" customHeight="1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  <c r="V7626">
        <f t="shared" si="3593"/>
        <v>21</v>
      </c>
      <c r="W7626">
        <f t="shared" si="3591"/>
        <v>11</v>
      </c>
      <c r="X7626">
        <f t="shared" si="3592"/>
        <v>2011</v>
      </c>
    </row>
    <row r="7627" spans="1:24" ht="12" customHeight="1">
      <c r="A7627" s="4">
        <v>7189</v>
      </c>
      <c r="B7627" s="4">
        <v>51271</v>
      </c>
      <c r="C7627" s="5">
        <f t="shared" ref="C7627:C7628" si="359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597">C7627+2</f>
        <v>40478</v>
      </c>
      <c r="V7627">
        <f t="shared" si="3593"/>
        <v>27</v>
      </c>
      <c r="W7627">
        <f t="shared" si="3591"/>
        <v>10</v>
      </c>
      <c r="X7627">
        <f t="shared" si="3592"/>
        <v>2010</v>
      </c>
    </row>
    <row r="7628" spans="1:24" ht="12" customHeight="1">
      <c r="A7628" s="4">
        <v>7190</v>
      </c>
      <c r="B7628" s="4">
        <v>51271</v>
      </c>
      <c r="C7628" s="5">
        <f t="shared" si="359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597"/>
        <v>40478</v>
      </c>
      <c r="V7628">
        <f t="shared" si="3593"/>
        <v>27</v>
      </c>
      <c r="W7628">
        <f t="shared" si="3591"/>
        <v>10</v>
      </c>
      <c r="X7628">
        <f t="shared" si="3592"/>
        <v>2010</v>
      </c>
    </row>
    <row r="7629" spans="1:24" ht="12" customHeight="1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  <c r="V7629">
        <f t="shared" si="3593"/>
        <v>20</v>
      </c>
      <c r="W7629">
        <f t="shared" si="3591"/>
        <v>11</v>
      </c>
      <c r="X7629">
        <f t="shared" si="3592"/>
        <v>2012</v>
      </c>
    </row>
    <row r="7630" spans="1:24" ht="12" customHeight="1">
      <c r="A7630" s="4">
        <v>7266</v>
      </c>
      <c r="B7630" s="4">
        <v>51842</v>
      </c>
      <c r="C7630" s="5">
        <f t="shared" ref="C7630:C7631" si="359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  <c r="V7630">
        <f t="shared" si="3593"/>
        <v>3</v>
      </c>
      <c r="W7630">
        <f t="shared" si="3591"/>
        <v>12</v>
      </c>
      <c r="X7630">
        <f t="shared" si="3592"/>
        <v>2011</v>
      </c>
    </row>
    <row r="7631" spans="1:24" ht="12" customHeight="1">
      <c r="A7631" s="4">
        <v>7267</v>
      </c>
      <c r="B7631" s="4">
        <v>51842</v>
      </c>
      <c r="C7631" s="5">
        <f t="shared" si="359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  <c r="V7631">
        <f t="shared" si="3593"/>
        <v>2</v>
      </c>
      <c r="W7631">
        <f t="shared" si="3591"/>
        <v>12</v>
      </c>
      <c r="X7631">
        <f t="shared" si="3592"/>
        <v>2011</v>
      </c>
    </row>
    <row r="7632" spans="1:24" ht="12" customHeight="1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  <c r="V7632">
        <f t="shared" si="3593"/>
        <v>6</v>
      </c>
      <c r="W7632">
        <f t="shared" si="3591"/>
        <v>9</v>
      </c>
      <c r="X7632">
        <f t="shared" si="3592"/>
        <v>2009</v>
      </c>
    </row>
    <row r="7633" spans="1:24" ht="12" customHeight="1">
      <c r="A7633" s="4">
        <v>7374</v>
      </c>
      <c r="B7633" s="4">
        <v>52578</v>
      </c>
      <c r="C7633" s="5">
        <f t="shared" ref="C7633:C7634" si="359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  <c r="V7633">
        <f t="shared" si="3593"/>
        <v>9</v>
      </c>
      <c r="W7633">
        <f t="shared" si="3591"/>
        <v>3</v>
      </c>
      <c r="X7633">
        <f t="shared" si="3592"/>
        <v>2011</v>
      </c>
    </row>
    <row r="7634" spans="1:24" ht="12" customHeight="1">
      <c r="A7634" s="4">
        <v>7375</v>
      </c>
      <c r="B7634" s="4">
        <v>52578</v>
      </c>
      <c r="C7634" s="5">
        <f t="shared" si="359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  <c r="V7634">
        <f t="shared" si="3593"/>
        <v>10</v>
      </c>
      <c r="W7634">
        <f t="shared" si="3591"/>
        <v>3</v>
      </c>
      <c r="X7634">
        <f t="shared" si="3592"/>
        <v>2011</v>
      </c>
    </row>
    <row r="7635" spans="1:24" ht="12" customHeight="1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  <c r="V7635">
        <f t="shared" si="3593"/>
        <v>26</v>
      </c>
      <c r="W7635">
        <f t="shared" si="3591"/>
        <v>10</v>
      </c>
      <c r="X7635">
        <f t="shared" si="3592"/>
        <v>2010</v>
      </c>
    </row>
    <row r="7636" spans="1:24" ht="12" customHeight="1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  <c r="V7636">
        <f t="shared" si="3593"/>
        <v>5</v>
      </c>
      <c r="W7636">
        <f t="shared" si="3591"/>
        <v>1</v>
      </c>
      <c r="X7636">
        <f t="shared" si="3592"/>
        <v>2012</v>
      </c>
    </row>
    <row r="7637" spans="1:24" ht="12" customHeight="1">
      <c r="A7637" s="4">
        <v>7594</v>
      </c>
      <c r="B7637" s="4">
        <v>54342</v>
      </c>
      <c r="C7637" s="5">
        <f t="shared" ref="C7637:C7638" si="360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601">C7637+0</f>
        <v>39972</v>
      </c>
      <c r="V7637">
        <f t="shared" si="3593"/>
        <v>8</v>
      </c>
      <c r="W7637">
        <f t="shared" si="3591"/>
        <v>6</v>
      </c>
      <c r="X7637">
        <f t="shared" si="3592"/>
        <v>2009</v>
      </c>
    </row>
    <row r="7638" spans="1:24" ht="12" customHeight="1">
      <c r="A7638" s="4">
        <v>7595</v>
      </c>
      <c r="B7638" s="4">
        <v>54342</v>
      </c>
      <c r="C7638" s="5">
        <f t="shared" si="360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601"/>
        <v>39972</v>
      </c>
      <c r="V7638">
        <f t="shared" si="3593"/>
        <v>8</v>
      </c>
      <c r="W7638">
        <f t="shared" si="3591"/>
        <v>6</v>
      </c>
      <c r="X7638">
        <f t="shared" si="3592"/>
        <v>2009</v>
      </c>
    </row>
    <row r="7639" spans="1:24" ht="12" customHeight="1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  <c r="V7639">
        <f t="shared" si="3593"/>
        <v>21</v>
      </c>
      <c r="W7639">
        <f t="shared" si="3591"/>
        <v>11</v>
      </c>
      <c r="X7639">
        <f t="shared" si="3592"/>
        <v>2012</v>
      </c>
    </row>
    <row r="7640" spans="1:24" ht="12" customHeight="1">
      <c r="A7640" s="4">
        <v>7664</v>
      </c>
      <c r="B7640" s="4">
        <v>54949</v>
      </c>
      <c r="C7640" s="5">
        <f t="shared" ref="C7640:C7641" si="360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  <c r="V7640">
        <f t="shared" si="3593"/>
        <v>15</v>
      </c>
      <c r="W7640">
        <f t="shared" si="3591"/>
        <v>8</v>
      </c>
      <c r="X7640">
        <f t="shared" si="3592"/>
        <v>2009</v>
      </c>
    </row>
    <row r="7641" spans="1:24" ht="12" customHeight="1">
      <c r="A7641" s="4">
        <v>7665</v>
      </c>
      <c r="B7641" s="4">
        <v>54949</v>
      </c>
      <c r="C7641" s="5">
        <f t="shared" si="360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  <c r="V7641">
        <f t="shared" si="3593"/>
        <v>17</v>
      </c>
      <c r="W7641">
        <f t="shared" si="3591"/>
        <v>8</v>
      </c>
      <c r="X7641">
        <f t="shared" si="3592"/>
        <v>2009</v>
      </c>
    </row>
    <row r="7642" spans="1:24" ht="12" customHeight="1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  <c r="V7642">
        <f t="shared" si="3593"/>
        <v>28</v>
      </c>
      <c r="W7642">
        <f t="shared" si="3591"/>
        <v>7</v>
      </c>
      <c r="X7642">
        <f t="shared" si="3592"/>
        <v>2012</v>
      </c>
    </row>
    <row r="7643" spans="1:24" ht="12" customHeight="1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603">C7643+2</f>
        <v>40851</v>
      </c>
      <c r="V7643">
        <f t="shared" si="3593"/>
        <v>4</v>
      </c>
      <c r="W7643">
        <f t="shared" si="3591"/>
        <v>11</v>
      </c>
      <c r="X7643">
        <f t="shared" si="3592"/>
        <v>2011</v>
      </c>
    </row>
    <row r="7644" spans="1:24" ht="12" customHeight="1">
      <c r="A7644" s="4">
        <v>7954</v>
      </c>
      <c r="B7644" s="4">
        <v>56834</v>
      </c>
      <c r="C7644" s="5">
        <f t="shared" ref="C7644:C7645" si="360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603"/>
        <v>40666</v>
      </c>
      <c r="V7644">
        <f t="shared" si="3593"/>
        <v>3</v>
      </c>
      <c r="W7644">
        <f t="shared" si="3591"/>
        <v>5</v>
      </c>
      <c r="X7644">
        <f t="shared" si="3592"/>
        <v>2011</v>
      </c>
    </row>
    <row r="7645" spans="1:24" ht="12" customHeight="1">
      <c r="A7645" s="4">
        <v>7955</v>
      </c>
      <c r="B7645" s="4">
        <v>56834</v>
      </c>
      <c r="C7645" s="5">
        <f t="shared" si="360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  <c r="V7645">
        <f t="shared" si="3593"/>
        <v>2</v>
      </c>
      <c r="W7645">
        <f t="shared" si="3591"/>
        <v>5</v>
      </c>
      <c r="X7645">
        <f t="shared" si="3592"/>
        <v>2011</v>
      </c>
    </row>
    <row r="7646" spans="1:24" ht="12" customHeight="1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  <c r="V7646">
        <f t="shared" si="3593"/>
        <v>24</v>
      </c>
      <c r="W7646">
        <f t="shared" si="3591"/>
        <v>10</v>
      </c>
      <c r="X7646">
        <f t="shared" si="3592"/>
        <v>2011</v>
      </c>
    </row>
    <row r="7647" spans="1:24" ht="12" customHeight="1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605">C7647+2</f>
        <v>41195</v>
      </c>
      <c r="V7647">
        <f t="shared" si="3593"/>
        <v>13</v>
      </c>
      <c r="W7647">
        <f t="shared" si="3591"/>
        <v>10</v>
      </c>
      <c r="X7647">
        <f t="shared" si="3592"/>
        <v>2012</v>
      </c>
    </row>
    <row r="7648" spans="1:24" ht="12" customHeight="1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605"/>
        <v>40576</v>
      </c>
      <c r="V7648">
        <f t="shared" si="3593"/>
        <v>2</v>
      </c>
      <c r="W7648">
        <f t="shared" si="3591"/>
        <v>2</v>
      </c>
      <c r="X7648">
        <f t="shared" si="3592"/>
        <v>2011</v>
      </c>
    </row>
    <row r="7649" spans="1:24" ht="12" customHeight="1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  <c r="V7649">
        <f t="shared" si="3593"/>
        <v>13</v>
      </c>
      <c r="W7649">
        <f t="shared" si="3591"/>
        <v>3</v>
      </c>
      <c r="X7649">
        <f t="shared" si="3592"/>
        <v>2011</v>
      </c>
    </row>
    <row r="7650" spans="1:24" ht="12" customHeight="1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  <c r="V7650">
        <f t="shared" si="3593"/>
        <v>3</v>
      </c>
      <c r="W7650">
        <f t="shared" si="3591"/>
        <v>2</v>
      </c>
      <c r="X7650">
        <f t="shared" si="3592"/>
        <v>2011</v>
      </c>
    </row>
    <row r="7651" spans="1:24" ht="12" customHeight="1">
      <c r="A7651" s="4">
        <v>1359</v>
      </c>
      <c r="B7651" s="4">
        <v>9895</v>
      </c>
      <c r="C7651" s="5">
        <f t="shared" ref="C7651:C7653" si="360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607">C7651+4</f>
        <v>40292</v>
      </c>
      <c r="V7651">
        <f t="shared" si="3593"/>
        <v>24</v>
      </c>
      <c r="W7651">
        <f t="shared" si="3591"/>
        <v>4</v>
      </c>
      <c r="X7651">
        <f t="shared" si="3592"/>
        <v>2010</v>
      </c>
    </row>
    <row r="7652" spans="1:24" ht="12" customHeight="1">
      <c r="A7652" s="4">
        <v>1640</v>
      </c>
      <c r="B7652" s="4">
        <v>11846</v>
      </c>
      <c r="C7652" s="5">
        <f t="shared" si="360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607"/>
        <v>40292</v>
      </c>
      <c r="V7652">
        <f t="shared" si="3593"/>
        <v>24</v>
      </c>
      <c r="W7652">
        <f t="shared" si="3591"/>
        <v>4</v>
      </c>
      <c r="X7652">
        <f t="shared" si="3592"/>
        <v>2010</v>
      </c>
    </row>
    <row r="7653" spans="1:24" ht="12" customHeight="1">
      <c r="A7653" s="4">
        <v>1641</v>
      </c>
      <c r="B7653" s="4">
        <v>11846</v>
      </c>
      <c r="C7653" s="5">
        <f t="shared" si="360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  <c r="V7653">
        <f t="shared" si="3593"/>
        <v>27</v>
      </c>
      <c r="W7653">
        <f t="shared" si="3591"/>
        <v>4</v>
      </c>
      <c r="X7653">
        <f t="shared" si="3592"/>
        <v>2010</v>
      </c>
    </row>
    <row r="7654" spans="1:24" ht="12" customHeight="1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  <c r="V7654">
        <f t="shared" si="3593"/>
        <v>14</v>
      </c>
      <c r="W7654">
        <f t="shared" si="3591"/>
        <v>3</v>
      </c>
      <c r="X7654">
        <f t="shared" si="3592"/>
        <v>2009</v>
      </c>
    </row>
    <row r="7655" spans="1:24" ht="12" customHeight="1">
      <c r="A7655" s="4">
        <v>2290</v>
      </c>
      <c r="B7655" s="4">
        <v>16518</v>
      </c>
      <c r="C7655" s="5">
        <f t="shared" ref="C7655:C7656" si="360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  <c r="V7655">
        <f t="shared" si="3593"/>
        <v>30</v>
      </c>
      <c r="W7655">
        <f t="shared" si="3591"/>
        <v>9</v>
      </c>
      <c r="X7655">
        <f t="shared" si="3592"/>
        <v>2012</v>
      </c>
    </row>
    <row r="7656" spans="1:24" ht="12" customHeight="1">
      <c r="A7656" s="4">
        <v>2291</v>
      </c>
      <c r="B7656" s="4">
        <v>16518</v>
      </c>
      <c r="C7656" s="5">
        <f t="shared" si="360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  <c r="V7656">
        <f t="shared" si="3593"/>
        <v>2</v>
      </c>
      <c r="W7656">
        <f t="shared" si="3591"/>
        <v>10</v>
      </c>
      <c r="X7656">
        <f t="shared" si="3592"/>
        <v>2012</v>
      </c>
    </row>
    <row r="7657" spans="1:24" ht="12" customHeight="1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  <c r="V7657">
        <f t="shared" si="3593"/>
        <v>8</v>
      </c>
      <c r="W7657">
        <f t="shared" si="3591"/>
        <v>4</v>
      </c>
      <c r="X7657">
        <f t="shared" si="3592"/>
        <v>2011</v>
      </c>
    </row>
    <row r="7658" spans="1:24" ht="12" customHeight="1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  <c r="V7658">
        <f t="shared" si="3593"/>
        <v>12</v>
      </c>
      <c r="W7658">
        <f t="shared" si="3591"/>
        <v>10</v>
      </c>
      <c r="X7658">
        <f t="shared" si="3592"/>
        <v>2010</v>
      </c>
    </row>
    <row r="7659" spans="1:24" ht="12" customHeight="1">
      <c r="A7659" s="4">
        <v>2578</v>
      </c>
      <c r="B7659" s="4">
        <v>18596</v>
      </c>
      <c r="C7659" s="5">
        <f t="shared" ref="C7659:C7660" si="360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610">C7659+2</f>
        <v>41186</v>
      </c>
      <c r="V7659">
        <f t="shared" si="3593"/>
        <v>4</v>
      </c>
      <c r="W7659">
        <f t="shared" si="3591"/>
        <v>10</v>
      </c>
      <c r="X7659">
        <f t="shared" si="3592"/>
        <v>2012</v>
      </c>
    </row>
    <row r="7660" spans="1:24" ht="12" customHeight="1">
      <c r="A7660" s="4">
        <v>2579</v>
      </c>
      <c r="B7660" s="4">
        <v>18596</v>
      </c>
      <c r="C7660" s="5">
        <f t="shared" si="360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610"/>
        <v>41186</v>
      </c>
      <c r="V7660">
        <f t="shared" si="3593"/>
        <v>4</v>
      </c>
      <c r="W7660">
        <f t="shared" si="3591"/>
        <v>10</v>
      </c>
      <c r="X7660">
        <f t="shared" si="3592"/>
        <v>2012</v>
      </c>
    </row>
    <row r="7661" spans="1:24" ht="12" customHeight="1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610"/>
        <v>41032</v>
      </c>
      <c r="V7661">
        <f t="shared" si="3593"/>
        <v>3</v>
      </c>
      <c r="W7661">
        <f t="shared" si="3591"/>
        <v>5</v>
      </c>
      <c r="X7661">
        <f t="shared" si="3592"/>
        <v>2012</v>
      </c>
    </row>
    <row r="7662" spans="1:24" ht="12" customHeight="1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  <c r="V7662">
        <f t="shared" si="3593"/>
        <v>23</v>
      </c>
      <c r="W7662">
        <f t="shared" si="3591"/>
        <v>5</v>
      </c>
      <c r="X7662">
        <f t="shared" si="3592"/>
        <v>2012</v>
      </c>
    </row>
    <row r="7663" spans="1:24" ht="12" customHeight="1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611">C7663+2</f>
        <v>40868</v>
      </c>
      <c r="V7663">
        <f t="shared" si="3593"/>
        <v>21</v>
      </c>
      <c r="W7663">
        <f t="shared" si="3591"/>
        <v>11</v>
      </c>
      <c r="X7663">
        <f t="shared" si="3592"/>
        <v>2011</v>
      </c>
    </row>
    <row r="7664" spans="1:24" ht="12" customHeight="1">
      <c r="A7664" s="4">
        <v>3732</v>
      </c>
      <c r="B7664" s="4">
        <v>26688</v>
      </c>
      <c r="C7664" s="5">
        <f t="shared" ref="C7664:C7665" si="361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611"/>
        <v>40410</v>
      </c>
      <c r="V7664">
        <f t="shared" si="3593"/>
        <v>20</v>
      </c>
      <c r="W7664">
        <f t="shared" si="3591"/>
        <v>8</v>
      </c>
      <c r="X7664">
        <f t="shared" si="3592"/>
        <v>2010</v>
      </c>
    </row>
    <row r="7665" spans="1:24" ht="12" customHeight="1">
      <c r="A7665" s="4">
        <v>3733</v>
      </c>
      <c r="B7665" s="4">
        <v>26688</v>
      </c>
      <c r="C7665" s="5">
        <f t="shared" si="361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  <c r="V7665">
        <f t="shared" si="3593"/>
        <v>19</v>
      </c>
      <c r="W7665">
        <f t="shared" si="3591"/>
        <v>8</v>
      </c>
      <c r="X7665">
        <f t="shared" si="3592"/>
        <v>2010</v>
      </c>
    </row>
    <row r="7666" spans="1:24" ht="12" customHeight="1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  <c r="V7666">
        <f t="shared" si="3593"/>
        <v>5</v>
      </c>
      <c r="W7666">
        <f t="shared" si="3591"/>
        <v>8</v>
      </c>
      <c r="X7666">
        <f t="shared" si="3592"/>
        <v>2009</v>
      </c>
    </row>
    <row r="7667" spans="1:24" ht="12" customHeight="1">
      <c r="A7667" s="4">
        <v>3763</v>
      </c>
      <c r="B7667" s="4">
        <v>26887</v>
      </c>
      <c r="C7667" s="5">
        <f t="shared" ref="C7667:C7668" si="361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  <c r="V7667">
        <f t="shared" si="3593"/>
        <v>16</v>
      </c>
      <c r="W7667">
        <f t="shared" si="3591"/>
        <v>5</v>
      </c>
      <c r="X7667">
        <f t="shared" si="3592"/>
        <v>2011</v>
      </c>
    </row>
    <row r="7668" spans="1:24" ht="12" customHeight="1">
      <c r="A7668" s="4">
        <v>3764</v>
      </c>
      <c r="B7668" s="4">
        <v>26887</v>
      </c>
      <c r="C7668" s="5">
        <f t="shared" si="361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  <c r="V7668">
        <f t="shared" si="3593"/>
        <v>15</v>
      </c>
      <c r="W7668">
        <f t="shared" si="3591"/>
        <v>5</v>
      </c>
      <c r="X7668">
        <f t="shared" si="3592"/>
        <v>2011</v>
      </c>
    </row>
    <row r="7669" spans="1:24" ht="12" customHeight="1">
      <c r="A7669" s="4">
        <v>4184</v>
      </c>
      <c r="B7669" s="4">
        <v>29761</v>
      </c>
      <c r="C7669" s="5">
        <f t="shared" ref="C7669:C7671" si="361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  <c r="V7669">
        <f t="shared" si="3593"/>
        <v>4</v>
      </c>
      <c r="W7669">
        <f t="shared" si="3591"/>
        <v>7</v>
      </c>
      <c r="X7669">
        <f t="shared" si="3592"/>
        <v>2012</v>
      </c>
    </row>
    <row r="7670" spans="1:24" ht="12" customHeight="1">
      <c r="A7670" s="4">
        <v>4185</v>
      </c>
      <c r="B7670" s="4">
        <v>29761</v>
      </c>
      <c r="C7670" s="5">
        <f t="shared" si="361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  <c r="V7670">
        <f t="shared" si="3593"/>
        <v>6</v>
      </c>
      <c r="W7670">
        <f t="shared" si="3591"/>
        <v>7</v>
      </c>
      <c r="X7670">
        <f t="shared" si="3592"/>
        <v>2012</v>
      </c>
    </row>
    <row r="7671" spans="1:24" ht="12" customHeight="1">
      <c r="A7671" s="4">
        <v>4186</v>
      </c>
      <c r="B7671" s="4">
        <v>29761</v>
      </c>
      <c r="C7671" s="5">
        <f t="shared" si="361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  <c r="V7671">
        <f t="shared" si="3593"/>
        <v>5</v>
      </c>
      <c r="W7671">
        <f t="shared" si="3591"/>
        <v>7</v>
      </c>
      <c r="X7671">
        <f t="shared" si="3592"/>
        <v>2012</v>
      </c>
    </row>
    <row r="7672" spans="1:24" ht="12" customHeight="1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  <c r="V7672">
        <f t="shared" si="3593"/>
        <v>21</v>
      </c>
      <c r="W7672">
        <f t="shared" si="3591"/>
        <v>5</v>
      </c>
      <c r="X7672">
        <f t="shared" si="3592"/>
        <v>2009</v>
      </c>
    </row>
    <row r="7673" spans="1:24" ht="12" customHeight="1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  <c r="V7673">
        <f t="shared" si="3593"/>
        <v>1</v>
      </c>
      <c r="W7673">
        <f t="shared" si="3591"/>
        <v>11</v>
      </c>
      <c r="X7673">
        <f t="shared" si="3592"/>
        <v>2010</v>
      </c>
    </row>
    <row r="7674" spans="1:24" ht="12" customHeight="1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615">C7674+1</f>
        <v>40907</v>
      </c>
      <c r="V7674">
        <f t="shared" si="3593"/>
        <v>30</v>
      </c>
      <c r="W7674">
        <f t="shared" si="3591"/>
        <v>12</v>
      </c>
      <c r="X7674">
        <f t="shared" si="3592"/>
        <v>2011</v>
      </c>
    </row>
    <row r="7675" spans="1:24" ht="12" customHeight="1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615"/>
        <v>39949</v>
      </c>
      <c r="V7675">
        <f t="shared" si="3593"/>
        <v>16</v>
      </c>
      <c r="W7675">
        <f t="shared" si="3591"/>
        <v>5</v>
      </c>
      <c r="X7675">
        <f t="shared" si="3592"/>
        <v>2009</v>
      </c>
    </row>
    <row r="7676" spans="1:24" ht="12" customHeight="1">
      <c r="A7676" s="4">
        <v>6062</v>
      </c>
      <c r="B7676" s="4">
        <v>42949</v>
      </c>
      <c r="C7676" s="5">
        <f t="shared" ref="C7676:C7677" si="361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615"/>
        <v>39955</v>
      </c>
      <c r="V7676">
        <f t="shared" si="3593"/>
        <v>22</v>
      </c>
      <c r="W7676">
        <f t="shared" si="3591"/>
        <v>5</v>
      </c>
      <c r="X7676">
        <f t="shared" si="3592"/>
        <v>2009</v>
      </c>
    </row>
    <row r="7677" spans="1:24" ht="12" customHeight="1">
      <c r="A7677" s="4">
        <v>6063</v>
      </c>
      <c r="B7677" s="4">
        <v>42949</v>
      </c>
      <c r="C7677" s="5">
        <f t="shared" si="361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617">C7677+2</f>
        <v>39956</v>
      </c>
      <c r="V7677">
        <f t="shared" si="3593"/>
        <v>23</v>
      </c>
      <c r="W7677">
        <f t="shared" si="3591"/>
        <v>5</v>
      </c>
      <c r="X7677">
        <f t="shared" si="3592"/>
        <v>2009</v>
      </c>
    </row>
    <row r="7678" spans="1:24" ht="12" customHeight="1">
      <c r="A7678" s="4">
        <v>6075</v>
      </c>
      <c r="B7678" s="4">
        <v>43044</v>
      </c>
      <c r="C7678" s="5">
        <f t="shared" ref="C7678:C7679" si="361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617"/>
        <v>40105</v>
      </c>
      <c r="V7678">
        <f t="shared" si="3593"/>
        <v>19</v>
      </c>
      <c r="W7678">
        <f t="shared" si="3591"/>
        <v>10</v>
      </c>
      <c r="X7678">
        <f t="shared" si="3592"/>
        <v>2009</v>
      </c>
    </row>
    <row r="7679" spans="1:24" ht="12" customHeight="1">
      <c r="A7679" s="4">
        <v>6076</v>
      </c>
      <c r="B7679" s="4">
        <v>43044</v>
      </c>
      <c r="C7679" s="5">
        <f t="shared" si="361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617"/>
        <v>40105</v>
      </c>
      <c r="V7679">
        <f t="shared" si="3593"/>
        <v>19</v>
      </c>
      <c r="W7679">
        <f t="shared" si="3591"/>
        <v>10</v>
      </c>
      <c r="X7679">
        <f t="shared" si="3592"/>
        <v>2009</v>
      </c>
    </row>
    <row r="7680" spans="1:24" ht="12" customHeight="1">
      <c r="A7680" s="4">
        <v>6466</v>
      </c>
      <c r="B7680" s="4">
        <v>46048</v>
      </c>
      <c r="C7680" s="5">
        <f t="shared" ref="C7680:C7681" si="361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617"/>
        <v>41256</v>
      </c>
      <c r="V7680">
        <f t="shared" si="3593"/>
        <v>13</v>
      </c>
      <c r="W7680">
        <f t="shared" si="3591"/>
        <v>12</v>
      </c>
      <c r="X7680">
        <f t="shared" si="3592"/>
        <v>2012</v>
      </c>
    </row>
    <row r="7681" spans="1:24" ht="12" customHeight="1">
      <c r="A7681" s="4">
        <v>6467</v>
      </c>
      <c r="B7681" s="4">
        <v>46048</v>
      </c>
      <c r="C7681" s="5">
        <f t="shared" si="361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617"/>
        <v>41256</v>
      </c>
      <c r="V7681">
        <f t="shared" si="3593"/>
        <v>13</v>
      </c>
      <c r="W7681">
        <f t="shared" si="3591"/>
        <v>12</v>
      </c>
      <c r="X7681">
        <f t="shared" si="3592"/>
        <v>2012</v>
      </c>
    </row>
    <row r="7682" spans="1:24" ht="12" customHeight="1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  <c r="V7682">
        <f t="shared" si="3593"/>
        <v>21</v>
      </c>
      <c r="W7682">
        <f t="shared" si="3591"/>
        <v>4</v>
      </c>
      <c r="X7682">
        <f t="shared" si="3592"/>
        <v>2011</v>
      </c>
    </row>
    <row r="7683" spans="1:24" ht="12" customHeight="1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  <c r="V7683">
        <f t="shared" si="3593"/>
        <v>8</v>
      </c>
      <c r="W7683">
        <f t="shared" ref="W7683:W7746" si="3620">MONTH(U7683)</f>
        <v>7</v>
      </c>
      <c r="X7683">
        <f t="shared" ref="X7683:X7746" si="3621">YEAR(U7683)</f>
        <v>2009</v>
      </c>
    </row>
    <row r="7684" spans="1:24" ht="12" customHeight="1">
      <c r="A7684" s="4">
        <v>6968</v>
      </c>
      <c r="B7684" s="4">
        <v>49798</v>
      </c>
      <c r="C7684" s="5">
        <f t="shared" ref="C7684:C7685" si="3622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  <c r="V7684">
        <f t="shared" ref="V7684:V7747" si="3623">DAY(U7684)</f>
        <v>9</v>
      </c>
      <c r="W7684">
        <f t="shared" si="3620"/>
        <v>12</v>
      </c>
      <c r="X7684">
        <f t="shared" si="3621"/>
        <v>2012</v>
      </c>
    </row>
    <row r="7685" spans="1:24" ht="12" customHeight="1">
      <c r="A7685" s="4">
        <v>6969</v>
      </c>
      <c r="B7685" s="4">
        <v>49798</v>
      </c>
      <c r="C7685" s="5">
        <f t="shared" si="3622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  <c r="V7685">
        <f t="shared" si="3623"/>
        <v>8</v>
      </c>
      <c r="W7685">
        <f t="shared" si="3620"/>
        <v>12</v>
      </c>
      <c r="X7685">
        <f t="shared" si="3621"/>
        <v>2012</v>
      </c>
    </row>
    <row r="7686" spans="1:24" ht="12" customHeight="1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  <c r="V7686">
        <f t="shared" si="3623"/>
        <v>28</v>
      </c>
      <c r="W7686">
        <f t="shared" si="3620"/>
        <v>8</v>
      </c>
      <c r="X7686">
        <f t="shared" si="3621"/>
        <v>2010</v>
      </c>
    </row>
    <row r="7687" spans="1:24" ht="12" customHeight="1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624">C7687+2</f>
        <v>40685</v>
      </c>
      <c r="V7687">
        <f t="shared" si="3623"/>
        <v>22</v>
      </c>
      <c r="W7687">
        <f t="shared" si="3620"/>
        <v>5</v>
      </c>
      <c r="X7687">
        <f t="shared" si="3621"/>
        <v>2011</v>
      </c>
    </row>
    <row r="7688" spans="1:24" ht="12" customHeight="1">
      <c r="A7688" s="4">
        <v>8070</v>
      </c>
      <c r="B7688" s="4">
        <v>57572</v>
      </c>
      <c r="C7688" s="5">
        <f t="shared" ref="C7688:C7689" si="3625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624"/>
        <v>40738</v>
      </c>
      <c r="V7688">
        <f t="shared" si="3623"/>
        <v>14</v>
      </c>
      <c r="W7688">
        <f t="shared" si="3620"/>
        <v>7</v>
      </c>
      <c r="X7688">
        <f t="shared" si="3621"/>
        <v>2011</v>
      </c>
    </row>
    <row r="7689" spans="1:24" ht="12" customHeight="1">
      <c r="A7689" s="4">
        <v>8071</v>
      </c>
      <c r="B7689" s="4">
        <v>57572</v>
      </c>
      <c r="C7689" s="5">
        <f t="shared" si="3625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  <c r="V7689">
        <f t="shared" si="3623"/>
        <v>13</v>
      </c>
      <c r="W7689">
        <f t="shared" si="3620"/>
        <v>7</v>
      </c>
      <c r="X7689">
        <f t="shared" si="3621"/>
        <v>2011</v>
      </c>
    </row>
    <row r="7690" spans="1:24" ht="12" customHeight="1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  <c r="V7690">
        <f t="shared" si="3623"/>
        <v>3</v>
      </c>
      <c r="W7690">
        <f t="shared" si="3620"/>
        <v>5</v>
      </c>
      <c r="X7690">
        <f t="shared" si="3621"/>
        <v>2010</v>
      </c>
    </row>
    <row r="7691" spans="1:24" ht="12" customHeight="1">
      <c r="A7691" s="4">
        <v>8189</v>
      </c>
      <c r="B7691" s="4">
        <v>58566</v>
      </c>
      <c r="C7691" s="5">
        <f t="shared" ref="C7691:C7692" si="3626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  <c r="V7691">
        <f t="shared" si="3623"/>
        <v>24</v>
      </c>
      <c r="W7691">
        <f t="shared" si="3620"/>
        <v>8</v>
      </c>
      <c r="X7691">
        <f t="shared" si="3621"/>
        <v>2011</v>
      </c>
    </row>
    <row r="7692" spans="1:24" ht="12" customHeight="1">
      <c r="A7692" s="4">
        <v>8190</v>
      </c>
      <c r="B7692" s="4">
        <v>58566</v>
      </c>
      <c r="C7692" s="5">
        <f t="shared" si="3626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  <c r="V7692">
        <f t="shared" si="3623"/>
        <v>25</v>
      </c>
      <c r="W7692">
        <f t="shared" si="3620"/>
        <v>8</v>
      </c>
      <c r="X7692">
        <f t="shared" si="3621"/>
        <v>2011</v>
      </c>
    </row>
    <row r="7693" spans="1:24" ht="12" customHeight="1">
      <c r="A7693" s="4">
        <v>8204</v>
      </c>
      <c r="B7693" s="4">
        <v>58658</v>
      </c>
      <c r="C7693" s="5">
        <f t="shared" ref="C7693:C7695" si="3627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628">C7693+1</f>
        <v>41072</v>
      </c>
      <c r="V7693">
        <f t="shared" si="3623"/>
        <v>12</v>
      </c>
      <c r="W7693">
        <f t="shared" si="3620"/>
        <v>6</v>
      </c>
      <c r="X7693">
        <f t="shared" si="3621"/>
        <v>2012</v>
      </c>
    </row>
    <row r="7694" spans="1:24" ht="12" customHeight="1">
      <c r="A7694" s="4">
        <v>8205</v>
      </c>
      <c r="B7694" s="4">
        <v>58658</v>
      </c>
      <c r="C7694" s="5">
        <f t="shared" si="3627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628"/>
        <v>41072</v>
      </c>
      <c r="V7694">
        <f t="shared" si="3623"/>
        <v>12</v>
      </c>
      <c r="W7694">
        <f t="shared" si="3620"/>
        <v>6</v>
      </c>
      <c r="X7694">
        <f t="shared" si="3621"/>
        <v>2012</v>
      </c>
    </row>
    <row r="7695" spans="1:24" ht="12" customHeight="1">
      <c r="A7695" s="4">
        <v>8206</v>
      </c>
      <c r="B7695" s="4">
        <v>58658</v>
      </c>
      <c r="C7695" s="5">
        <f t="shared" si="3627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  <c r="V7695">
        <f t="shared" si="3623"/>
        <v>13</v>
      </c>
      <c r="W7695">
        <f t="shared" si="3620"/>
        <v>6</v>
      </c>
      <c r="X7695">
        <f t="shared" si="3621"/>
        <v>2012</v>
      </c>
    </row>
    <row r="7696" spans="1:24" ht="12" customHeight="1">
      <c r="A7696" s="4">
        <v>8271</v>
      </c>
      <c r="B7696" s="4">
        <v>59139</v>
      </c>
      <c r="C7696" s="5">
        <f t="shared" ref="C7696:C7697" si="3629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630">C7696+1</f>
        <v>40573</v>
      </c>
      <c r="V7696">
        <f t="shared" si="3623"/>
        <v>30</v>
      </c>
      <c r="W7696">
        <f t="shared" si="3620"/>
        <v>1</v>
      </c>
      <c r="X7696">
        <f t="shared" si="3621"/>
        <v>2011</v>
      </c>
    </row>
    <row r="7697" spans="1:24" ht="12" customHeight="1">
      <c r="A7697" s="4">
        <v>8272</v>
      </c>
      <c r="B7697" s="4">
        <v>59139</v>
      </c>
      <c r="C7697" s="5">
        <f t="shared" si="3629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630"/>
        <v>40573</v>
      </c>
      <c r="V7697">
        <f t="shared" si="3623"/>
        <v>30</v>
      </c>
      <c r="W7697">
        <f t="shared" si="3620"/>
        <v>1</v>
      </c>
      <c r="X7697">
        <f t="shared" si="3621"/>
        <v>2011</v>
      </c>
    </row>
    <row r="7698" spans="1:24" ht="12" customHeight="1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631">C7698+2</f>
        <v>39854</v>
      </c>
      <c r="V7698">
        <f t="shared" si="3623"/>
        <v>10</v>
      </c>
      <c r="W7698">
        <f t="shared" si="3620"/>
        <v>2</v>
      </c>
      <c r="X7698">
        <f t="shared" si="3621"/>
        <v>2009</v>
      </c>
    </row>
    <row r="7699" spans="1:24" ht="12" customHeight="1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631"/>
        <v>40462</v>
      </c>
      <c r="V7699">
        <f t="shared" si="3623"/>
        <v>11</v>
      </c>
      <c r="W7699">
        <f t="shared" si="3620"/>
        <v>10</v>
      </c>
      <c r="X7699">
        <f t="shared" si="3621"/>
        <v>2010</v>
      </c>
    </row>
    <row r="7700" spans="1:24" ht="12" customHeight="1">
      <c r="A7700" s="4">
        <v>943</v>
      </c>
      <c r="B7700" s="4">
        <v>6850</v>
      </c>
      <c r="C7700" s="5">
        <f t="shared" ref="C7700:C7703" si="3632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  <c r="V7700">
        <f t="shared" si="3623"/>
        <v>11</v>
      </c>
      <c r="W7700">
        <f t="shared" si="3620"/>
        <v>2</v>
      </c>
      <c r="X7700">
        <f t="shared" si="3621"/>
        <v>2010</v>
      </c>
    </row>
    <row r="7701" spans="1:24" ht="12" customHeight="1">
      <c r="A7701" s="4">
        <v>944</v>
      </c>
      <c r="B7701" s="4">
        <v>6850</v>
      </c>
      <c r="C7701" s="5">
        <f t="shared" si="3632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  <c r="V7701">
        <f t="shared" si="3623"/>
        <v>12</v>
      </c>
      <c r="W7701">
        <f t="shared" si="3620"/>
        <v>2</v>
      </c>
      <c r="X7701">
        <f t="shared" si="3621"/>
        <v>2010</v>
      </c>
    </row>
    <row r="7702" spans="1:24" ht="12" customHeight="1">
      <c r="A7702" s="4">
        <v>945</v>
      </c>
      <c r="B7702" s="4">
        <v>6850</v>
      </c>
      <c r="C7702" s="5">
        <f t="shared" si="3632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  <c r="V7702">
        <f t="shared" si="3623"/>
        <v>13</v>
      </c>
      <c r="W7702">
        <f t="shared" si="3620"/>
        <v>2</v>
      </c>
      <c r="X7702">
        <f t="shared" si="3621"/>
        <v>2010</v>
      </c>
    </row>
    <row r="7703" spans="1:24" ht="12" customHeight="1">
      <c r="A7703" s="4">
        <v>946</v>
      </c>
      <c r="B7703" s="4">
        <v>6850</v>
      </c>
      <c r="C7703" s="5">
        <f t="shared" si="3632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633">C7703+1</f>
        <v>40221</v>
      </c>
      <c r="V7703">
        <f t="shared" si="3623"/>
        <v>12</v>
      </c>
      <c r="W7703">
        <f t="shared" si="3620"/>
        <v>2</v>
      </c>
      <c r="X7703">
        <f t="shared" si="3621"/>
        <v>2010</v>
      </c>
    </row>
    <row r="7704" spans="1:24" ht="12" customHeight="1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633"/>
        <v>41033</v>
      </c>
      <c r="V7704">
        <f t="shared" si="3623"/>
        <v>4</v>
      </c>
      <c r="W7704">
        <f t="shared" si="3620"/>
        <v>5</v>
      </c>
      <c r="X7704">
        <f t="shared" si="3621"/>
        <v>2012</v>
      </c>
    </row>
    <row r="7705" spans="1:24" ht="12" customHeight="1">
      <c r="A7705" s="4">
        <v>1033</v>
      </c>
      <c r="B7705" s="4">
        <v>7552</v>
      </c>
      <c r="C7705" s="5">
        <f t="shared" ref="C7705:C7706" si="3634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635">C7705+2</f>
        <v>41164</v>
      </c>
      <c r="V7705">
        <f t="shared" si="3623"/>
        <v>12</v>
      </c>
      <c r="W7705">
        <f t="shared" si="3620"/>
        <v>9</v>
      </c>
      <c r="X7705">
        <f t="shared" si="3621"/>
        <v>2012</v>
      </c>
    </row>
    <row r="7706" spans="1:24" ht="12" customHeight="1">
      <c r="A7706" s="4">
        <v>1034</v>
      </c>
      <c r="B7706" s="4">
        <v>7552</v>
      </c>
      <c r="C7706" s="5">
        <f t="shared" si="3634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635"/>
        <v>41164</v>
      </c>
      <c r="V7706">
        <f t="shared" si="3623"/>
        <v>12</v>
      </c>
      <c r="W7706">
        <f t="shared" si="3620"/>
        <v>9</v>
      </c>
      <c r="X7706">
        <f t="shared" si="3621"/>
        <v>2012</v>
      </c>
    </row>
    <row r="7707" spans="1:24" ht="12" customHeight="1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635"/>
        <v>40684</v>
      </c>
      <c r="V7707">
        <f t="shared" si="3623"/>
        <v>21</v>
      </c>
      <c r="W7707">
        <f t="shared" si="3620"/>
        <v>5</v>
      </c>
      <c r="X7707">
        <f t="shared" si="3621"/>
        <v>2011</v>
      </c>
    </row>
    <row r="7708" spans="1:24" ht="12" customHeight="1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  <c r="V7708">
        <f t="shared" si="3623"/>
        <v>28</v>
      </c>
      <c r="W7708">
        <f t="shared" si="3620"/>
        <v>10</v>
      </c>
      <c r="X7708">
        <f t="shared" si="3621"/>
        <v>2012</v>
      </c>
    </row>
    <row r="7709" spans="1:24" ht="12" customHeight="1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  <c r="V7709">
        <f t="shared" si="3623"/>
        <v>7</v>
      </c>
      <c r="W7709">
        <f t="shared" si="3620"/>
        <v>5</v>
      </c>
      <c r="X7709">
        <f t="shared" si="3621"/>
        <v>2012</v>
      </c>
    </row>
    <row r="7710" spans="1:24" ht="12" customHeight="1">
      <c r="A7710" s="4">
        <v>1740</v>
      </c>
      <c r="B7710" s="4">
        <v>12481</v>
      </c>
      <c r="C7710" s="5">
        <f t="shared" ref="C7710:C7711" si="3636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  <c r="V7710">
        <f t="shared" si="3623"/>
        <v>12</v>
      </c>
      <c r="W7710">
        <f t="shared" si="3620"/>
        <v>7</v>
      </c>
      <c r="X7710">
        <f t="shared" si="3621"/>
        <v>2011</v>
      </c>
    </row>
    <row r="7711" spans="1:24" ht="12" customHeight="1">
      <c r="A7711" s="4">
        <v>1741</v>
      </c>
      <c r="B7711" s="4">
        <v>12481</v>
      </c>
      <c r="C7711" s="5">
        <f t="shared" si="3636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  <c r="V7711">
        <f t="shared" si="3623"/>
        <v>10</v>
      </c>
      <c r="W7711">
        <f t="shared" si="3620"/>
        <v>7</v>
      </c>
      <c r="X7711">
        <f t="shared" si="3621"/>
        <v>2011</v>
      </c>
    </row>
    <row r="7712" spans="1:24" ht="12" customHeight="1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637">C7712+2</f>
        <v>40482</v>
      </c>
      <c r="V7712">
        <f t="shared" si="3623"/>
        <v>31</v>
      </c>
      <c r="W7712">
        <f t="shared" si="3620"/>
        <v>10</v>
      </c>
      <c r="X7712">
        <f t="shared" si="3621"/>
        <v>2010</v>
      </c>
    </row>
    <row r="7713" spans="1:24" ht="12" customHeight="1">
      <c r="A7713" s="4">
        <v>2789</v>
      </c>
      <c r="B7713" s="4">
        <v>20128</v>
      </c>
      <c r="C7713" s="5">
        <f t="shared" ref="C7713:C7714" si="3638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637"/>
        <v>40058</v>
      </c>
      <c r="V7713">
        <f t="shared" si="3623"/>
        <v>2</v>
      </c>
      <c r="W7713">
        <f t="shared" si="3620"/>
        <v>9</v>
      </c>
      <c r="X7713">
        <f t="shared" si="3621"/>
        <v>2009</v>
      </c>
    </row>
    <row r="7714" spans="1:24" ht="12" customHeight="1">
      <c r="A7714" s="4">
        <v>2790</v>
      </c>
      <c r="B7714" s="4">
        <v>20128</v>
      </c>
      <c r="C7714" s="5">
        <f t="shared" si="3638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637"/>
        <v>40058</v>
      </c>
      <c r="V7714">
        <f t="shared" si="3623"/>
        <v>2</v>
      </c>
      <c r="W7714">
        <f t="shared" si="3620"/>
        <v>9</v>
      </c>
      <c r="X7714">
        <f t="shared" si="3621"/>
        <v>2009</v>
      </c>
    </row>
    <row r="7715" spans="1:24" ht="12" customHeight="1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  <c r="V7715">
        <f t="shared" si="3623"/>
        <v>19</v>
      </c>
      <c r="W7715">
        <f t="shared" si="3620"/>
        <v>5</v>
      </c>
      <c r="X7715">
        <f t="shared" si="3621"/>
        <v>2012</v>
      </c>
    </row>
    <row r="7716" spans="1:24" ht="12" customHeight="1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  <c r="V7716">
        <f t="shared" si="3623"/>
        <v>29</v>
      </c>
      <c r="W7716">
        <f t="shared" si="3620"/>
        <v>5</v>
      </c>
      <c r="X7716">
        <f t="shared" si="3621"/>
        <v>2011</v>
      </c>
    </row>
    <row r="7717" spans="1:24" ht="12" customHeight="1">
      <c r="A7717" s="4">
        <v>3971</v>
      </c>
      <c r="B7717" s="4">
        <v>28357</v>
      </c>
      <c r="C7717" s="5">
        <f t="shared" ref="C7717:C7718" si="3639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640">C7717+1</f>
        <v>40320</v>
      </c>
      <c r="V7717">
        <f t="shared" si="3623"/>
        <v>22</v>
      </c>
      <c r="W7717">
        <f t="shared" si="3620"/>
        <v>5</v>
      </c>
      <c r="X7717">
        <f t="shared" si="3621"/>
        <v>2010</v>
      </c>
    </row>
    <row r="7718" spans="1:24" ht="12" customHeight="1">
      <c r="A7718" s="4">
        <v>3972</v>
      </c>
      <c r="B7718" s="4">
        <v>28357</v>
      </c>
      <c r="C7718" s="5">
        <f t="shared" si="3639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640"/>
        <v>40320</v>
      </c>
      <c r="V7718">
        <f t="shared" si="3623"/>
        <v>22</v>
      </c>
      <c r="W7718">
        <f t="shared" si="3620"/>
        <v>5</v>
      </c>
      <c r="X7718">
        <f t="shared" si="3621"/>
        <v>2010</v>
      </c>
    </row>
    <row r="7719" spans="1:24" ht="12" customHeight="1">
      <c r="A7719" s="4">
        <v>4355</v>
      </c>
      <c r="B7719" s="4">
        <v>31043</v>
      </c>
      <c r="C7719" s="5">
        <f t="shared" ref="C7719:C7720" si="3641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640"/>
        <v>40010</v>
      </c>
      <c r="V7719">
        <f t="shared" si="3623"/>
        <v>16</v>
      </c>
      <c r="W7719">
        <f t="shared" si="3620"/>
        <v>7</v>
      </c>
      <c r="X7719">
        <f t="shared" si="3621"/>
        <v>2009</v>
      </c>
    </row>
    <row r="7720" spans="1:24" ht="12" customHeight="1">
      <c r="A7720" s="4">
        <v>4356</v>
      </c>
      <c r="B7720" s="4">
        <v>31043</v>
      </c>
      <c r="C7720" s="5">
        <f t="shared" si="3641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640"/>
        <v>40010</v>
      </c>
      <c r="V7720">
        <f t="shared" si="3623"/>
        <v>16</v>
      </c>
      <c r="W7720">
        <f t="shared" si="3620"/>
        <v>7</v>
      </c>
      <c r="X7720">
        <f t="shared" si="3621"/>
        <v>2009</v>
      </c>
    </row>
    <row r="7721" spans="1:24" ht="12" customHeight="1">
      <c r="A7721" s="4">
        <v>4547</v>
      </c>
      <c r="B7721" s="4">
        <v>32355</v>
      </c>
      <c r="C7721" s="5">
        <f t="shared" ref="C7721:C7722" si="3642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  <c r="V7721">
        <f t="shared" si="3623"/>
        <v>23</v>
      </c>
      <c r="W7721">
        <f t="shared" si="3620"/>
        <v>5</v>
      </c>
      <c r="X7721">
        <f t="shared" si="3621"/>
        <v>2009</v>
      </c>
    </row>
    <row r="7722" spans="1:24" ht="12" customHeight="1">
      <c r="A7722" s="4">
        <v>4548</v>
      </c>
      <c r="B7722" s="4">
        <v>32355</v>
      </c>
      <c r="C7722" s="5">
        <f t="shared" si="3642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  <c r="V7722">
        <f t="shared" si="3623"/>
        <v>22</v>
      </c>
      <c r="W7722">
        <f t="shared" si="3620"/>
        <v>5</v>
      </c>
      <c r="X7722">
        <f t="shared" si="3621"/>
        <v>2009</v>
      </c>
    </row>
    <row r="7723" spans="1:24" ht="12" customHeight="1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  <c r="V7723">
        <f t="shared" si="3623"/>
        <v>11</v>
      </c>
      <c r="W7723">
        <f t="shared" si="3620"/>
        <v>4</v>
      </c>
      <c r="X7723">
        <f t="shared" si="3621"/>
        <v>2011</v>
      </c>
    </row>
    <row r="7724" spans="1:24" ht="12" customHeight="1">
      <c r="A7724" s="4">
        <v>5017</v>
      </c>
      <c r="B7724" s="4">
        <v>35811</v>
      </c>
      <c r="C7724" s="5">
        <f t="shared" ref="C7724:C7725" si="3643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  <c r="V7724">
        <f t="shared" si="3623"/>
        <v>4</v>
      </c>
      <c r="W7724">
        <f t="shared" si="3620"/>
        <v>1</v>
      </c>
      <c r="X7724">
        <f t="shared" si="3621"/>
        <v>2012</v>
      </c>
    </row>
    <row r="7725" spans="1:24" ht="12" customHeight="1">
      <c r="A7725" s="4">
        <v>5018</v>
      </c>
      <c r="B7725" s="4">
        <v>35811</v>
      </c>
      <c r="C7725" s="5">
        <f t="shared" si="3643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  <c r="V7725">
        <f t="shared" si="3623"/>
        <v>5</v>
      </c>
      <c r="W7725">
        <f t="shared" si="3620"/>
        <v>1</v>
      </c>
      <c r="X7725">
        <f t="shared" si="3621"/>
        <v>2012</v>
      </c>
    </row>
    <row r="7726" spans="1:24" ht="12" customHeight="1">
      <c r="A7726" s="4">
        <v>5433</v>
      </c>
      <c r="B7726" s="4">
        <v>38598</v>
      </c>
      <c r="C7726" s="5">
        <f t="shared" ref="C7726:C7728" si="3644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  <c r="V7726">
        <f t="shared" si="3623"/>
        <v>19</v>
      </c>
      <c r="W7726">
        <f t="shared" si="3620"/>
        <v>8</v>
      </c>
      <c r="X7726">
        <f t="shared" si="3621"/>
        <v>2009</v>
      </c>
    </row>
    <row r="7727" spans="1:24" ht="12" customHeight="1">
      <c r="A7727" s="4">
        <v>5434</v>
      </c>
      <c r="B7727" s="4">
        <v>38598</v>
      </c>
      <c r="C7727" s="5">
        <f t="shared" si="3644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  <c r="V7727">
        <f t="shared" si="3623"/>
        <v>20</v>
      </c>
      <c r="W7727">
        <f t="shared" si="3620"/>
        <v>8</v>
      </c>
      <c r="X7727">
        <f t="shared" si="3621"/>
        <v>2009</v>
      </c>
    </row>
    <row r="7728" spans="1:24" ht="12" customHeight="1">
      <c r="A7728" s="4">
        <v>5435</v>
      </c>
      <c r="B7728" s="4">
        <v>38598</v>
      </c>
      <c r="C7728" s="5">
        <f t="shared" si="3644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645">C7728+7</f>
        <v>40047</v>
      </c>
      <c r="V7728">
        <f t="shared" si="3623"/>
        <v>22</v>
      </c>
      <c r="W7728">
        <f t="shared" si="3620"/>
        <v>8</v>
      </c>
      <c r="X7728">
        <f t="shared" si="3621"/>
        <v>2009</v>
      </c>
    </row>
    <row r="7729" spans="1:24" ht="12" customHeight="1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645"/>
        <v>40303</v>
      </c>
      <c r="V7729">
        <f t="shared" si="3623"/>
        <v>5</v>
      </c>
      <c r="W7729">
        <f t="shared" si="3620"/>
        <v>5</v>
      </c>
      <c r="X7729">
        <f t="shared" si="3621"/>
        <v>2010</v>
      </c>
    </row>
    <row r="7730" spans="1:24" ht="12" customHeight="1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  <c r="V7730">
        <f t="shared" si="3623"/>
        <v>2</v>
      </c>
      <c r="W7730">
        <f t="shared" si="3620"/>
        <v>5</v>
      </c>
      <c r="X7730">
        <f t="shared" si="3621"/>
        <v>2009</v>
      </c>
    </row>
    <row r="7731" spans="1:24" ht="12" customHeight="1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  <c r="V7731">
        <f t="shared" si="3623"/>
        <v>8</v>
      </c>
      <c r="W7731">
        <f t="shared" si="3620"/>
        <v>1</v>
      </c>
      <c r="X7731">
        <f t="shared" si="3621"/>
        <v>2009</v>
      </c>
    </row>
    <row r="7732" spans="1:24" ht="12" customHeight="1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  <c r="V7732">
        <f t="shared" si="3623"/>
        <v>15</v>
      </c>
      <c r="W7732">
        <f t="shared" si="3620"/>
        <v>11</v>
      </c>
      <c r="X7732">
        <f t="shared" si="3621"/>
        <v>2012</v>
      </c>
    </row>
    <row r="7733" spans="1:24" ht="12" customHeight="1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  <c r="V7733">
        <f t="shared" si="3623"/>
        <v>31</v>
      </c>
      <c r="W7733">
        <f t="shared" si="3620"/>
        <v>7</v>
      </c>
      <c r="X7733">
        <f t="shared" si="3621"/>
        <v>2011</v>
      </c>
    </row>
    <row r="7734" spans="1:24" ht="12" customHeight="1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  <c r="V7734">
        <f t="shared" si="3623"/>
        <v>28</v>
      </c>
      <c r="W7734">
        <f t="shared" si="3620"/>
        <v>9</v>
      </c>
      <c r="X7734">
        <f t="shared" si="3621"/>
        <v>2012</v>
      </c>
    </row>
    <row r="7735" spans="1:24" ht="12" customHeight="1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646">C7735+2</f>
        <v>40061</v>
      </c>
      <c r="V7735">
        <f t="shared" si="3623"/>
        <v>5</v>
      </c>
      <c r="W7735">
        <f t="shared" si="3620"/>
        <v>9</v>
      </c>
      <c r="X7735">
        <f t="shared" si="3621"/>
        <v>2009</v>
      </c>
    </row>
    <row r="7736" spans="1:24" ht="12" customHeight="1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646"/>
        <v>39889</v>
      </c>
      <c r="V7736">
        <f t="shared" si="3623"/>
        <v>17</v>
      </c>
      <c r="W7736">
        <f t="shared" si="3620"/>
        <v>3</v>
      </c>
      <c r="X7736">
        <f t="shared" si="3621"/>
        <v>2009</v>
      </c>
    </row>
    <row r="7737" spans="1:24" ht="12" customHeight="1">
      <c r="A7737" s="4">
        <v>7887</v>
      </c>
      <c r="B7737" s="4">
        <v>56420</v>
      </c>
      <c r="C7737" s="5">
        <f t="shared" ref="C7737:C7740" si="3647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  <c r="V7737">
        <f t="shared" si="3623"/>
        <v>28</v>
      </c>
      <c r="W7737">
        <f t="shared" si="3620"/>
        <v>7</v>
      </c>
      <c r="X7737">
        <f t="shared" si="3621"/>
        <v>2011</v>
      </c>
    </row>
    <row r="7738" spans="1:24" ht="12" customHeight="1">
      <c r="A7738" s="4">
        <v>7888</v>
      </c>
      <c r="B7738" s="4">
        <v>56420</v>
      </c>
      <c r="C7738" s="5">
        <f t="shared" si="3647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  <c r="V7738">
        <f t="shared" si="3623"/>
        <v>26</v>
      </c>
      <c r="W7738">
        <f t="shared" si="3620"/>
        <v>7</v>
      </c>
      <c r="X7738">
        <f t="shared" si="3621"/>
        <v>2011</v>
      </c>
    </row>
    <row r="7739" spans="1:24" ht="12" customHeight="1">
      <c r="A7739" s="4">
        <v>7889</v>
      </c>
      <c r="B7739" s="4">
        <v>56420</v>
      </c>
      <c r="C7739" s="5">
        <f t="shared" si="3647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  <c r="V7739">
        <f t="shared" si="3623"/>
        <v>29</v>
      </c>
      <c r="W7739">
        <f t="shared" si="3620"/>
        <v>7</v>
      </c>
      <c r="X7739">
        <f t="shared" si="3621"/>
        <v>2011</v>
      </c>
    </row>
    <row r="7740" spans="1:24" ht="12" customHeight="1">
      <c r="A7740" s="4">
        <v>7890</v>
      </c>
      <c r="B7740" s="4">
        <v>56420</v>
      </c>
      <c r="C7740" s="5">
        <f t="shared" si="3647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  <c r="V7740">
        <f t="shared" si="3623"/>
        <v>26</v>
      </c>
      <c r="W7740">
        <f t="shared" si="3620"/>
        <v>7</v>
      </c>
      <c r="X7740">
        <f t="shared" si="3621"/>
        <v>2011</v>
      </c>
    </row>
    <row r="7741" spans="1:24" ht="12" customHeight="1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648">C7741+0</f>
        <v>40007</v>
      </c>
      <c r="V7741">
        <f t="shared" si="3623"/>
        <v>13</v>
      </c>
      <c r="W7741">
        <f t="shared" si="3620"/>
        <v>7</v>
      </c>
      <c r="X7741">
        <f t="shared" si="3621"/>
        <v>2009</v>
      </c>
    </row>
    <row r="7742" spans="1:24" ht="12" customHeight="1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648"/>
        <v>39832</v>
      </c>
      <c r="V7742">
        <f t="shared" si="3623"/>
        <v>19</v>
      </c>
      <c r="W7742">
        <f t="shared" si="3620"/>
        <v>1</v>
      </c>
      <c r="X7742">
        <f t="shared" si="3621"/>
        <v>2009</v>
      </c>
    </row>
    <row r="7743" spans="1:24" ht="12" customHeight="1">
      <c r="A7743" s="4">
        <v>251</v>
      </c>
      <c r="B7743" s="4">
        <v>1762</v>
      </c>
      <c r="C7743" s="5">
        <f t="shared" ref="C7743:C7745" si="3649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  <c r="V7743">
        <f t="shared" si="3623"/>
        <v>21</v>
      </c>
      <c r="W7743">
        <f t="shared" si="3620"/>
        <v>8</v>
      </c>
      <c r="X7743">
        <f t="shared" si="3621"/>
        <v>2009</v>
      </c>
    </row>
    <row r="7744" spans="1:24" ht="12" customHeight="1">
      <c r="A7744" s="4">
        <v>252</v>
      </c>
      <c r="B7744" s="4">
        <v>1762</v>
      </c>
      <c r="C7744" s="5">
        <f t="shared" si="3649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650">C7744+1</f>
        <v>40045</v>
      </c>
      <c r="V7744">
        <f t="shared" si="3623"/>
        <v>20</v>
      </c>
      <c r="W7744">
        <f t="shared" si="3620"/>
        <v>8</v>
      </c>
      <c r="X7744">
        <f t="shared" si="3621"/>
        <v>2009</v>
      </c>
    </row>
    <row r="7745" spans="1:24" ht="12" customHeight="1">
      <c r="A7745" s="4">
        <v>253</v>
      </c>
      <c r="B7745" s="4">
        <v>1762</v>
      </c>
      <c r="C7745" s="5">
        <f t="shared" si="3649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650"/>
        <v>40045</v>
      </c>
      <c r="V7745">
        <f t="shared" si="3623"/>
        <v>20</v>
      </c>
      <c r="W7745">
        <f t="shared" si="3620"/>
        <v>8</v>
      </c>
      <c r="X7745">
        <f t="shared" si="3621"/>
        <v>2009</v>
      </c>
    </row>
    <row r="7746" spans="1:24" ht="12" customHeight="1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650"/>
        <v>41184</v>
      </c>
      <c r="V7746">
        <f t="shared" si="3623"/>
        <v>2</v>
      </c>
      <c r="W7746">
        <f t="shared" si="3620"/>
        <v>10</v>
      </c>
      <c r="X7746">
        <f t="shared" si="3621"/>
        <v>2012</v>
      </c>
    </row>
    <row r="7747" spans="1:24" ht="12" customHeight="1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650"/>
        <v>39937</v>
      </c>
      <c r="V7747">
        <f t="shared" si="3623"/>
        <v>4</v>
      </c>
      <c r="W7747">
        <f t="shared" ref="W7747:W7810" si="3651">MONTH(U7747)</f>
        <v>5</v>
      </c>
      <c r="X7747">
        <f t="shared" ref="X7747:X7810" si="3652">YEAR(U7747)</f>
        <v>2009</v>
      </c>
    </row>
    <row r="7748" spans="1:24" ht="12" customHeight="1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  <c r="V7748">
        <f t="shared" ref="V7748:V7811" si="3653">DAY(U7748)</f>
        <v>10</v>
      </c>
      <c r="W7748">
        <f t="shared" si="3651"/>
        <v>4</v>
      </c>
      <c r="X7748">
        <f t="shared" si="3652"/>
        <v>2010</v>
      </c>
    </row>
    <row r="7749" spans="1:24" ht="12" customHeight="1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654">C7749+2</f>
        <v>41205</v>
      </c>
      <c r="V7749">
        <f t="shared" si="3653"/>
        <v>23</v>
      </c>
      <c r="W7749">
        <f t="shared" si="3651"/>
        <v>10</v>
      </c>
      <c r="X7749">
        <f t="shared" si="3652"/>
        <v>2012</v>
      </c>
    </row>
    <row r="7750" spans="1:24" ht="12" customHeight="1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654"/>
        <v>40477</v>
      </c>
      <c r="V7750">
        <f t="shared" si="3653"/>
        <v>26</v>
      </c>
      <c r="W7750">
        <f t="shared" si="3651"/>
        <v>10</v>
      </c>
      <c r="X7750">
        <f t="shared" si="3652"/>
        <v>2010</v>
      </c>
    </row>
    <row r="7751" spans="1:24" ht="12" customHeight="1">
      <c r="A7751" s="4">
        <v>1899</v>
      </c>
      <c r="B7751" s="4">
        <v>13607</v>
      </c>
      <c r="C7751" s="5">
        <f t="shared" ref="C7751:C7753" si="3655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656">C7751+1</f>
        <v>40501</v>
      </c>
      <c r="V7751">
        <f t="shared" si="3653"/>
        <v>19</v>
      </c>
      <c r="W7751">
        <f t="shared" si="3651"/>
        <v>11</v>
      </c>
      <c r="X7751">
        <f t="shared" si="3652"/>
        <v>2010</v>
      </c>
    </row>
    <row r="7752" spans="1:24" ht="12" customHeight="1">
      <c r="A7752" s="4">
        <v>1900</v>
      </c>
      <c r="B7752" s="4">
        <v>13607</v>
      </c>
      <c r="C7752" s="5">
        <f t="shared" si="3655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656"/>
        <v>40501</v>
      </c>
      <c r="V7752">
        <f t="shared" si="3653"/>
        <v>19</v>
      </c>
      <c r="W7752">
        <f t="shared" si="3651"/>
        <v>11</v>
      </c>
      <c r="X7752">
        <f t="shared" si="3652"/>
        <v>2010</v>
      </c>
    </row>
    <row r="7753" spans="1:24" ht="12" customHeight="1">
      <c r="A7753" s="4">
        <v>1901</v>
      </c>
      <c r="B7753" s="4">
        <v>13607</v>
      </c>
      <c r="C7753" s="5">
        <f t="shared" si="3655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  <c r="V7753">
        <f t="shared" si="3653"/>
        <v>20</v>
      </c>
      <c r="W7753">
        <f t="shared" si="3651"/>
        <v>11</v>
      </c>
      <c r="X7753">
        <f t="shared" si="3652"/>
        <v>2010</v>
      </c>
    </row>
    <row r="7754" spans="1:24" ht="12" customHeight="1">
      <c r="A7754" s="4">
        <v>2047</v>
      </c>
      <c r="B7754" s="4">
        <v>14597</v>
      </c>
      <c r="C7754" s="5">
        <f t="shared" ref="C7754:C7755" si="3657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658">C7754+1</f>
        <v>40421</v>
      </c>
      <c r="V7754">
        <f t="shared" si="3653"/>
        <v>31</v>
      </c>
      <c r="W7754">
        <f t="shared" si="3651"/>
        <v>8</v>
      </c>
      <c r="X7754">
        <f t="shared" si="3652"/>
        <v>2010</v>
      </c>
    </row>
    <row r="7755" spans="1:24" ht="12" customHeight="1">
      <c r="A7755" s="4">
        <v>2048</v>
      </c>
      <c r="B7755" s="4">
        <v>14597</v>
      </c>
      <c r="C7755" s="5">
        <f t="shared" si="3657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658"/>
        <v>40421</v>
      </c>
      <c r="V7755">
        <f t="shared" si="3653"/>
        <v>31</v>
      </c>
      <c r="W7755">
        <f t="shared" si="3651"/>
        <v>8</v>
      </c>
      <c r="X7755">
        <f t="shared" si="3652"/>
        <v>2010</v>
      </c>
    </row>
    <row r="7756" spans="1:24" ht="12" customHeight="1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658"/>
        <v>40508</v>
      </c>
      <c r="V7756">
        <f t="shared" si="3653"/>
        <v>26</v>
      </c>
      <c r="W7756">
        <f t="shared" si="3651"/>
        <v>11</v>
      </c>
      <c r="X7756">
        <f t="shared" si="3652"/>
        <v>2010</v>
      </c>
    </row>
    <row r="7757" spans="1:24" ht="12" customHeight="1">
      <c r="A7757" s="4">
        <v>2415</v>
      </c>
      <c r="B7757" s="4">
        <v>17539</v>
      </c>
      <c r="C7757" s="5">
        <f t="shared" ref="C7757:C7758" si="3659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658"/>
        <v>40802</v>
      </c>
      <c r="V7757">
        <f t="shared" si="3653"/>
        <v>16</v>
      </c>
      <c r="W7757">
        <f t="shared" si="3651"/>
        <v>9</v>
      </c>
      <c r="X7757">
        <f t="shared" si="3652"/>
        <v>2011</v>
      </c>
    </row>
    <row r="7758" spans="1:24" ht="12" customHeight="1">
      <c r="A7758" s="4">
        <v>2416</v>
      </c>
      <c r="B7758" s="4">
        <v>17539</v>
      </c>
      <c r="C7758" s="5">
        <f t="shared" si="3659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658"/>
        <v>40802</v>
      </c>
      <c r="V7758">
        <f t="shared" si="3653"/>
        <v>16</v>
      </c>
      <c r="W7758">
        <f t="shared" si="3651"/>
        <v>9</v>
      </c>
      <c r="X7758">
        <f t="shared" si="3652"/>
        <v>2011</v>
      </c>
    </row>
    <row r="7759" spans="1:24" ht="12" customHeight="1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658"/>
        <v>40426</v>
      </c>
      <c r="V7759">
        <f t="shared" si="3653"/>
        <v>5</v>
      </c>
      <c r="W7759">
        <f t="shared" si="3651"/>
        <v>9</v>
      </c>
      <c r="X7759">
        <f t="shared" si="3652"/>
        <v>2010</v>
      </c>
    </row>
    <row r="7760" spans="1:24" ht="12" customHeight="1">
      <c r="A7760" s="4">
        <v>2709</v>
      </c>
      <c r="B7760" s="4">
        <v>19559</v>
      </c>
      <c r="C7760" s="5">
        <f t="shared" ref="C7760:C7762" si="3660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  <c r="V7760">
        <f t="shared" si="3653"/>
        <v>17</v>
      </c>
      <c r="W7760">
        <f t="shared" si="3651"/>
        <v>4</v>
      </c>
      <c r="X7760">
        <f t="shared" si="3652"/>
        <v>2010</v>
      </c>
    </row>
    <row r="7761" spans="1:24" ht="12" customHeight="1">
      <c r="A7761" s="4">
        <v>2710</v>
      </c>
      <c r="B7761" s="4">
        <v>19559</v>
      </c>
      <c r="C7761" s="5">
        <f t="shared" si="3660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  <c r="V7761">
        <f t="shared" si="3653"/>
        <v>16</v>
      </c>
      <c r="W7761">
        <f t="shared" si="3651"/>
        <v>4</v>
      </c>
      <c r="X7761">
        <f t="shared" si="3652"/>
        <v>2010</v>
      </c>
    </row>
    <row r="7762" spans="1:24" ht="12" customHeight="1">
      <c r="A7762" s="4">
        <v>2711</v>
      </c>
      <c r="B7762" s="4">
        <v>19559</v>
      </c>
      <c r="C7762" s="5">
        <f t="shared" si="3660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  <c r="V7762">
        <f t="shared" si="3653"/>
        <v>18</v>
      </c>
      <c r="W7762">
        <f t="shared" si="3651"/>
        <v>4</v>
      </c>
      <c r="X7762">
        <f t="shared" si="3652"/>
        <v>2010</v>
      </c>
    </row>
    <row r="7763" spans="1:24" ht="12" customHeight="1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661">C7763+2</f>
        <v>40809</v>
      </c>
      <c r="V7763">
        <f t="shared" si="3653"/>
        <v>23</v>
      </c>
      <c r="W7763">
        <f t="shared" si="3651"/>
        <v>9</v>
      </c>
      <c r="X7763">
        <f t="shared" si="3652"/>
        <v>2011</v>
      </c>
    </row>
    <row r="7764" spans="1:24" ht="12" customHeight="1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661"/>
        <v>40365</v>
      </c>
      <c r="V7764">
        <f t="shared" si="3653"/>
        <v>6</v>
      </c>
      <c r="W7764">
        <f t="shared" si="3651"/>
        <v>7</v>
      </c>
      <c r="X7764">
        <f t="shared" si="3652"/>
        <v>2010</v>
      </c>
    </row>
    <row r="7765" spans="1:24" ht="12" customHeight="1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661"/>
        <v>41179</v>
      </c>
      <c r="V7765">
        <f t="shared" si="3653"/>
        <v>27</v>
      </c>
      <c r="W7765">
        <f t="shared" si="3651"/>
        <v>9</v>
      </c>
      <c r="X7765">
        <f t="shared" si="3652"/>
        <v>2012</v>
      </c>
    </row>
    <row r="7766" spans="1:24" ht="12" customHeight="1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  <c r="V7766">
        <f t="shared" si="3653"/>
        <v>19</v>
      </c>
      <c r="W7766">
        <f t="shared" si="3651"/>
        <v>9</v>
      </c>
      <c r="X7766">
        <f t="shared" si="3652"/>
        <v>2009</v>
      </c>
    </row>
    <row r="7767" spans="1:24" ht="12" customHeight="1">
      <c r="A7767" s="4">
        <v>3171</v>
      </c>
      <c r="B7767" s="4">
        <v>22818</v>
      </c>
      <c r="C7767" s="5">
        <f t="shared" ref="C7767:C7768" si="3662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  <c r="V7767">
        <f t="shared" si="3653"/>
        <v>24</v>
      </c>
      <c r="W7767">
        <f t="shared" si="3651"/>
        <v>5</v>
      </c>
      <c r="X7767">
        <f t="shared" si="3652"/>
        <v>2009</v>
      </c>
    </row>
    <row r="7768" spans="1:24" ht="12" customHeight="1">
      <c r="A7768" s="4">
        <v>3172</v>
      </c>
      <c r="B7768" s="4">
        <v>22818</v>
      </c>
      <c r="C7768" s="5">
        <f t="shared" si="3662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  <c r="V7768">
        <f t="shared" si="3653"/>
        <v>26</v>
      </c>
      <c r="W7768">
        <f t="shared" si="3651"/>
        <v>5</v>
      </c>
      <c r="X7768">
        <f t="shared" si="3652"/>
        <v>2009</v>
      </c>
    </row>
    <row r="7769" spans="1:24" ht="12" customHeight="1">
      <c r="A7769" s="4">
        <v>3482</v>
      </c>
      <c r="B7769" s="4">
        <v>24801</v>
      </c>
      <c r="C7769" s="5">
        <f t="shared" ref="C7769:C7771" si="3663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664">C7769+1</f>
        <v>41229</v>
      </c>
      <c r="V7769">
        <f t="shared" si="3653"/>
        <v>16</v>
      </c>
      <c r="W7769">
        <f t="shared" si="3651"/>
        <v>11</v>
      </c>
      <c r="X7769">
        <f t="shared" si="3652"/>
        <v>2012</v>
      </c>
    </row>
    <row r="7770" spans="1:24" ht="12" customHeight="1">
      <c r="A7770" s="4">
        <v>3483</v>
      </c>
      <c r="B7770" s="4">
        <v>24801</v>
      </c>
      <c r="C7770" s="5">
        <f t="shared" si="3663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664"/>
        <v>41229</v>
      </c>
      <c r="V7770">
        <f t="shared" si="3653"/>
        <v>16</v>
      </c>
      <c r="W7770">
        <f t="shared" si="3651"/>
        <v>11</v>
      </c>
      <c r="X7770">
        <f t="shared" si="3652"/>
        <v>2012</v>
      </c>
    </row>
    <row r="7771" spans="1:24" ht="12" customHeight="1">
      <c r="A7771" s="4">
        <v>3484</v>
      </c>
      <c r="B7771" s="4">
        <v>24801</v>
      </c>
      <c r="C7771" s="5">
        <f t="shared" si="3663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664"/>
        <v>41229</v>
      </c>
      <c r="V7771">
        <f t="shared" si="3653"/>
        <v>16</v>
      </c>
      <c r="W7771">
        <f t="shared" si="3651"/>
        <v>11</v>
      </c>
      <c r="X7771">
        <f t="shared" si="3652"/>
        <v>2012</v>
      </c>
    </row>
    <row r="7772" spans="1:24" ht="12" customHeight="1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  <c r="V7772">
        <f t="shared" si="3653"/>
        <v>1</v>
      </c>
      <c r="W7772">
        <f t="shared" si="3651"/>
        <v>2</v>
      </c>
      <c r="X7772">
        <f t="shared" si="3652"/>
        <v>2011</v>
      </c>
    </row>
    <row r="7773" spans="1:24" ht="12" customHeight="1">
      <c r="A7773" s="4">
        <v>3893</v>
      </c>
      <c r="B7773" s="4">
        <v>27780</v>
      </c>
      <c r="C7773" s="5">
        <f t="shared" ref="C7773:C7775" si="3665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  <c r="V7773">
        <f t="shared" si="3653"/>
        <v>21</v>
      </c>
      <c r="W7773">
        <f t="shared" si="3651"/>
        <v>10</v>
      </c>
      <c r="X7773">
        <f t="shared" si="3652"/>
        <v>2012</v>
      </c>
    </row>
    <row r="7774" spans="1:24" ht="12" customHeight="1">
      <c r="A7774" s="4">
        <v>3894</v>
      </c>
      <c r="B7774" s="4">
        <v>27780</v>
      </c>
      <c r="C7774" s="5">
        <f t="shared" si="3665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  <c r="V7774">
        <f t="shared" si="3653"/>
        <v>20</v>
      </c>
      <c r="W7774">
        <f t="shared" si="3651"/>
        <v>10</v>
      </c>
      <c r="X7774">
        <f t="shared" si="3652"/>
        <v>2012</v>
      </c>
    </row>
    <row r="7775" spans="1:24" ht="12" customHeight="1">
      <c r="A7775" s="4">
        <v>3895</v>
      </c>
      <c r="B7775" s="4">
        <v>27780</v>
      </c>
      <c r="C7775" s="5">
        <f t="shared" si="3665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  <c r="V7775">
        <f t="shared" si="3653"/>
        <v>21</v>
      </c>
      <c r="W7775">
        <f t="shared" si="3651"/>
        <v>10</v>
      </c>
      <c r="X7775">
        <f t="shared" si="3652"/>
        <v>2012</v>
      </c>
    </row>
    <row r="7776" spans="1:24" ht="12" customHeight="1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  <c r="V7776">
        <f t="shared" si="3653"/>
        <v>7</v>
      </c>
      <c r="W7776">
        <f t="shared" si="3651"/>
        <v>9</v>
      </c>
      <c r="X7776">
        <f t="shared" si="3652"/>
        <v>2010</v>
      </c>
    </row>
    <row r="7777" spans="1:24" ht="12" customHeight="1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  <c r="V7777">
        <f t="shared" si="3653"/>
        <v>17</v>
      </c>
      <c r="W7777">
        <f t="shared" si="3651"/>
        <v>2</v>
      </c>
      <c r="X7777">
        <f t="shared" si="3652"/>
        <v>2011</v>
      </c>
    </row>
    <row r="7778" spans="1:24" ht="12" customHeight="1">
      <c r="A7778" s="4">
        <v>4323</v>
      </c>
      <c r="B7778" s="4">
        <v>30786</v>
      </c>
      <c r="C7778" s="5">
        <f t="shared" ref="C7778:C7779" si="3666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  <c r="V7778">
        <f t="shared" si="3653"/>
        <v>16</v>
      </c>
      <c r="W7778">
        <f t="shared" si="3651"/>
        <v>7</v>
      </c>
      <c r="X7778">
        <f t="shared" si="3652"/>
        <v>2012</v>
      </c>
    </row>
    <row r="7779" spans="1:24" ht="12" customHeight="1">
      <c r="A7779" s="4">
        <v>4324</v>
      </c>
      <c r="B7779" s="4">
        <v>30786</v>
      </c>
      <c r="C7779" s="5">
        <f t="shared" si="3666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  <c r="V7779">
        <f t="shared" si="3653"/>
        <v>17</v>
      </c>
      <c r="W7779">
        <f t="shared" si="3651"/>
        <v>7</v>
      </c>
      <c r="X7779">
        <f t="shared" si="3652"/>
        <v>2012</v>
      </c>
    </row>
    <row r="7780" spans="1:24" ht="12" customHeight="1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  <c r="V7780">
        <f t="shared" si="3653"/>
        <v>30</v>
      </c>
      <c r="W7780">
        <f t="shared" si="3651"/>
        <v>7</v>
      </c>
      <c r="X7780">
        <f t="shared" si="3652"/>
        <v>2010</v>
      </c>
    </row>
    <row r="7781" spans="1:24" ht="12" customHeight="1">
      <c r="A7781" s="4">
        <v>4481</v>
      </c>
      <c r="B7781" s="4">
        <v>31878</v>
      </c>
      <c r="C7781" s="5">
        <f t="shared" ref="C7781:C7782" si="3667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  <c r="V7781">
        <f t="shared" si="3653"/>
        <v>18</v>
      </c>
      <c r="W7781">
        <f t="shared" si="3651"/>
        <v>12</v>
      </c>
      <c r="X7781">
        <f t="shared" si="3652"/>
        <v>2011</v>
      </c>
    </row>
    <row r="7782" spans="1:24" ht="12" customHeight="1">
      <c r="A7782" s="4">
        <v>4482</v>
      </c>
      <c r="B7782" s="4">
        <v>31878</v>
      </c>
      <c r="C7782" s="5">
        <f t="shared" si="3667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  <c r="V7782">
        <f t="shared" si="3653"/>
        <v>19</v>
      </c>
      <c r="W7782">
        <f t="shared" si="3651"/>
        <v>12</v>
      </c>
      <c r="X7782">
        <f t="shared" si="3652"/>
        <v>2011</v>
      </c>
    </row>
    <row r="7783" spans="1:24" ht="12" customHeight="1">
      <c r="A7783" s="4">
        <v>4910</v>
      </c>
      <c r="B7783" s="4">
        <v>34976</v>
      </c>
      <c r="C7783" s="5">
        <f t="shared" ref="C7783:C7784" si="3668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  <c r="V7783">
        <f t="shared" si="3653"/>
        <v>26</v>
      </c>
      <c r="W7783">
        <f t="shared" si="3651"/>
        <v>11</v>
      </c>
      <c r="X7783">
        <f t="shared" si="3652"/>
        <v>2012</v>
      </c>
    </row>
    <row r="7784" spans="1:24" ht="12" customHeight="1">
      <c r="A7784" s="4">
        <v>4911</v>
      </c>
      <c r="B7784" s="4">
        <v>34976</v>
      </c>
      <c r="C7784" s="5">
        <f t="shared" si="3668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  <c r="V7784">
        <f t="shared" si="3653"/>
        <v>25</v>
      </c>
      <c r="W7784">
        <f t="shared" si="3651"/>
        <v>11</v>
      </c>
      <c r="X7784">
        <f t="shared" si="3652"/>
        <v>2012</v>
      </c>
    </row>
    <row r="7785" spans="1:24" ht="12" customHeight="1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  <c r="V7785">
        <f t="shared" si="3653"/>
        <v>30</v>
      </c>
      <c r="W7785">
        <f t="shared" si="3651"/>
        <v>9</v>
      </c>
      <c r="X7785">
        <f t="shared" si="3652"/>
        <v>2010</v>
      </c>
    </row>
    <row r="7786" spans="1:24" ht="12" customHeight="1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  <c r="V7786">
        <f t="shared" si="3653"/>
        <v>19</v>
      </c>
      <c r="W7786">
        <f t="shared" si="3651"/>
        <v>1</v>
      </c>
      <c r="X7786">
        <f t="shared" si="3652"/>
        <v>2010</v>
      </c>
    </row>
    <row r="7787" spans="1:24" ht="12" customHeight="1">
      <c r="A7787" s="4">
        <v>5132</v>
      </c>
      <c r="B7787" s="4">
        <v>36608</v>
      </c>
      <c r="C7787" s="5">
        <f t="shared" ref="C7787:C7788" si="3669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  <c r="V7787">
        <f t="shared" si="3653"/>
        <v>2</v>
      </c>
      <c r="W7787">
        <f t="shared" si="3651"/>
        <v>10</v>
      </c>
      <c r="X7787">
        <f t="shared" si="3652"/>
        <v>2011</v>
      </c>
    </row>
    <row r="7788" spans="1:24" ht="12" customHeight="1">
      <c r="A7788" s="4">
        <v>5133</v>
      </c>
      <c r="B7788" s="4">
        <v>36608</v>
      </c>
      <c r="C7788" s="5">
        <f t="shared" si="3669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  <c r="V7788">
        <f t="shared" si="3653"/>
        <v>5</v>
      </c>
      <c r="W7788">
        <f t="shared" si="3651"/>
        <v>10</v>
      </c>
      <c r="X7788">
        <f t="shared" si="3652"/>
        <v>2011</v>
      </c>
    </row>
    <row r="7789" spans="1:24" ht="12" customHeight="1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  <c r="V7789">
        <f t="shared" si="3653"/>
        <v>17</v>
      </c>
      <c r="W7789">
        <f t="shared" si="3651"/>
        <v>6</v>
      </c>
      <c r="X7789">
        <f t="shared" si="3652"/>
        <v>2011</v>
      </c>
    </row>
    <row r="7790" spans="1:24" ht="12" customHeight="1">
      <c r="A7790" s="4">
        <v>5484</v>
      </c>
      <c r="B7790" s="4">
        <v>38944</v>
      </c>
      <c r="C7790" s="5">
        <f t="shared" ref="C7790:C7792" si="3670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671">C7790+1</f>
        <v>40289</v>
      </c>
      <c r="V7790">
        <f t="shared" si="3653"/>
        <v>21</v>
      </c>
      <c r="W7790">
        <f t="shared" si="3651"/>
        <v>4</v>
      </c>
      <c r="X7790">
        <f t="shared" si="3652"/>
        <v>2010</v>
      </c>
    </row>
    <row r="7791" spans="1:24" ht="12" customHeight="1">
      <c r="A7791" s="4">
        <v>5485</v>
      </c>
      <c r="B7791" s="4">
        <v>38944</v>
      </c>
      <c r="C7791" s="5">
        <f t="shared" si="3670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671"/>
        <v>40289</v>
      </c>
      <c r="V7791">
        <f t="shared" si="3653"/>
        <v>21</v>
      </c>
      <c r="W7791">
        <f t="shared" si="3651"/>
        <v>4</v>
      </c>
      <c r="X7791">
        <f t="shared" si="3652"/>
        <v>2010</v>
      </c>
    </row>
    <row r="7792" spans="1:24" ht="12" customHeight="1">
      <c r="A7792" s="4">
        <v>5486</v>
      </c>
      <c r="B7792" s="4">
        <v>38944</v>
      </c>
      <c r="C7792" s="5">
        <f t="shared" si="3670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  <c r="V7792">
        <f t="shared" si="3653"/>
        <v>22</v>
      </c>
      <c r="W7792">
        <f t="shared" si="3651"/>
        <v>4</v>
      </c>
      <c r="X7792">
        <f t="shared" si="3652"/>
        <v>2010</v>
      </c>
    </row>
    <row r="7793" spans="1:24" ht="12" customHeight="1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  <c r="V7793">
        <f t="shared" si="3653"/>
        <v>20</v>
      </c>
      <c r="W7793">
        <f t="shared" si="3651"/>
        <v>2</v>
      </c>
      <c r="X7793">
        <f t="shared" si="3652"/>
        <v>2012</v>
      </c>
    </row>
    <row r="7794" spans="1:24" ht="12" customHeight="1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  <c r="V7794">
        <f t="shared" si="3653"/>
        <v>18</v>
      </c>
      <c r="W7794">
        <f t="shared" si="3651"/>
        <v>8</v>
      </c>
      <c r="X7794">
        <f t="shared" si="3652"/>
        <v>2012</v>
      </c>
    </row>
    <row r="7795" spans="1:24" ht="12" customHeight="1">
      <c r="A7795" s="4">
        <v>5911</v>
      </c>
      <c r="B7795" s="4">
        <v>41921</v>
      </c>
      <c r="C7795" s="5">
        <f t="shared" ref="C7795:C7796" si="3672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  <c r="V7795">
        <f t="shared" si="3653"/>
        <v>26</v>
      </c>
      <c r="W7795">
        <f t="shared" si="3651"/>
        <v>2</v>
      </c>
      <c r="X7795">
        <f t="shared" si="3652"/>
        <v>2012</v>
      </c>
    </row>
    <row r="7796" spans="1:24" ht="12" customHeight="1">
      <c r="A7796" s="4">
        <v>5912</v>
      </c>
      <c r="B7796" s="4">
        <v>41921</v>
      </c>
      <c r="C7796" s="5">
        <f t="shared" si="3672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  <c r="V7796">
        <f t="shared" si="3653"/>
        <v>24</v>
      </c>
      <c r="W7796">
        <f t="shared" si="3651"/>
        <v>2</v>
      </c>
      <c r="X7796">
        <f t="shared" si="3652"/>
        <v>2012</v>
      </c>
    </row>
    <row r="7797" spans="1:24" ht="12" customHeight="1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  <c r="V7797">
        <f t="shared" si="3653"/>
        <v>29</v>
      </c>
      <c r="W7797">
        <f t="shared" si="3651"/>
        <v>12</v>
      </c>
      <c r="X7797">
        <f t="shared" si="3652"/>
        <v>2012</v>
      </c>
    </row>
    <row r="7798" spans="1:24" ht="12" customHeight="1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  <c r="V7798">
        <f t="shared" si="3653"/>
        <v>26</v>
      </c>
      <c r="W7798">
        <f t="shared" si="3651"/>
        <v>4</v>
      </c>
      <c r="X7798">
        <f t="shared" si="3652"/>
        <v>2011</v>
      </c>
    </row>
    <row r="7799" spans="1:24" ht="12" customHeight="1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  <c r="V7799">
        <f t="shared" si="3653"/>
        <v>31</v>
      </c>
      <c r="W7799">
        <f t="shared" si="3651"/>
        <v>10</v>
      </c>
      <c r="X7799">
        <f t="shared" si="3652"/>
        <v>2012</v>
      </c>
    </row>
    <row r="7800" spans="1:24" ht="12" customHeight="1">
      <c r="A7800" s="4">
        <v>6113</v>
      </c>
      <c r="B7800" s="4">
        <v>43301</v>
      </c>
      <c r="C7800" s="5">
        <f t="shared" ref="C7800:C7801" si="3673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  <c r="V7800">
        <f t="shared" si="3653"/>
        <v>22</v>
      </c>
      <c r="W7800">
        <f t="shared" si="3651"/>
        <v>8</v>
      </c>
      <c r="X7800">
        <f t="shared" si="3652"/>
        <v>2009</v>
      </c>
    </row>
    <row r="7801" spans="1:24" ht="12" customHeight="1">
      <c r="A7801" s="4">
        <v>6114</v>
      </c>
      <c r="B7801" s="4">
        <v>43301</v>
      </c>
      <c r="C7801" s="5">
        <f t="shared" si="3673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  <c r="V7801">
        <f t="shared" si="3653"/>
        <v>23</v>
      </c>
      <c r="W7801">
        <f t="shared" si="3651"/>
        <v>8</v>
      </c>
      <c r="X7801">
        <f t="shared" si="3652"/>
        <v>2009</v>
      </c>
    </row>
    <row r="7802" spans="1:24" ht="12" customHeight="1">
      <c r="A7802" s="4">
        <v>6337</v>
      </c>
      <c r="B7802" s="4">
        <v>44935</v>
      </c>
      <c r="C7802" s="5">
        <f t="shared" ref="C7802:C7803" si="3674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675">C7802+1</f>
        <v>40500</v>
      </c>
      <c r="V7802">
        <f t="shared" si="3653"/>
        <v>18</v>
      </c>
      <c r="W7802">
        <f t="shared" si="3651"/>
        <v>11</v>
      </c>
      <c r="X7802">
        <f t="shared" si="3652"/>
        <v>2010</v>
      </c>
    </row>
    <row r="7803" spans="1:24" ht="12" customHeight="1">
      <c r="A7803" s="4">
        <v>6338</v>
      </c>
      <c r="B7803" s="4">
        <v>44935</v>
      </c>
      <c r="C7803" s="5">
        <f t="shared" si="3674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675"/>
        <v>40500</v>
      </c>
      <c r="V7803">
        <f t="shared" si="3653"/>
        <v>18</v>
      </c>
      <c r="W7803">
        <f t="shared" si="3651"/>
        <v>11</v>
      </c>
      <c r="X7803">
        <f t="shared" si="3652"/>
        <v>2010</v>
      </c>
    </row>
    <row r="7804" spans="1:24" ht="12" customHeight="1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675"/>
        <v>40032</v>
      </c>
      <c r="V7804">
        <f t="shared" si="3653"/>
        <v>7</v>
      </c>
      <c r="W7804">
        <f t="shared" si="3651"/>
        <v>8</v>
      </c>
      <c r="X7804">
        <f t="shared" si="3652"/>
        <v>2009</v>
      </c>
    </row>
    <row r="7805" spans="1:24" ht="12" customHeight="1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676">C7805+0</f>
        <v>40413</v>
      </c>
      <c r="V7805">
        <f t="shared" si="3653"/>
        <v>23</v>
      </c>
      <c r="W7805">
        <f t="shared" si="3651"/>
        <v>8</v>
      </c>
      <c r="X7805">
        <f t="shared" si="3652"/>
        <v>2010</v>
      </c>
    </row>
    <row r="7806" spans="1:24" ht="12" customHeight="1">
      <c r="A7806" s="4">
        <v>6963</v>
      </c>
      <c r="B7806" s="4">
        <v>49767</v>
      </c>
      <c r="C7806" s="5">
        <f t="shared" ref="C7806:C7808" si="3677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676"/>
        <v>40490</v>
      </c>
      <c r="V7806">
        <f t="shared" si="3653"/>
        <v>8</v>
      </c>
      <c r="W7806">
        <f t="shared" si="3651"/>
        <v>11</v>
      </c>
      <c r="X7806">
        <f t="shared" si="3652"/>
        <v>2010</v>
      </c>
    </row>
    <row r="7807" spans="1:24" ht="12" customHeight="1">
      <c r="A7807" s="4">
        <v>6964</v>
      </c>
      <c r="B7807" s="4">
        <v>49767</v>
      </c>
      <c r="C7807" s="5">
        <f t="shared" si="3677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  <c r="V7807">
        <f t="shared" si="3653"/>
        <v>9</v>
      </c>
      <c r="W7807">
        <f t="shared" si="3651"/>
        <v>11</v>
      </c>
      <c r="X7807">
        <f t="shared" si="3652"/>
        <v>2010</v>
      </c>
    </row>
    <row r="7808" spans="1:24" ht="12" customHeight="1">
      <c r="A7808" s="4">
        <v>6965</v>
      </c>
      <c r="B7808" s="4">
        <v>49767</v>
      </c>
      <c r="C7808" s="5">
        <f t="shared" si="3677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678">C7808+2</f>
        <v>40492</v>
      </c>
      <c r="V7808">
        <f t="shared" si="3653"/>
        <v>10</v>
      </c>
      <c r="W7808">
        <f t="shared" si="3651"/>
        <v>11</v>
      </c>
      <c r="X7808">
        <f t="shared" si="3652"/>
        <v>2010</v>
      </c>
    </row>
    <row r="7809" spans="1:24" ht="12" customHeight="1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678"/>
        <v>40964</v>
      </c>
      <c r="V7809">
        <f t="shared" si="3653"/>
        <v>25</v>
      </c>
      <c r="W7809">
        <f t="shared" si="3651"/>
        <v>2</v>
      </c>
      <c r="X7809">
        <f t="shared" si="3652"/>
        <v>2012</v>
      </c>
    </row>
    <row r="7810" spans="1:24" ht="12" customHeight="1">
      <c r="A7810" s="4">
        <v>7187</v>
      </c>
      <c r="B7810" s="4">
        <v>51269</v>
      </c>
      <c r="C7810" s="5">
        <f t="shared" ref="C7810:C7811" si="3679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680">C7810+1</f>
        <v>40921</v>
      </c>
      <c r="V7810">
        <f t="shared" si="3653"/>
        <v>13</v>
      </c>
      <c r="W7810">
        <f t="shared" si="3651"/>
        <v>1</v>
      </c>
      <c r="X7810">
        <f t="shared" si="3652"/>
        <v>2012</v>
      </c>
    </row>
    <row r="7811" spans="1:24" ht="12" customHeight="1">
      <c r="A7811" s="4">
        <v>7188</v>
      </c>
      <c r="B7811" s="4">
        <v>51269</v>
      </c>
      <c r="C7811" s="5">
        <f t="shared" si="3679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680"/>
        <v>40921</v>
      </c>
      <c r="V7811">
        <f t="shared" si="3653"/>
        <v>13</v>
      </c>
      <c r="W7811">
        <f t="shared" ref="W7811:W7874" si="3681">MONTH(U7811)</f>
        <v>1</v>
      </c>
      <c r="X7811">
        <f t="shared" ref="X7811:X7874" si="3682">YEAR(U7811)</f>
        <v>2012</v>
      </c>
    </row>
    <row r="7812" spans="1:24" ht="12" customHeight="1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  <c r="V7812">
        <f t="shared" ref="V7812:V7875" si="3683">DAY(U7812)</f>
        <v>12</v>
      </c>
      <c r="W7812">
        <f t="shared" si="3681"/>
        <v>9</v>
      </c>
      <c r="X7812">
        <f t="shared" si="3682"/>
        <v>2011</v>
      </c>
    </row>
    <row r="7813" spans="1:24" ht="12" customHeight="1">
      <c r="A7813" s="4">
        <v>7588</v>
      </c>
      <c r="B7813" s="4">
        <v>54307</v>
      </c>
      <c r="C7813" s="5">
        <f t="shared" ref="C7813:C7814" si="3684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685">C7813+1</f>
        <v>40917</v>
      </c>
      <c r="V7813">
        <f t="shared" si="3683"/>
        <v>9</v>
      </c>
      <c r="W7813">
        <f t="shared" si="3681"/>
        <v>1</v>
      </c>
      <c r="X7813">
        <f t="shared" si="3682"/>
        <v>2012</v>
      </c>
    </row>
    <row r="7814" spans="1:24" ht="12" customHeight="1">
      <c r="A7814" s="4">
        <v>7589</v>
      </c>
      <c r="B7814" s="4">
        <v>54307</v>
      </c>
      <c r="C7814" s="5">
        <f t="shared" si="3684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685"/>
        <v>40917</v>
      </c>
      <c r="V7814">
        <f t="shared" si="3683"/>
        <v>9</v>
      </c>
      <c r="W7814">
        <f t="shared" si="3681"/>
        <v>1</v>
      </c>
      <c r="X7814">
        <f t="shared" si="3682"/>
        <v>2012</v>
      </c>
    </row>
    <row r="7815" spans="1:24" ht="12" customHeight="1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685"/>
        <v>40484</v>
      </c>
      <c r="V7815">
        <f t="shared" si="3683"/>
        <v>2</v>
      </c>
      <c r="W7815">
        <f t="shared" si="3681"/>
        <v>11</v>
      </c>
      <c r="X7815">
        <f t="shared" si="3682"/>
        <v>2010</v>
      </c>
    </row>
    <row r="7816" spans="1:24" ht="12" customHeight="1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  <c r="V7816">
        <f t="shared" si="3683"/>
        <v>25</v>
      </c>
      <c r="W7816">
        <f t="shared" si="3681"/>
        <v>7</v>
      </c>
      <c r="X7816">
        <f t="shared" si="3682"/>
        <v>2011</v>
      </c>
    </row>
    <row r="7817" spans="1:24" ht="12" customHeight="1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686">C7817+0</f>
        <v>40014</v>
      </c>
      <c r="V7817">
        <f t="shared" si="3683"/>
        <v>20</v>
      </c>
      <c r="W7817">
        <f t="shared" si="3681"/>
        <v>7</v>
      </c>
      <c r="X7817">
        <f t="shared" si="3682"/>
        <v>2009</v>
      </c>
    </row>
    <row r="7818" spans="1:24" ht="12" customHeight="1">
      <c r="A7818" s="4">
        <v>7982</v>
      </c>
      <c r="B7818" s="4">
        <v>57063</v>
      </c>
      <c r="C7818" s="5">
        <f t="shared" ref="C7818:C7819" si="3687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686"/>
        <v>40696</v>
      </c>
      <c r="V7818">
        <f t="shared" si="3683"/>
        <v>2</v>
      </c>
      <c r="W7818">
        <f t="shared" si="3681"/>
        <v>6</v>
      </c>
      <c r="X7818">
        <f t="shared" si="3682"/>
        <v>2011</v>
      </c>
    </row>
    <row r="7819" spans="1:24" ht="12" customHeight="1">
      <c r="A7819" s="4">
        <v>7983</v>
      </c>
      <c r="B7819" s="4">
        <v>57063</v>
      </c>
      <c r="C7819" s="5">
        <f t="shared" si="3687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  <c r="V7819">
        <f t="shared" si="3683"/>
        <v>4</v>
      </c>
      <c r="W7819">
        <f t="shared" si="3681"/>
        <v>6</v>
      </c>
      <c r="X7819">
        <f t="shared" si="3682"/>
        <v>2011</v>
      </c>
    </row>
    <row r="7820" spans="1:24" ht="12" customHeight="1">
      <c r="A7820" s="4">
        <v>7986</v>
      </c>
      <c r="B7820" s="4">
        <v>57093</v>
      </c>
      <c r="C7820" s="5">
        <f t="shared" ref="C7820:C7821" si="3688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689">C7820+7</f>
        <v>41038</v>
      </c>
      <c r="V7820">
        <f t="shared" si="3683"/>
        <v>9</v>
      </c>
      <c r="W7820">
        <f t="shared" si="3681"/>
        <v>5</v>
      </c>
      <c r="X7820">
        <f t="shared" si="3682"/>
        <v>2012</v>
      </c>
    </row>
    <row r="7821" spans="1:24" ht="12" customHeight="1">
      <c r="A7821" s="4">
        <v>7987</v>
      </c>
      <c r="B7821" s="4">
        <v>57093</v>
      </c>
      <c r="C7821" s="5">
        <f t="shared" si="3688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689"/>
        <v>41038</v>
      </c>
      <c r="V7821">
        <f t="shared" si="3683"/>
        <v>9</v>
      </c>
      <c r="W7821">
        <f t="shared" si="3681"/>
        <v>5</v>
      </c>
      <c r="X7821">
        <f t="shared" si="3682"/>
        <v>2012</v>
      </c>
    </row>
    <row r="7822" spans="1:24" ht="12" customHeight="1">
      <c r="A7822" s="4">
        <v>8304</v>
      </c>
      <c r="B7822" s="4">
        <v>59329</v>
      </c>
      <c r="C7822" s="5">
        <f t="shared" ref="C7822:C7825" si="3690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  <c r="V7822">
        <f t="shared" si="3683"/>
        <v>6</v>
      </c>
      <c r="W7822">
        <f t="shared" si="3681"/>
        <v>12</v>
      </c>
      <c r="X7822">
        <f t="shared" si="3682"/>
        <v>2012</v>
      </c>
    </row>
    <row r="7823" spans="1:24" ht="12" customHeight="1">
      <c r="A7823" s="4">
        <v>8305</v>
      </c>
      <c r="B7823" s="4">
        <v>59329</v>
      </c>
      <c r="C7823" s="5">
        <f t="shared" si="3690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  <c r="V7823">
        <f t="shared" si="3683"/>
        <v>4</v>
      </c>
      <c r="W7823">
        <f t="shared" si="3681"/>
        <v>12</v>
      </c>
      <c r="X7823">
        <f t="shared" si="3682"/>
        <v>2012</v>
      </c>
    </row>
    <row r="7824" spans="1:24" ht="12" customHeight="1">
      <c r="A7824" s="4">
        <v>8306</v>
      </c>
      <c r="B7824" s="4">
        <v>59329</v>
      </c>
      <c r="C7824" s="5">
        <f t="shared" si="3690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  <c r="V7824">
        <f t="shared" si="3683"/>
        <v>6</v>
      </c>
      <c r="W7824">
        <f t="shared" si="3681"/>
        <v>12</v>
      </c>
      <c r="X7824">
        <f t="shared" si="3682"/>
        <v>2012</v>
      </c>
    </row>
    <row r="7825" spans="1:24" ht="12" customHeight="1">
      <c r="A7825" s="4">
        <v>8307</v>
      </c>
      <c r="B7825" s="4">
        <v>59329</v>
      </c>
      <c r="C7825" s="5">
        <f t="shared" si="3690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  <c r="V7825">
        <f t="shared" si="3683"/>
        <v>5</v>
      </c>
      <c r="W7825">
        <f t="shared" si="3681"/>
        <v>12</v>
      </c>
      <c r="X7825">
        <f t="shared" si="3682"/>
        <v>2012</v>
      </c>
    </row>
    <row r="7826" spans="1:24" ht="12" customHeight="1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  <c r="V7826">
        <f t="shared" si="3683"/>
        <v>2</v>
      </c>
      <c r="W7826">
        <f t="shared" si="3681"/>
        <v>11</v>
      </c>
      <c r="X7826">
        <f t="shared" si="3682"/>
        <v>2011</v>
      </c>
    </row>
    <row r="7827" spans="1:24" ht="12" customHeight="1">
      <c r="A7827" s="4">
        <v>28</v>
      </c>
      <c r="B7827" s="4">
        <v>194</v>
      </c>
      <c r="C7827" s="5">
        <f t="shared" ref="C7827:C7828" si="3691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692">C7827+2</f>
        <v>41005</v>
      </c>
      <c r="V7827">
        <f t="shared" si="3683"/>
        <v>6</v>
      </c>
      <c r="W7827">
        <f t="shared" si="3681"/>
        <v>4</v>
      </c>
      <c r="X7827">
        <f t="shared" si="3682"/>
        <v>2012</v>
      </c>
    </row>
    <row r="7828" spans="1:24" ht="12" customHeight="1">
      <c r="A7828" s="4">
        <v>29</v>
      </c>
      <c r="B7828" s="4">
        <v>194</v>
      </c>
      <c r="C7828" s="5">
        <f t="shared" si="3691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692"/>
        <v>41005</v>
      </c>
      <c r="V7828">
        <f t="shared" si="3683"/>
        <v>6</v>
      </c>
      <c r="W7828">
        <f t="shared" si="3681"/>
        <v>4</v>
      </c>
      <c r="X7828">
        <f t="shared" si="3682"/>
        <v>2012</v>
      </c>
    </row>
    <row r="7829" spans="1:24" ht="12" customHeight="1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  <c r="V7829">
        <f t="shared" si="3683"/>
        <v>9</v>
      </c>
      <c r="W7829">
        <f t="shared" si="3681"/>
        <v>3</v>
      </c>
      <c r="X7829">
        <f t="shared" si="3682"/>
        <v>2012</v>
      </c>
    </row>
    <row r="7830" spans="1:24" ht="12" customHeight="1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693">C7830+2</f>
        <v>40882</v>
      </c>
      <c r="V7830">
        <f t="shared" si="3683"/>
        <v>5</v>
      </c>
      <c r="W7830">
        <f t="shared" si="3681"/>
        <v>12</v>
      </c>
      <c r="X7830">
        <f t="shared" si="3682"/>
        <v>2011</v>
      </c>
    </row>
    <row r="7831" spans="1:24" ht="12" customHeight="1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693"/>
        <v>41064</v>
      </c>
      <c r="V7831">
        <f t="shared" si="3683"/>
        <v>4</v>
      </c>
      <c r="W7831">
        <f t="shared" si="3681"/>
        <v>6</v>
      </c>
      <c r="X7831">
        <f t="shared" si="3682"/>
        <v>2012</v>
      </c>
    </row>
    <row r="7832" spans="1:24" ht="12" customHeight="1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693"/>
        <v>40231</v>
      </c>
      <c r="V7832">
        <f t="shared" si="3683"/>
        <v>22</v>
      </c>
      <c r="W7832">
        <f t="shared" si="3681"/>
        <v>2</v>
      </c>
      <c r="X7832">
        <f t="shared" si="3682"/>
        <v>2010</v>
      </c>
    </row>
    <row r="7833" spans="1:24" ht="12" customHeight="1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  <c r="V7833">
        <f t="shared" si="3683"/>
        <v>10</v>
      </c>
      <c r="W7833">
        <f t="shared" si="3681"/>
        <v>1</v>
      </c>
      <c r="X7833">
        <f t="shared" si="3682"/>
        <v>2010</v>
      </c>
    </row>
    <row r="7834" spans="1:24" ht="12" customHeight="1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  <c r="V7834">
        <f t="shared" si="3683"/>
        <v>27</v>
      </c>
      <c r="W7834">
        <f t="shared" si="3681"/>
        <v>3</v>
      </c>
      <c r="X7834">
        <f t="shared" si="3682"/>
        <v>2012</v>
      </c>
    </row>
    <row r="7835" spans="1:24" ht="12" customHeight="1">
      <c r="A7835" s="4">
        <v>261</v>
      </c>
      <c r="B7835" s="4">
        <v>1824</v>
      </c>
      <c r="C7835" s="5">
        <f t="shared" ref="C7835:C7836" si="3694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  <c r="V7835">
        <f t="shared" si="3683"/>
        <v>5</v>
      </c>
      <c r="W7835">
        <f t="shared" si="3681"/>
        <v>5</v>
      </c>
      <c r="X7835">
        <f t="shared" si="3682"/>
        <v>2009</v>
      </c>
    </row>
    <row r="7836" spans="1:24" ht="12" customHeight="1">
      <c r="A7836" s="4">
        <v>262</v>
      </c>
      <c r="B7836" s="4">
        <v>1824</v>
      </c>
      <c r="C7836" s="5">
        <f t="shared" si="3694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  <c r="V7836">
        <f t="shared" si="3683"/>
        <v>4</v>
      </c>
      <c r="W7836">
        <f t="shared" si="3681"/>
        <v>5</v>
      </c>
      <c r="X7836">
        <f t="shared" si="3682"/>
        <v>2009</v>
      </c>
    </row>
    <row r="7837" spans="1:24" ht="12" customHeight="1">
      <c r="A7837" s="4">
        <v>358</v>
      </c>
      <c r="B7837" s="4">
        <v>2503</v>
      </c>
      <c r="C7837" s="5">
        <f t="shared" ref="C7837:C7839" si="3695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696">C7837+1</f>
        <v>40349</v>
      </c>
      <c r="V7837">
        <f t="shared" si="3683"/>
        <v>20</v>
      </c>
      <c r="W7837">
        <f t="shared" si="3681"/>
        <v>6</v>
      </c>
      <c r="X7837">
        <f t="shared" si="3682"/>
        <v>2010</v>
      </c>
    </row>
    <row r="7838" spans="1:24" ht="12" customHeight="1">
      <c r="A7838" s="4">
        <v>359</v>
      </c>
      <c r="B7838" s="4">
        <v>2503</v>
      </c>
      <c r="C7838" s="5">
        <f t="shared" si="3695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696"/>
        <v>40349</v>
      </c>
      <c r="V7838">
        <f t="shared" si="3683"/>
        <v>20</v>
      </c>
      <c r="W7838">
        <f t="shared" si="3681"/>
        <v>6</v>
      </c>
      <c r="X7838">
        <f t="shared" si="3682"/>
        <v>2010</v>
      </c>
    </row>
    <row r="7839" spans="1:24" ht="12" customHeight="1">
      <c r="A7839" s="4">
        <v>360</v>
      </c>
      <c r="B7839" s="4">
        <v>2503</v>
      </c>
      <c r="C7839" s="5">
        <f t="shared" si="3695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697">C7839+2</f>
        <v>40350</v>
      </c>
      <c r="V7839">
        <f t="shared" si="3683"/>
        <v>21</v>
      </c>
      <c r="W7839">
        <f t="shared" si="3681"/>
        <v>6</v>
      </c>
      <c r="X7839">
        <f t="shared" si="3682"/>
        <v>2010</v>
      </c>
    </row>
    <row r="7840" spans="1:24" ht="12" customHeight="1">
      <c r="A7840" s="4">
        <v>595</v>
      </c>
      <c r="B7840" s="4">
        <v>4069</v>
      </c>
      <c r="C7840" s="5">
        <f t="shared" ref="C7840:C7842" si="3698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697"/>
        <v>41043</v>
      </c>
      <c r="V7840">
        <f t="shared" si="3683"/>
        <v>14</v>
      </c>
      <c r="W7840">
        <f t="shared" si="3681"/>
        <v>5</v>
      </c>
      <c r="X7840">
        <f t="shared" si="3682"/>
        <v>2012</v>
      </c>
    </row>
    <row r="7841" spans="1:24" ht="12" customHeight="1">
      <c r="A7841" s="4">
        <v>596</v>
      </c>
      <c r="B7841" s="4">
        <v>4069</v>
      </c>
      <c r="C7841" s="5">
        <f t="shared" si="3698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  <c r="V7841">
        <f t="shared" si="3683"/>
        <v>12</v>
      </c>
      <c r="W7841">
        <f t="shared" si="3681"/>
        <v>5</v>
      </c>
      <c r="X7841">
        <f t="shared" si="3682"/>
        <v>2012</v>
      </c>
    </row>
    <row r="7842" spans="1:24" ht="12" customHeight="1">
      <c r="A7842" s="4">
        <v>597</v>
      </c>
      <c r="B7842" s="4">
        <v>4069</v>
      </c>
      <c r="C7842" s="5">
        <f t="shared" si="3698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  <c r="V7842">
        <f t="shared" si="3683"/>
        <v>15</v>
      </c>
      <c r="W7842">
        <f t="shared" si="3681"/>
        <v>5</v>
      </c>
      <c r="X7842">
        <f t="shared" si="3682"/>
        <v>2012</v>
      </c>
    </row>
    <row r="7843" spans="1:24" ht="12" customHeight="1">
      <c r="A7843" s="4">
        <v>659</v>
      </c>
      <c r="B7843" s="4">
        <v>4645</v>
      </c>
      <c r="C7843" s="5">
        <f t="shared" ref="C7843:C7845" si="3699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  <c r="V7843">
        <f t="shared" si="3683"/>
        <v>19</v>
      </c>
      <c r="W7843">
        <f t="shared" si="3681"/>
        <v>9</v>
      </c>
      <c r="X7843">
        <f t="shared" si="3682"/>
        <v>2009</v>
      </c>
    </row>
    <row r="7844" spans="1:24" ht="12" customHeight="1">
      <c r="A7844" s="4">
        <v>660</v>
      </c>
      <c r="B7844" s="4">
        <v>4645</v>
      </c>
      <c r="C7844" s="5">
        <f t="shared" si="3699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700">C7844+2</f>
        <v>40077</v>
      </c>
      <c r="V7844">
        <f t="shared" si="3683"/>
        <v>21</v>
      </c>
      <c r="W7844">
        <f t="shared" si="3681"/>
        <v>9</v>
      </c>
      <c r="X7844">
        <f t="shared" si="3682"/>
        <v>2009</v>
      </c>
    </row>
    <row r="7845" spans="1:24" ht="12" customHeight="1">
      <c r="A7845" s="4">
        <v>661</v>
      </c>
      <c r="B7845" s="4">
        <v>4645</v>
      </c>
      <c r="C7845" s="5">
        <f t="shared" si="3699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700"/>
        <v>40077</v>
      </c>
      <c r="V7845">
        <f t="shared" si="3683"/>
        <v>21</v>
      </c>
      <c r="W7845">
        <f t="shared" si="3681"/>
        <v>9</v>
      </c>
      <c r="X7845">
        <f t="shared" si="3682"/>
        <v>2009</v>
      </c>
    </row>
    <row r="7846" spans="1:24" ht="12" customHeight="1">
      <c r="A7846" s="4">
        <v>811</v>
      </c>
      <c r="B7846" s="4">
        <v>5858</v>
      </c>
      <c r="C7846" s="5">
        <f t="shared" ref="C7846:C7847" si="3701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700"/>
        <v>41105</v>
      </c>
      <c r="V7846">
        <f t="shared" si="3683"/>
        <v>15</v>
      </c>
      <c r="W7846">
        <f t="shared" si="3681"/>
        <v>7</v>
      </c>
      <c r="X7846">
        <f t="shared" si="3682"/>
        <v>2012</v>
      </c>
    </row>
    <row r="7847" spans="1:24" ht="12" customHeight="1">
      <c r="A7847" s="4">
        <v>812</v>
      </c>
      <c r="B7847" s="4">
        <v>5858</v>
      </c>
      <c r="C7847" s="5">
        <f t="shared" si="3701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700"/>
        <v>41105</v>
      </c>
      <c r="V7847">
        <f t="shared" si="3683"/>
        <v>15</v>
      </c>
      <c r="W7847">
        <f t="shared" si="3681"/>
        <v>7</v>
      </c>
      <c r="X7847">
        <f t="shared" si="3682"/>
        <v>2012</v>
      </c>
    </row>
    <row r="7848" spans="1:24" ht="12" customHeight="1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700"/>
        <v>40768</v>
      </c>
      <c r="V7848">
        <f t="shared" si="3683"/>
        <v>13</v>
      </c>
      <c r="W7848">
        <f t="shared" si="3681"/>
        <v>8</v>
      </c>
      <c r="X7848">
        <f t="shared" si="3682"/>
        <v>2011</v>
      </c>
    </row>
    <row r="7849" spans="1:24" ht="12" customHeight="1">
      <c r="A7849" s="4">
        <v>923</v>
      </c>
      <c r="B7849" s="4">
        <v>6661</v>
      </c>
      <c r="C7849" s="5">
        <f t="shared" ref="C7849:C7850" si="3702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  <c r="V7849">
        <f t="shared" si="3683"/>
        <v>20</v>
      </c>
      <c r="W7849">
        <f t="shared" si="3681"/>
        <v>4</v>
      </c>
      <c r="X7849">
        <f t="shared" si="3682"/>
        <v>2010</v>
      </c>
    </row>
    <row r="7850" spans="1:24" ht="12" customHeight="1">
      <c r="A7850" s="4">
        <v>924</v>
      </c>
      <c r="B7850" s="4">
        <v>6661</v>
      </c>
      <c r="C7850" s="5">
        <f t="shared" si="3702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  <c r="V7850">
        <f t="shared" si="3683"/>
        <v>23</v>
      </c>
      <c r="W7850">
        <f t="shared" si="3681"/>
        <v>4</v>
      </c>
      <c r="X7850">
        <f t="shared" si="3682"/>
        <v>2010</v>
      </c>
    </row>
    <row r="7851" spans="1:24" ht="12" customHeight="1">
      <c r="A7851" s="4">
        <v>934</v>
      </c>
      <c r="B7851" s="4">
        <v>6757</v>
      </c>
      <c r="C7851" s="5">
        <f t="shared" ref="C7851:C7852" si="3703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  <c r="V7851">
        <f t="shared" si="3683"/>
        <v>3</v>
      </c>
      <c r="W7851">
        <f t="shared" si="3681"/>
        <v>2</v>
      </c>
      <c r="X7851">
        <f t="shared" si="3682"/>
        <v>2012</v>
      </c>
    </row>
    <row r="7852" spans="1:24" ht="12" customHeight="1">
      <c r="A7852" s="4">
        <v>935</v>
      </c>
      <c r="B7852" s="4">
        <v>6757</v>
      </c>
      <c r="C7852" s="5">
        <f t="shared" si="3703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  <c r="V7852">
        <f t="shared" si="3683"/>
        <v>2</v>
      </c>
      <c r="W7852">
        <f t="shared" si="3681"/>
        <v>2</v>
      </c>
      <c r="X7852">
        <f t="shared" si="3682"/>
        <v>2012</v>
      </c>
    </row>
    <row r="7853" spans="1:24" ht="12" customHeight="1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  <c r="V7853">
        <f t="shared" si="3683"/>
        <v>5</v>
      </c>
      <c r="W7853">
        <f t="shared" si="3681"/>
        <v>6</v>
      </c>
      <c r="X7853">
        <f t="shared" si="3682"/>
        <v>2010</v>
      </c>
    </row>
    <row r="7854" spans="1:24" ht="12" customHeight="1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  <c r="V7854">
        <f t="shared" si="3683"/>
        <v>4</v>
      </c>
      <c r="W7854">
        <f t="shared" si="3681"/>
        <v>1</v>
      </c>
      <c r="X7854">
        <f t="shared" si="3682"/>
        <v>2009</v>
      </c>
    </row>
    <row r="7855" spans="1:24" ht="12" customHeight="1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  <c r="V7855">
        <f t="shared" si="3683"/>
        <v>6</v>
      </c>
      <c r="W7855">
        <f t="shared" si="3681"/>
        <v>6</v>
      </c>
      <c r="X7855">
        <f t="shared" si="3682"/>
        <v>2009</v>
      </c>
    </row>
    <row r="7856" spans="1:24" ht="12" customHeight="1">
      <c r="A7856" s="4">
        <v>1271</v>
      </c>
      <c r="B7856" s="4">
        <v>9249</v>
      </c>
      <c r="C7856" s="5">
        <f t="shared" ref="C7856:C7858" si="3704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705">C7856+1</f>
        <v>40318</v>
      </c>
      <c r="V7856">
        <f t="shared" si="3683"/>
        <v>20</v>
      </c>
      <c r="W7856">
        <f t="shared" si="3681"/>
        <v>5</v>
      </c>
      <c r="X7856">
        <f t="shared" si="3682"/>
        <v>2010</v>
      </c>
    </row>
    <row r="7857" spans="1:24" ht="12" customHeight="1">
      <c r="A7857" s="4">
        <v>1272</v>
      </c>
      <c r="B7857" s="4">
        <v>9249</v>
      </c>
      <c r="C7857" s="5">
        <f t="shared" si="3704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705"/>
        <v>40318</v>
      </c>
      <c r="V7857">
        <f t="shared" si="3683"/>
        <v>20</v>
      </c>
      <c r="W7857">
        <f t="shared" si="3681"/>
        <v>5</v>
      </c>
      <c r="X7857">
        <f t="shared" si="3682"/>
        <v>2010</v>
      </c>
    </row>
    <row r="7858" spans="1:24" ht="12" customHeight="1">
      <c r="A7858" s="4">
        <v>1273</v>
      </c>
      <c r="B7858" s="4">
        <v>9249</v>
      </c>
      <c r="C7858" s="5">
        <f t="shared" si="3704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706">C7858+2</f>
        <v>40319</v>
      </c>
      <c r="V7858">
        <f t="shared" si="3683"/>
        <v>21</v>
      </c>
      <c r="W7858">
        <f t="shared" si="3681"/>
        <v>5</v>
      </c>
      <c r="X7858">
        <f t="shared" si="3682"/>
        <v>2010</v>
      </c>
    </row>
    <row r="7859" spans="1:24" ht="12" customHeight="1">
      <c r="A7859" s="4">
        <v>1318</v>
      </c>
      <c r="B7859" s="4">
        <v>9639</v>
      </c>
      <c r="C7859" s="5">
        <f t="shared" ref="C7859:C7861" si="3707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706"/>
        <v>40428</v>
      </c>
      <c r="V7859">
        <f t="shared" si="3683"/>
        <v>7</v>
      </c>
      <c r="W7859">
        <f t="shared" si="3681"/>
        <v>9</v>
      </c>
      <c r="X7859">
        <f t="shared" si="3682"/>
        <v>2010</v>
      </c>
    </row>
    <row r="7860" spans="1:24" ht="12" customHeight="1">
      <c r="A7860" s="4">
        <v>1319</v>
      </c>
      <c r="B7860" s="4">
        <v>9639</v>
      </c>
      <c r="C7860" s="5">
        <f t="shared" si="3707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708">C7860+0</f>
        <v>40426</v>
      </c>
      <c r="V7860">
        <f t="shared" si="3683"/>
        <v>5</v>
      </c>
      <c r="W7860">
        <f t="shared" si="3681"/>
        <v>9</v>
      </c>
      <c r="X7860">
        <f t="shared" si="3682"/>
        <v>2010</v>
      </c>
    </row>
    <row r="7861" spans="1:24" ht="12" customHeight="1">
      <c r="A7861" s="4">
        <v>1320</v>
      </c>
      <c r="B7861" s="4">
        <v>9639</v>
      </c>
      <c r="C7861" s="5">
        <f t="shared" si="3707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708"/>
        <v>40426</v>
      </c>
      <c r="V7861">
        <f t="shared" si="3683"/>
        <v>5</v>
      </c>
      <c r="W7861">
        <f t="shared" si="3681"/>
        <v>9</v>
      </c>
      <c r="X7861">
        <f t="shared" si="3682"/>
        <v>2010</v>
      </c>
    </row>
    <row r="7862" spans="1:24" ht="12" customHeight="1">
      <c r="A7862" s="4">
        <v>1328</v>
      </c>
      <c r="B7862" s="4">
        <v>9696</v>
      </c>
      <c r="C7862" s="5">
        <f t="shared" ref="C7862:C7863" si="3709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710">C7862+2</f>
        <v>40595</v>
      </c>
      <c r="V7862">
        <f t="shared" si="3683"/>
        <v>21</v>
      </c>
      <c r="W7862">
        <f t="shared" si="3681"/>
        <v>2</v>
      </c>
      <c r="X7862">
        <f t="shared" si="3682"/>
        <v>2011</v>
      </c>
    </row>
    <row r="7863" spans="1:24" ht="12" customHeight="1">
      <c r="A7863" s="4">
        <v>1329</v>
      </c>
      <c r="B7863" s="4">
        <v>9696</v>
      </c>
      <c r="C7863" s="5">
        <f t="shared" si="3709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710"/>
        <v>40595</v>
      </c>
      <c r="V7863">
        <f t="shared" si="3683"/>
        <v>21</v>
      </c>
      <c r="W7863">
        <f t="shared" si="3681"/>
        <v>2</v>
      </c>
      <c r="X7863">
        <f t="shared" si="3682"/>
        <v>2011</v>
      </c>
    </row>
    <row r="7864" spans="1:24" ht="12" customHeight="1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  <c r="V7864">
        <f t="shared" si="3683"/>
        <v>19</v>
      </c>
      <c r="W7864">
        <f t="shared" si="3681"/>
        <v>9</v>
      </c>
      <c r="X7864">
        <f t="shared" si="3682"/>
        <v>2009</v>
      </c>
    </row>
    <row r="7865" spans="1:24" ht="12" customHeight="1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  <c r="V7865">
        <f t="shared" si="3683"/>
        <v>6</v>
      </c>
      <c r="W7865">
        <f t="shared" si="3681"/>
        <v>2</v>
      </c>
      <c r="X7865">
        <f t="shared" si="3682"/>
        <v>2010</v>
      </c>
    </row>
    <row r="7866" spans="1:24" ht="12" customHeight="1">
      <c r="A7866" s="4">
        <v>1520</v>
      </c>
      <c r="B7866" s="4">
        <v>10981</v>
      </c>
      <c r="C7866" s="5">
        <f t="shared" ref="C7866:C7867" si="3711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712">C7866+2</f>
        <v>40314</v>
      </c>
      <c r="V7866">
        <f t="shared" si="3683"/>
        <v>16</v>
      </c>
      <c r="W7866">
        <f t="shared" si="3681"/>
        <v>5</v>
      </c>
      <c r="X7866">
        <f t="shared" si="3682"/>
        <v>2010</v>
      </c>
    </row>
    <row r="7867" spans="1:24" ht="12" customHeight="1">
      <c r="A7867" s="4">
        <v>1521</v>
      </c>
      <c r="B7867" s="4">
        <v>10981</v>
      </c>
      <c r="C7867" s="5">
        <f t="shared" si="3711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712"/>
        <v>40314</v>
      </c>
      <c r="V7867">
        <f t="shared" si="3683"/>
        <v>16</v>
      </c>
      <c r="W7867">
        <f t="shared" si="3681"/>
        <v>5</v>
      </c>
      <c r="X7867">
        <f t="shared" si="3682"/>
        <v>2010</v>
      </c>
    </row>
    <row r="7868" spans="1:24" ht="12" customHeight="1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712"/>
        <v>40329</v>
      </c>
      <c r="V7868">
        <f t="shared" si="3683"/>
        <v>31</v>
      </c>
      <c r="W7868">
        <f t="shared" si="3681"/>
        <v>5</v>
      </c>
      <c r="X7868">
        <f t="shared" si="3682"/>
        <v>2010</v>
      </c>
    </row>
    <row r="7869" spans="1:24" ht="12" customHeight="1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712"/>
        <v>40515</v>
      </c>
      <c r="V7869">
        <f t="shared" si="3683"/>
        <v>3</v>
      </c>
      <c r="W7869">
        <f t="shared" si="3681"/>
        <v>12</v>
      </c>
      <c r="X7869">
        <f t="shared" si="3682"/>
        <v>2010</v>
      </c>
    </row>
    <row r="7870" spans="1:24" ht="12" customHeight="1">
      <c r="A7870" s="4">
        <v>1950</v>
      </c>
      <c r="B7870" s="4">
        <v>13959</v>
      </c>
      <c r="C7870" s="5">
        <f t="shared" ref="C7870:C7871" si="3713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712"/>
        <v>39909</v>
      </c>
      <c r="V7870">
        <f t="shared" si="3683"/>
        <v>6</v>
      </c>
      <c r="W7870">
        <f t="shared" si="3681"/>
        <v>4</v>
      </c>
      <c r="X7870">
        <f t="shared" si="3682"/>
        <v>2009</v>
      </c>
    </row>
    <row r="7871" spans="1:24" ht="12" customHeight="1">
      <c r="A7871" s="4">
        <v>1951</v>
      </c>
      <c r="B7871" s="4">
        <v>13959</v>
      </c>
      <c r="C7871" s="5">
        <f t="shared" si="3713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712"/>
        <v>39909</v>
      </c>
      <c r="V7871">
        <f t="shared" si="3683"/>
        <v>6</v>
      </c>
      <c r="W7871">
        <f t="shared" si="3681"/>
        <v>4</v>
      </c>
      <c r="X7871">
        <f t="shared" si="3682"/>
        <v>2009</v>
      </c>
    </row>
    <row r="7872" spans="1:24" ht="12" customHeight="1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712"/>
        <v>41103</v>
      </c>
      <c r="V7872">
        <f t="shared" si="3683"/>
        <v>13</v>
      </c>
      <c r="W7872">
        <f t="shared" si="3681"/>
        <v>7</v>
      </c>
      <c r="X7872">
        <f t="shared" si="3682"/>
        <v>2012</v>
      </c>
    </row>
    <row r="7873" spans="1:24" ht="12" customHeight="1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714">C7873+1</f>
        <v>40880</v>
      </c>
      <c r="V7873">
        <f t="shared" si="3683"/>
        <v>3</v>
      </c>
      <c r="W7873">
        <f t="shared" si="3681"/>
        <v>12</v>
      </c>
      <c r="X7873">
        <f t="shared" si="3682"/>
        <v>2011</v>
      </c>
    </row>
    <row r="7874" spans="1:24" ht="12" customHeight="1">
      <c r="A7874" s="4">
        <v>2155</v>
      </c>
      <c r="B7874" s="4">
        <v>15428</v>
      </c>
      <c r="C7874" s="5">
        <f t="shared" ref="C7874:C7875" si="3715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714"/>
        <v>40584</v>
      </c>
      <c r="V7874">
        <f t="shared" si="3683"/>
        <v>10</v>
      </c>
      <c r="W7874">
        <f t="shared" si="3681"/>
        <v>2</v>
      </c>
      <c r="X7874">
        <f t="shared" si="3682"/>
        <v>2011</v>
      </c>
    </row>
    <row r="7875" spans="1:24" ht="12" customHeight="1">
      <c r="A7875" s="4">
        <v>2156</v>
      </c>
      <c r="B7875" s="4">
        <v>15428</v>
      </c>
      <c r="C7875" s="5">
        <f t="shared" si="3715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  <c r="V7875">
        <f t="shared" si="3683"/>
        <v>12</v>
      </c>
      <c r="W7875">
        <f t="shared" ref="W7875:W7938" si="3716">MONTH(U7875)</f>
        <v>2</v>
      </c>
      <c r="X7875">
        <f t="shared" ref="X7875:X7938" si="3717">YEAR(U7875)</f>
        <v>2011</v>
      </c>
    </row>
    <row r="7876" spans="1:24" ht="12" customHeight="1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718">C7876+2</f>
        <v>41271</v>
      </c>
      <c r="V7876">
        <f t="shared" ref="V7876:V7939" si="3719">DAY(U7876)</f>
        <v>28</v>
      </c>
      <c r="W7876">
        <f t="shared" si="3716"/>
        <v>12</v>
      </c>
      <c r="X7876">
        <f t="shared" si="3717"/>
        <v>2012</v>
      </c>
    </row>
    <row r="7877" spans="1:24" ht="12" customHeight="1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718"/>
        <v>40792</v>
      </c>
      <c r="V7877">
        <f t="shared" si="3719"/>
        <v>6</v>
      </c>
      <c r="W7877">
        <f t="shared" si="3716"/>
        <v>9</v>
      </c>
      <c r="X7877">
        <f t="shared" si="3717"/>
        <v>2011</v>
      </c>
    </row>
    <row r="7878" spans="1:24" ht="12" customHeight="1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718"/>
        <v>39990</v>
      </c>
      <c r="V7878">
        <f t="shared" si="3719"/>
        <v>26</v>
      </c>
      <c r="W7878">
        <f t="shared" si="3716"/>
        <v>6</v>
      </c>
      <c r="X7878">
        <f t="shared" si="3717"/>
        <v>2009</v>
      </c>
    </row>
    <row r="7879" spans="1:24" ht="12" customHeight="1">
      <c r="A7879" s="4">
        <v>2527</v>
      </c>
      <c r="B7879" s="4">
        <v>18368</v>
      </c>
      <c r="C7879" s="5">
        <f t="shared" ref="C7879:C7881" si="3720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718"/>
        <v>41245</v>
      </c>
      <c r="V7879">
        <f t="shared" si="3719"/>
        <v>2</v>
      </c>
      <c r="W7879">
        <f t="shared" si="3716"/>
        <v>12</v>
      </c>
      <c r="X7879">
        <f t="shared" si="3717"/>
        <v>2012</v>
      </c>
    </row>
    <row r="7880" spans="1:24" ht="12" customHeight="1">
      <c r="A7880" s="4">
        <v>2528</v>
      </c>
      <c r="B7880" s="4">
        <v>18368</v>
      </c>
      <c r="C7880" s="5">
        <f t="shared" si="3720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  <c r="V7880">
        <f t="shared" si="3719"/>
        <v>1</v>
      </c>
      <c r="W7880">
        <f t="shared" si="3716"/>
        <v>12</v>
      </c>
      <c r="X7880">
        <f t="shared" si="3717"/>
        <v>2012</v>
      </c>
    </row>
    <row r="7881" spans="1:24" ht="12" customHeight="1">
      <c r="A7881" s="4">
        <v>2529</v>
      </c>
      <c r="B7881" s="4">
        <v>18368</v>
      </c>
      <c r="C7881" s="5">
        <f t="shared" si="3720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  <c r="V7881">
        <f t="shared" si="3719"/>
        <v>2</v>
      </c>
      <c r="W7881">
        <f t="shared" si="3716"/>
        <v>12</v>
      </c>
      <c r="X7881">
        <f t="shared" si="3717"/>
        <v>2012</v>
      </c>
    </row>
    <row r="7882" spans="1:24" ht="12" customHeight="1">
      <c r="A7882" s="4">
        <v>2682</v>
      </c>
      <c r="B7882" s="4">
        <v>19424</v>
      </c>
      <c r="C7882" s="5">
        <f t="shared" ref="C7882:C7883" si="3721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  <c r="V7882">
        <f t="shared" si="3719"/>
        <v>9</v>
      </c>
      <c r="W7882">
        <f t="shared" si="3716"/>
        <v>4</v>
      </c>
      <c r="X7882">
        <f t="shared" si="3717"/>
        <v>2011</v>
      </c>
    </row>
    <row r="7883" spans="1:24" ht="12" customHeight="1">
      <c r="A7883" s="4">
        <v>2683</v>
      </c>
      <c r="B7883" s="4">
        <v>19424</v>
      </c>
      <c r="C7883" s="5">
        <f t="shared" si="3721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722">C7883+1</f>
        <v>40643</v>
      </c>
      <c r="V7883">
        <f t="shared" si="3719"/>
        <v>10</v>
      </c>
      <c r="W7883">
        <f t="shared" si="3716"/>
        <v>4</v>
      </c>
      <c r="X7883">
        <f t="shared" si="3717"/>
        <v>2011</v>
      </c>
    </row>
    <row r="7884" spans="1:24" ht="12" customHeight="1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722"/>
        <v>41177</v>
      </c>
      <c r="V7884">
        <f t="shared" si="3719"/>
        <v>25</v>
      </c>
      <c r="W7884">
        <f t="shared" si="3716"/>
        <v>9</v>
      </c>
      <c r="X7884">
        <f t="shared" si="3717"/>
        <v>2012</v>
      </c>
    </row>
    <row r="7885" spans="1:24" ht="12" customHeight="1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  <c r="V7885">
        <f t="shared" si="3719"/>
        <v>7</v>
      </c>
      <c r="W7885">
        <f t="shared" si="3716"/>
        <v>4</v>
      </c>
      <c r="X7885">
        <f t="shared" si="3717"/>
        <v>2010</v>
      </c>
    </row>
    <row r="7886" spans="1:24" ht="12" customHeight="1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  <c r="V7886">
        <f t="shared" si="3719"/>
        <v>8</v>
      </c>
      <c r="W7886">
        <f t="shared" si="3716"/>
        <v>5</v>
      </c>
      <c r="X7886">
        <f t="shared" si="3717"/>
        <v>2012</v>
      </c>
    </row>
    <row r="7887" spans="1:24" ht="12" customHeight="1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  <c r="V7887">
        <f t="shared" si="3719"/>
        <v>2</v>
      </c>
      <c r="W7887">
        <f t="shared" si="3716"/>
        <v>6</v>
      </c>
      <c r="X7887">
        <f t="shared" si="3717"/>
        <v>2012</v>
      </c>
    </row>
    <row r="7888" spans="1:24" ht="12" customHeight="1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  <c r="V7888">
        <f t="shared" si="3719"/>
        <v>18</v>
      </c>
      <c r="W7888">
        <f t="shared" si="3716"/>
        <v>9</v>
      </c>
      <c r="X7888">
        <f t="shared" si="3717"/>
        <v>2010</v>
      </c>
    </row>
    <row r="7889" spans="1:24" ht="12" customHeight="1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  <c r="V7889">
        <f t="shared" si="3719"/>
        <v>8</v>
      </c>
      <c r="W7889">
        <f t="shared" si="3716"/>
        <v>10</v>
      </c>
      <c r="X7889">
        <f t="shared" si="3717"/>
        <v>2010</v>
      </c>
    </row>
    <row r="7890" spans="1:24" ht="12" customHeight="1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  <c r="V7890">
        <f t="shared" si="3719"/>
        <v>29</v>
      </c>
      <c r="W7890">
        <f t="shared" si="3716"/>
        <v>4</v>
      </c>
      <c r="X7890">
        <f t="shared" si="3717"/>
        <v>2012</v>
      </c>
    </row>
    <row r="7891" spans="1:24" ht="12" customHeight="1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723">C7891+1</f>
        <v>41214</v>
      </c>
      <c r="V7891">
        <f t="shared" si="3719"/>
        <v>1</v>
      </c>
      <c r="W7891">
        <f t="shared" si="3716"/>
        <v>11</v>
      </c>
      <c r="X7891">
        <f t="shared" si="3717"/>
        <v>2012</v>
      </c>
    </row>
    <row r="7892" spans="1:24" ht="12" customHeight="1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723"/>
        <v>40442</v>
      </c>
      <c r="V7892">
        <f t="shared" si="3719"/>
        <v>21</v>
      </c>
      <c r="W7892">
        <f t="shared" si="3716"/>
        <v>9</v>
      </c>
      <c r="X7892">
        <f t="shared" si="3717"/>
        <v>2010</v>
      </c>
    </row>
    <row r="7893" spans="1:24" ht="12" customHeight="1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  <c r="V7893">
        <f t="shared" si="3719"/>
        <v>12</v>
      </c>
      <c r="W7893">
        <f t="shared" si="3716"/>
        <v>8</v>
      </c>
      <c r="X7893">
        <f t="shared" si="3717"/>
        <v>2011</v>
      </c>
    </row>
    <row r="7894" spans="1:24" ht="12" customHeight="1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  <c r="V7894">
        <f t="shared" si="3719"/>
        <v>30</v>
      </c>
      <c r="W7894">
        <f t="shared" si="3716"/>
        <v>3</v>
      </c>
      <c r="X7894">
        <f t="shared" si="3717"/>
        <v>2011</v>
      </c>
    </row>
    <row r="7895" spans="1:24" ht="12" customHeight="1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  <c r="V7895">
        <f t="shared" si="3719"/>
        <v>7</v>
      </c>
      <c r="W7895">
        <f t="shared" si="3716"/>
        <v>3</v>
      </c>
      <c r="X7895">
        <f t="shared" si="3717"/>
        <v>2011</v>
      </c>
    </row>
    <row r="7896" spans="1:24" ht="12" customHeight="1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  <c r="V7896">
        <f t="shared" si="3719"/>
        <v>8</v>
      </c>
      <c r="W7896">
        <f t="shared" si="3716"/>
        <v>8</v>
      </c>
      <c r="X7896">
        <f t="shared" si="3717"/>
        <v>2012</v>
      </c>
    </row>
    <row r="7897" spans="1:24" ht="12" customHeight="1">
      <c r="A7897" s="4">
        <v>3785</v>
      </c>
      <c r="B7897" s="4">
        <v>26979</v>
      </c>
      <c r="C7897" s="5">
        <f t="shared" ref="C7897:C7898" si="3724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725">C7897+2</f>
        <v>40998</v>
      </c>
      <c r="V7897">
        <f t="shared" si="3719"/>
        <v>30</v>
      </c>
      <c r="W7897">
        <f t="shared" si="3716"/>
        <v>3</v>
      </c>
      <c r="X7897">
        <f t="shared" si="3717"/>
        <v>2012</v>
      </c>
    </row>
    <row r="7898" spans="1:24" ht="12" customHeight="1">
      <c r="A7898" s="4">
        <v>3786</v>
      </c>
      <c r="B7898" s="4">
        <v>26979</v>
      </c>
      <c r="C7898" s="5">
        <f t="shared" si="3724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725"/>
        <v>40998</v>
      </c>
      <c r="V7898">
        <f t="shared" si="3719"/>
        <v>30</v>
      </c>
      <c r="W7898">
        <f t="shared" si="3716"/>
        <v>3</v>
      </c>
      <c r="X7898">
        <f t="shared" si="3717"/>
        <v>2012</v>
      </c>
    </row>
    <row r="7899" spans="1:24" ht="12" customHeight="1">
      <c r="A7899" s="4">
        <v>3884</v>
      </c>
      <c r="B7899" s="4">
        <v>27746</v>
      </c>
      <c r="C7899" s="5">
        <f t="shared" ref="C7899:C7900" si="3726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727">C7899+1</f>
        <v>40517</v>
      </c>
      <c r="V7899">
        <f t="shared" si="3719"/>
        <v>5</v>
      </c>
      <c r="W7899">
        <f t="shared" si="3716"/>
        <v>12</v>
      </c>
      <c r="X7899">
        <f t="shared" si="3717"/>
        <v>2010</v>
      </c>
    </row>
    <row r="7900" spans="1:24" ht="12" customHeight="1">
      <c r="A7900" s="4">
        <v>3885</v>
      </c>
      <c r="B7900" s="4">
        <v>27746</v>
      </c>
      <c r="C7900" s="5">
        <f t="shared" si="3726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727"/>
        <v>40517</v>
      </c>
      <c r="V7900">
        <f t="shared" si="3719"/>
        <v>5</v>
      </c>
      <c r="W7900">
        <f t="shared" si="3716"/>
        <v>12</v>
      </c>
      <c r="X7900">
        <f t="shared" si="3717"/>
        <v>2010</v>
      </c>
    </row>
    <row r="7901" spans="1:24" ht="12" customHeight="1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  <c r="V7901">
        <f t="shared" si="3719"/>
        <v>6</v>
      </c>
      <c r="W7901">
        <f t="shared" si="3716"/>
        <v>7</v>
      </c>
      <c r="X7901">
        <f t="shared" si="3717"/>
        <v>2011</v>
      </c>
    </row>
    <row r="7902" spans="1:24" ht="12" customHeight="1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  <c r="V7902">
        <f t="shared" si="3719"/>
        <v>16</v>
      </c>
      <c r="W7902">
        <f t="shared" si="3716"/>
        <v>5</v>
      </c>
      <c r="X7902">
        <f t="shared" si="3717"/>
        <v>2009</v>
      </c>
    </row>
    <row r="7903" spans="1:24" ht="12" customHeight="1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  <c r="V7903">
        <f t="shared" si="3719"/>
        <v>1</v>
      </c>
      <c r="W7903">
        <f t="shared" si="3716"/>
        <v>1</v>
      </c>
      <c r="X7903">
        <f t="shared" si="3717"/>
        <v>2011</v>
      </c>
    </row>
    <row r="7904" spans="1:24" ht="12" customHeight="1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728">C7904+2</f>
        <v>40353</v>
      </c>
      <c r="V7904">
        <f t="shared" si="3719"/>
        <v>24</v>
      </c>
      <c r="W7904">
        <f t="shared" si="3716"/>
        <v>6</v>
      </c>
      <c r="X7904">
        <f t="shared" si="3717"/>
        <v>2010</v>
      </c>
    </row>
    <row r="7905" spans="1:24" ht="12" customHeight="1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728"/>
        <v>40183</v>
      </c>
      <c r="V7905">
        <f t="shared" si="3719"/>
        <v>5</v>
      </c>
      <c r="W7905">
        <f t="shared" si="3716"/>
        <v>1</v>
      </c>
      <c r="X7905">
        <f t="shared" si="3717"/>
        <v>2010</v>
      </c>
    </row>
    <row r="7906" spans="1:24" ht="12" customHeight="1">
      <c r="A7906" s="4">
        <v>4094</v>
      </c>
      <c r="B7906" s="4">
        <v>29187</v>
      </c>
      <c r="C7906" s="5">
        <f t="shared" ref="C7906:C7910" si="3729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730">C7906+4</f>
        <v>40029</v>
      </c>
      <c r="V7906">
        <f t="shared" si="3719"/>
        <v>4</v>
      </c>
      <c r="W7906">
        <f t="shared" si="3716"/>
        <v>8</v>
      </c>
      <c r="X7906">
        <f t="shared" si="3717"/>
        <v>2009</v>
      </c>
    </row>
    <row r="7907" spans="1:24" ht="12" customHeight="1">
      <c r="A7907" s="4">
        <v>4095</v>
      </c>
      <c r="B7907" s="4">
        <v>29187</v>
      </c>
      <c r="C7907" s="5">
        <f t="shared" si="3729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730"/>
        <v>40029</v>
      </c>
      <c r="V7907">
        <f t="shared" si="3719"/>
        <v>4</v>
      </c>
      <c r="W7907">
        <f t="shared" si="3716"/>
        <v>8</v>
      </c>
      <c r="X7907">
        <f t="shared" si="3717"/>
        <v>2009</v>
      </c>
    </row>
    <row r="7908" spans="1:24" ht="12" customHeight="1">
      <c r="A7908" s="4">
        <v>4096</v>
      </c>
      <c r="B7908" s="4">
        <v>29187</v>
      </c>
      <c r="C7908" s="5">
        <f t="shared" si="3729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731">C7908+7</f>
        <v>40032</v>
      </c>
      <c r="V7908">
        <f t="shared" si="3719"/>
        <v>7</v>
      </c>
      <c r="W7908">
        <f t="shared" si="3716"/>
        <v>8</v>
      </c>
      <c r="X7908">
        <f t="shared" si="3717"/>
        <v>2009</v>
      </c>
    </row>
    <row r="7909" spans="1:24" ht="12" customHeight="1">
      <c r="A7909" s="4">
        <v>4097</v>
      </c>
      <c r="B7909" s="4">
        <v>29187</v>
      </c>
      <c r="C7909" s="5">
        <f t="shared" si="3729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731"/>
        <v>40032</v>
      </c>
      <c r="V7909">
        <f t="shared" si="3719"/>
        <v>7</v>
      </c>
      <c r="W7909">
        <f t="shared" si="3716"/>
        <v>8</v>
      </c>
      <c r="X7909">
        <f t="shared" si="3717"/>
        <v>2009</v>
      </c>
    </row>
    <row r="7910" spans="1:24" ht="12" customHeight="1">
      <c r="A7910" s="4">
        <v>4098</v>
      </c>
      <c r="B7910" s="4">
        <v>29187</v>
      </c>
      <c r="C7910" s="5">
        <f t="shared" si="3729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  <c r="V7910">
        <f t="shared" si="3719"/>
        <v>4</v>
      </c>
      <c r="W7910">
        <f t="shared" si="3716"/>
        <v>8</v>
      </c>
      <c r="X7910">
        <f t="shared" si="3717"/>
        <v>2009</v>
      </c>
    </row>
    <row r="7911" spans="1:24" ht="12" customHeight="1">
      <c r="A7911" s="4">
        <v>4120</v>
      </c>
      <c r="B7911" s="4">
        <v>29317</v>
      </c>
      <c r="C7911" s="5">
        <f t="shared" ref="C7911:C7913" si="3732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  <c r="V7911">
        <f t="shared" si="3719"/>
        <v>4</v>
      </c>
      <c r="W7911">
        <f t="shared" si="3716"/>
        <v>10</v>
      </c>
      <c r="X7911">
        <f t="shared" si="3717"/>
        <v>2011</v>
      </c>
    </row>
    <row r="7912" spans="1:24" ht="12" customHeight="1">
      <c r="A7912" s="4">
        <v>4121</v>
      </c>
      <c r="B7912" s="4">
        <v>29317</v>
      </c>
      <c r="C7912" s="5">
        <f t="shared" si="3732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  <c r="V7912">
        <f t="shared" si="3719"/>
        <v>3</v>
      </c>
      <c r="W7912">
        <f t="shared" si="3716"/>
        <v>10</v>
      </c>
      <c r="X7912">
        <f t="shared" si="3717"/>
        <v>2011</v>
      </c>
    </row>
    <row r="7913" spans="1:24" ht="12" customHeight="1">
      <c r="A7913" s="4">
        <v>4122</v>
      </c>
      <c r="B7913" s="4">
        <v>29317</v>
      </c>
      <c r="C7913" s="5">
        <f t="shared" si="3732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  <c r="V7913">
        <f t="shared" si="3719"/>
        <v>2</v>
      </c>
      <c r="W7913">
        <f t="shared" si="3716"/>
        <v>10</v>
      </c>
      <c r="X7913">
        <f t="shared" si="3717"/>
        <v>2011</v>
      </c>
    </row>
    <row r="7914" spans="1:24" ht="12" customHeight="1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  <c r="V7914">
        <f t="shared" si="3719"/>
        <v>14</v>
      </c>
      <c r="W7914">
        <f t="shared" si="3716"/>
        <v>6</v>
      </c>
      <c r="X7914">
        <f t="shared" si="3717"/>
        <v>2009</v>
      </c>
    </row>
    <row r="7915" spans="1:24" ht="12" customHeight="1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733">C7915+1</f>
        <v>40989</v>
      </c>
      <c r="V7915">
        <f t="shared" si="3719"/>
        <v>21</v>
      </c>
      <c r="W7915">
        <f t="shared" si="3716"/>
        <v>3</v>
      </c>
      <c r="X7915">
        <f t="shared" si="3717"/>
        <v>2012</v>
      </c>
    </row>
    <row r="7916" spans="1:24" ht="12" customHeight="1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733"/>
        <v>40337</v>
      </c>
      <c r="V7916">
        <f t="shared" si="3719"/>
        <v>8</v>
      </c>
      <c r="W7916">
        <f t="shared" si="3716"/>
        <v>6</v>
      </c>
      <c r="X7916">
        <f t="shared" si="3717"/>
        <v>2010</v>
      </c>
    </row>
    <row r="7917" spans="1:24" ht="12" customHeight="1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  <c r="V7917">
        <f t="shared" si="3719"/>
        <v>20</v>
      </c>
      <c r="W7917">
        <f t="shared" si="3716"/>
        <v>10</v>
      </c>
      <c r="X7917">
        <f t="shared" si="3717"/>
        <v>2012</v>
      </c>
    </row>
    <row r="7918" spans="1:24" ht="12" customHeight="1">
      <c r="A7918" s="4">
        <v>4316</v>
      </c>
      <c r="B7918" s="4">
        <v>30757</v>
      </c>
      <c r="C7918" s="5">
        <f t="shared" ref="C7918:C7919" si="3734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  <c r="V7918">
        <f t="shared" si="3719"/>
        <v>26</v>
      </c>
      <c r="W7918">
        <f t="shared" si="3716"/>
        <v>12</v>
      </c>
      <c r="X7918">
        <f t="shared" si="3717"/>
        <v>2010</v>
      </c>
    </row>
    <row r="7919" spans="1:24" ht="12" customHeight="1">
      <c r="A7919" s="4">
        <v>4317</v>
      </c>
      <c r="B7919" s="4">
        <v>30757</v>
      </c>
      <c r="C7919" s="5">
        <f t="shared" si="3734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  <c r="V7919">
        <f t="shared" si="3719"/>
        <v>27</v>
      </c>
      <c r="W7919">
        <f t="shared" si="3716"/>
        <v>12</v>
      </c>
      <c r="X7919">
        <f t="shared" si="3717"/>
        <v>2010</v>
      </c>
    </row>
    <row r="7920" spans="1:24" ht="12" customHeight="1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735">C7920+0</f>
        <v>40753</v>
      </c>
      <c r="V7920">
        <f t="shared" si="3719"/>
        <v>29</v>
      </c>
      <c r="W7920">
        <f t="shared" si="3716"/>
        <v>7</v>
      </c>
      <c r="X7920">
        <f t="shared" si="3717"/>
        <v>2011</v>
      </c>
    </row>
    <row r="7921" spans="1:24" ht="12" customHeight="1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735"/>
        <v>40957</v>
      </c>
      <c r="V7921">
        <f t="shared" si="3719"/>
        <v>18</v>
      </c>
      <c r="W7921">
        <f t="shared" si="3716"/>
        <v>2</v>
      </c>
      <c r="X7921">
        <f t="shared" si="3717"/>
        <v>2012</v>
      </c>
    </row>
    <row r="7922" spans="1:24" ht="12" customHeight="1">
      <c r="A7922" s="4">
        <v>4710</v>
      </c>
      <c r="B7922" s="4">
        <v>33568</v>
      </c>
      <c r="C7922" s="5">
        <f t="shared" ref="C7922:C7923" si="3736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737">C7922+1</f>
        <v>41112</v>
      </c>
      <c r="V7922">
        <f t="shared" si="3719"/>
        <v>22</v>
      </c>
      <c r="W7922">
        <f t="shared" si="3716"/>
        <v>7</v>
      </c>
      <c r="X7922">
        <f t="shared" si="3717"/>
        <v>2012</v>
      </c>
    </row>
    <row r="7923" spans="1:24" ht="12" customHeight="1">
      <c r="A7923" s="4">
        <v>4711</v>
      </c>
      <c r="B7923" s="4">
        <v>33568</v>
      </c>
      <c r="C7923" s="5">
        <f t="shared" si="3736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737"/>
        <v>41112</v>
      </c>
      <c r="V7923">
        <f t="shared" si="3719"/>
        <v>22</v>
      </c>
      <c r="W7923">
        <f t="shared" si="3716"/>
        <v>7</v>
      </c>
      <c r="X7923">
        <f t="shared" si="3717"/>
        <v>2012</v>
      </c>
    </row>
    <row r="7924" spans="1:24" ht="12" customHeight="1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  <c r="V7924">
        <f t="shared" si="3719"/>
        <v>2</v>
      </c>
      <c r="W7924">
        <f t="shared" si="3716"/>
        <v>9</v>
      </c>
      <c r="X7924">
        <f t="shared" si="3717"/>
        <v>2010</v>
      </c>
    </row>
    <row r="7925" spans="1:24" ht="12" customHeight="1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  <c r="V7925">
        <f t="shared" si="3719"/>
        <v>7</v>
      </c>
      <c r="W7925">
        <f t="shared" si="3716"/>
        <v>5</v>
      </c>
      <c r="X7925">
        <f t="shared" si="3717"/>
        <v>2011</v>
      </c>
    </row>
    <row r="7926" spans="1:24" ht="12" customHeight="1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  <c r="V7926">
        <f t="shared" si="3719"/>
        <v>5</v>
      </c>
      <c r="W7926">
        <f t="shared" si="3716"/>
        <v>7</v>
      </c>
      <c r="X7926">
        <f t="shared" si="3717"/>
        <v>2010</v>
      </c>
    </row>
    <row r="7927" spans="1:24" ht="12" customHeight="1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  <c r="V7927">
        <f t="shared" si="3719"/>
        <v>7</v>
      </c>
      <c r="W7927">
        <f t="shared" si="3716"/>
        <v>7</v>
      </c>
      <c r="X7927">
        <f t="shared" si="3717"/>
        <v>2009</v>
      </c>
    </row>
    <row r="7928" spans="1:24" ht="12" customHeight="1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  <c r="V7928">
        <f t="shared" si="3719"/>
        <v>14</v>
      </c>
      <c r="W7928">
        <f t="shared" si="3716"/>
        <v>7</v>
      </c>
      <c r="X7928">
        <f t="shared" si="3717"/>
        <v>2009</v>
      </c>
    </row>
    <row r="7929" spans="1:24" ht="12" customHeight="1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  <c r="V7929">
        <f t="shared" si="3719"/>
        <v>12</v>
      </c>
      <c r="W7929">
        <f t="shared" si="3716"/>
        <v>1</v>
      </c>
      <c r="X7929">
        <f t="shared" si="3717"/>
        <v>2010</v>
      </c>
    </row>
    <row r="7930" spans="1:24" ht="12" customHeight="1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738">C7930+2</f>
        <v>40444</v>
      </c>
      <c r="V7930">
        <f t="shared" si="3719"/>
        <v>23</v>
      </c>
      <c r="W7930">
        <f t="shared" si="3716"/>
        <v>9</v>
      </c>
      <c r="X7930">
        <f t="shared" si="3717"/>
        <v>2010</v>
      </c>
    </row>
    <row r="7931" spans="1:24" ht="12" customHeight="1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738"/>
        <v>41139</v>
      </c>
      <c r="V7931">
        <f t="shared" si="3719"/>
        <v>18</v>
      </c>
      <c r="W7931">
        <f t="shared" si="3716"/>
        <v>8</v>
      </c>
      <c r="X7931">
        <f t="shared" si="3717"/>
        <v>2012</v>
      </c>
    </row>
    <row r="7932" spans="1:24" ht="12" customHeight="1">
      <c r="A7932" s="4">
        <v>5200</v>
      </c>
      <c r="B7932" s="4">
        <v>36934</v>
      </c>
      <c r="C7932" s="5">
        <f t="shared" ref="C7932:C7934" si="3739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738"/>
        <v>40171</v>
      </c>
      <c r="V7932">
        <f t="shared" si="3719"/>
        <v>24</v>
      </c>
      <c r="W7932">
        <f t="shared" si="3716"/>
        <v>12</v>
      </c>
      <c r="X7932">
        <f t="shared" si="3717"/>
        <v>2009</v>
      </c>
    </row>
    <row r="7933" spans="1:24" ht="12" customHeight="1">
      <c r="A7933" s="4">
        <v>5201</v>
      </c>
      <c r="B7933" s="4">
        <v>36934</v>
      </c>
      <c r="C7933" s="5">
        <f t="shared" si="3739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738"/>
        <v>40171</v>
      </c>
      <c r="V7933">
        <f t="shared" si="3719"/>
        <v>24</v>
      </c>
      <c r="W7933">
        <f t="shared" si="3716"/>
        <v>12</v>
      </c>
      <c r="X7933">
        <f t="shared" si="3717"/>
        <v>2009</v>
      </c>
    </row>
    <row r="7934" spans="1:24" ht="12" customHeight="1">
      <c r="A7934" s="4">
        <v>5202</v>
      </c>
      <c r="B7934" s="4">
        <v>36934</v>
      </c>
      <c r="C7934" s="5">
        <f t="shared" si="3739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740">C7934+1</f>
        <v>40170</v>
      </c>
      <c r="V7934">
        <f t="shared" si="3719"/>
        <v>23</v>
      </c>
      <c r="W7934">
        <f t="shared" si="3716"/>
        <v>12</v>
      </c>
      <c r="X7934">
        <f t="shared" si="3717"/>
        <v>2009</v>
      </c>
    </row>
    <row r="7935" spans="1:24" ht="12" customHeight="1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740"/>
        <v>40353</v>
      </c>
      <c r="V7935">
        <f t="shared" si="3719"/>
        <v>24</v>
      </c>
      <c r="W7935">
        <f t="shared" si="3716"/>
        <v>6</v>
      </c>
      <c r="X7935">
        <f t="shared" si="3717"/>
        <v>2010</v>
      </c>
    </row>
    <row r="7936" spans="1:24" ht="12" customHeight="1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  <c r="V7936">
        <f t="shared" si="3719"/>
        <v>22</v>
      </c>
      <c r="W7936">
        <f t="shared" si="3716"/>
        <v>7</v>
      </c>
      <c r="X7936">
        <f t="shared" si="3717"/>
        <v>2009</v>
      </c>
    </row>
    <row r="7937" spans="1:24" ht="12" customHeight="1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  <c r="V7937">
        <f t="shared" si="3719"/>
        <v>11</v>
      </c>
      <c r="W7937">
        <f t="shared" si="3716"/>
        <v>12</v>
      </c>
      <c r="X7937">
        <f t="shared" si="3717"/>
        <v>2011</v>
      </c>
    </row>
    <row r="7938" spans="1:24" ht="12" customHeight="1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  <c r="V7938">
        <f t="shared" si="3719"/>
        <v>30</v>
      </c>
      <c r="W7938">
        <f t="shared" si="3716"/>
        <v>8</v>
      </c>
      <c r="X7938">
        <f t="shared" si="3717"/>
        <v>2012</v>
      </c>
    </row>
    <row r="7939" spans="1:24" ht="12" customHeight="1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  <c r="V7939">
        <f t="shared" si="3719"/>
        <v>1</v>
      </c>
      <c r="W7939">
        <f t="shared" ref="W7939:W8002" si="3741">MONTH(U7939)</f>
        <v>5</v>
      </c>
      <c r="X7939">
        <f t="shared" ref="X7939:X8002" si="3742">YEAR(U7939)</f>
        <v>2012</v>
      </c>
    </row>
    <row r="7940" spans="1:24" ht="12" customHeight="1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  <c r="V7940">
        <f t="shared" ref="V7940:V8003" si="3743">DAY(U7940)</f>
        <v>5</v>
      </c>
      <c r="W7940">
        <f t="shared" si="3741"/>
        <v>8</v>
      </c>
      <c r="X7940">
        <f t="shared" si="3742"/>
        <v>2011</v>
      </c>
    </row>
    <row r="7941" spans="1:24" ht="12" customHeight="1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  <c r="V7941">
        <f t="shared" si="3743"/>
        <v>21</v>
      </c>
      <c r="W7941">
        <f t="shared" si="3741"/>
        <v>3</v>
      </c>
      <c r="X7941">
        <f t="shared" si="3742"/>
        <v>2010</v>
      </c>
    </row>
    <row r="7942" spans="1:24" ht="12" customHeight="1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744">C7942+1</f>
        <v>41050</v>
      </c>
      <c r="V7942">
        <f t="shared" si="3743"/>
        <v>21</v>
      </c>
      <c r="W7942">
        <f t="shared" si="3741"/>
        <v>5</v>
      </c>
      <c r="X7942">
        <f t="shared" si="3742"/>
        <v>2012</v>
      </c>
    </row>
    <row r="7943" spans="1:24" ht="12" customHeight="1">
      <c r="A7943" s="4">
        <v>5475</v>
      </c>
      <c r="B7943" s="4">
        <v>38887</v>
      </c>
      <c r="C7943" s="5">
        <f t="shared" ref="C7943:C7944" si="3745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744"/>
        <v>40111</v>
      </c>
      <c r="V7943">
        <f t="shared" si="3743"/>
        <v>25</v>
      </c>
      <c r="W7943">
        <f t="shared" si="3741"/>
        <v>10</v>
      </c>
      <c r="X7943">
        <f t="shared" si="3742"/>
        <v>2009</v>
      </c>
    </row>
    <row r="7944" spans="1:24" ht="12" customHeight="1">
      <c r="A7944" s="4">
        <v>5476</v>
      </c>
      <c r="B7944" s="4">
        <v>38887</v>
      </c>
      <c r="C7944" s="5">
        <f t="shared" si="3745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  <c r="V7944">
        <f t="shared" si="3743"/>
        <v>26</v>
      </c>
      <c r="W7944">
        <f t="shared" si="3741"/>
        <v>10</v>
      </c>
      <c r="X7944">
        <f t="shared" si="3742"/>
        <v>2009</v>
      </c>
    </row>
    <row r="7945" spans="1:24" ht="12" customHeight="1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746">C7945+1</f>
        <v>41060</v>
      </c>
      <c r="V7945">
        <f t="shared" si="3743"/>
        <v>31</v>
      </c>
      <c r="W7945">
        <f t="shared" si="3741"/>
        <v>5</v>
      </c>
      <c r="X7945">
        <f t="shared" si="3742"/>
        <v>2012</v>
      </c>
    </row>
    <row r="7946" spans="1:24" ht="12" customHeight="1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746"/>
        <v>39867</v>
      </c>
      <c r="V7946">
        <f t="shared" si="3743"/>
        <v>23</v>
      </c>
      <c r="W7946">
        <f t="shared" si="3741"/>
        <v>2</v>
      </c>
      <c r="X7946">
        <f t="shared" si="3742"/>
        <v>2009</v>
      </c>
    </row>
    <row r="7947" spans="1:24" ht="12" customHeight="1">
      <c r="A7947" s="4">
        <v>5593</v>
      </c>
      <c r="B7947" s="4">
        <v>39652</v>
      </c>
      <c r="C7947" s="5">
        <f t="shared" ref="C7947:C7948" si="3747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  <c r="V7947">
        <f t="shared" si="3743"/>
        <v>6</v>
      </c>
      <c r="W7947">
        <f t="shared" si="3741"/>
        <v>5</v>
      </c>
      <c r="X7947">
        <f t="shared" si="3742"/>
        <v>2012</v>
      </c>
    </row>
    <row r="7948" spans="1:24" ht="12" customHeight="1">
      <c r="A7948" s="4">
        <v>5594</v>
      </c>
      <c r="B7948" s="4">
        <v>39652</v>
      </c>
      <c r="C7948" s="5">
        <f t="shared" si="3747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  <c r="V7948">
        <f t="shared" si="3743"/>
        <v>9</v>
      </c>
      <c r="W7948">
        <f t="shared" si="3741"/>
        <v>5</v>
      </c>
      <c r="X7948">
        <f t="shared" si="3742"/>
        <v>2012</v>
      </c>
    </row>
    <row r="7949" spans="1:24" ht="12" customHeight="1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  <c r="V7949">
        <f t="shared" si="3743"/>
        <v>28</v>
      </c>
      <c r="W7949">
        <f t="shared" si="3741"/>
        <v>3</v>
      </c>
      <c r="X7949">
        <f t="shared" si="3742"/>
        <v>2009</v>
      </c>
    </row>
    <row r="7950" spans="1:24" ht="12" customHeight="1">
      <c r="A7950" s="4">
        <v>5654</v>
      </c>
      <c r="B7950" s="4">
        <v>40006</v>
      </c>
      <c r="C7950" s="5">
        <f t="shared" ref="C7950:C7951" si="3748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  <c r="V7950">
        <f t="shared" si="3743"/>
        <v>17</v>
      </c>
      <c r="W7950">
        <f t="shared" si="3741"/>
        <v>6</v>
      </c>
      <c r="X7950">
        <f t="shared" si="3742"/>
        <v>2009</v>
      </c>
    </row>
    <row r="7951" spans="1:24" ht="12" customHeight="1">
      <c r="A7951" s="4">
        <v>5655</v>
      </c>
      <c r="B7951" s="4">
        <v>40006</v>
      </c>
      <c r="C7951" s="5">
        <f t="shared" si="3748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  <c r="V7951">
        <f t="shared" si="3743"/>
        <v>16</v>
      </c>
      <c r="W7951">
        <f t="shared" si="3741"/>
        <v>6</v>
      </c>
      <c r="X7951">
        <f t="shared" si="3742"/>
        <v>2009</v>
      </c>
    </row>
    <row r="7952" spans="1:24" ht="12" customHeight="1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  <c r="V7952">
        <f t="shared" si="3743"/>
        <v>21</v>
      </c>
      <c r="W7952">
        <f t="shared" si="3741"/>
        <v>4</v>
      </c>
      <c r="X7952">
        <f t="shared" si="3742"/>
        <v>2011</v>
      </c>
    </row>
    <row r="7953" spans="1:24" ht="12" customHeight="1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  <c r="V7953">
        <f t="shared" si="3743"/>
        <v>28</v>
      </c>
      <c r="W7953">
        <f t="shared" si="3741"/>
        <v>5</v>
      </c>
      <c r="X7953">
        <f t="shared" si="3742"/>
        <v>2012</v>
      </c>
    </row>
    <row r="7954" spans="1:24" ht="12" customHeight="1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  <c r="V7954">
        <f t="shared" si="3743"/>
        <v>23</v>
      </c>
      <c r="W7954">
        <f t="shared" si="3741"/>
        <v>11</v>
      </c>
      <c r="X7954">
        <f t="shared" si="3742"/>
        <v>2011</v>
      </c>
    </row>
    <row r="7955" spans="1:24" ht="12" customHeight="1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  <c r="V7955">
        <f t="shared" si="3743"/>
        <v>10</v>
      </c>
      <c r="W7955">
        <f t="shared" si="3741"/>
        <v>8</v>
      </c>
      <c r="X7955">
        <f t="shared" si="3742"/>
        <v>2012</v>
      </c>
    </row>
    <row r="7956" spans="1:24" ht="12" customHeight="1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  <c r="V7956">
        <f t="shared" si="3743"/>
        <v>10</v>
      </c>
      <c r="W7956">
        <f t="shared" si="3741"/>
        <v>7</v>
      </c>
      <c r="X7956">
        <f t="shared" si="3742"/>
        <v>2011</v>
      </c>
    </row>
    <row r="7957" spans="1:24" ht="12" customHeight="1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  <c r="V7957">
        <f t="shared" si="3743"/>
        <v>8</v>
      </c>
      <c r="W7957">
        <f t="shared" si="3741"/>
        <v>5</v>
      </c>
      <c r="X7957">
        <f t="shared" si="3742"/>
        <v>2011</v>
      </c>
    </row>
    <row r="7958" spans="1:24" ht="12" customHeight="1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749">C7958+2</f>
        <v>40203</v>
      </c>
      <c r="V7958">
        <f t="shared" si="3743"/>
        <v>25</v>
      </c>
      <c r="W7958">
        <f t="shared" si="3741"/>
        <v>1</v>
      </c>
      <c r="X7958">
        <f t="shared" si="3742"/>
        <v>2010</v>
      </c>
    </row>
    <row r="7959" spans="1:24" ht="12" customHeight="1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749"/>
        <v>41145</v>
      </c>
      <c r="V7959">
        <f t="shared" si="3743"/>
        <v>24</v>
      </c>
      <c r="W7959">
        <f t="shared" si="3741"/>
        <v>8</v>
      </c>
      <c r="X7959">
        <f t="shared" si="3742"/>
        <v>2012</v>
      </c>
    </row>
    <row r="7960" spans="1:24" ht="12" customHeight="1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  <c r="V7960">
        <f t="shared" si="3743"/>
        <v>28</v>
      </c>
      <c r="W7960">
        <f t="shared" si="3741"/>
        <v>8</v>
      </c>
      <c r="X7960">
        <f t="shared" si="3742"/>
        <v>2010</v>
      </c>
    </row>
    <row r="7961" spans="1:24" ht="12" customHeight="1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  <c r="V7961">
        <f t="shared" si="3743"/>
        <v>14</v>
      </c>
      <c r="W7961">
        <f t="shared" si="3741"/>
        <v>9</v>
      </c>
      <c r="X7961">
        <f t="shared" si="3742"/>
        <v>2012</v>
      </c>
    </row>
    <row r="7962" spans="1:24" ht="12" customHeight="1">
      <c r="A7962" s="4">
        <v>6531</v>
      </c>
      <c r="B7962" s="4">
        <v>46469</v>
      </c>
      <c r="C7962" s="5">
        <f t="shared" ref="C7962:C7963" si="3750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751">C7962+2</f>
        <v>40043</v>
      </c>
      <c r="V7962">
        <f t="shared" si="3743"/>
        <v>18</v>
      </c>
      <c r="W7962">
        <f t="shared" si="3741"/>
        <v>8</v>
      </c>
      <c r="X7962">
        <f t="shared" si="3742"/>
        <v>2009</v>
      </c>
    </row>
    <row r="7963" spans="1:24" ht="12" customHeight="1">
      <c r="A7963" s="4">
        <v>6532</v>
      </c>
      <c r="B7963" s="4">
        <v>46469</v>
      </c>
      <c r="C7963" s="5">
        <f t="shared" si="3750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751"/>
        <v>40043</v>
      </c>
      <c r="V7963">
        <f t="shared" si="3743"/>
        <v>18</v>
      </c>
      <c r="W7963">
        <f t="shared" si="3741"/>
        <v>8</v>
      </c>
      <c r="X7963">
        <f t="shared" si="3742"/>
        <v>2009</v>
      </c>
    </row>
    <row r="7964" spans="1:24" ht="12" customHeight="1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  <c r="V7964">
        <f t="shared" si="3743"/>
        <v>22</v>
      </c>
      <c r="W7964">
        <f t="shared" si="3741"/>
        <v>12</v>
      </c>
      <c r="X7964">
        <f t="shared" si="3742"/>
        <v>2009</v>
      </c>
    </row>
    <row r="7965" spans="1:24" ht="12" customHeight="1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  <c r="V7965">
        <f t="shared" si="3743"/>
        <v>13</v>
      </c>
      <c r="W7965">
        <f t="shared" si="3741"/>
        <v>10</v>
      </c>
      <c r="X7965">
        <f t="shared" si="3742"/>
        <v>2012</v>
      </c>
    </row>
    <row r="7966" spans="1:24" ht="12" customHeight="1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  <c r="V7966">
        <f t="shared" si="3743"/>
        <v>29</v>
      </c>
      <c r="W7966">
        <f t="shared" si="3741"/>
        <v>2</v>
      </c>
      <c r="X7966">
        <f t="shared" si="3742"/>
        <v>2012</v>
      </c>
    </row>
    <row r="7967" spans="1:24" ht="12" customHeight="1">
      <c r="A7967" s="4">
        <v>7084</v>
      </c>
      <c r="B7967" s="4">
        <v>50563</v>
      </c>
      <c r="C7967" s="5">
        <f t="shared" ref="C7967:C7968" si="3752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753">C7967+1</f>
        <v>40741</v>
      </c>
      <c r="V7967">
        <f t="shared" si="3743"/>
        <v>17</v>
      </c>
      <c r="W7967">
        <f t="shared" si="3741"/>
        <v>7</v>
      </c>
      <c r="X7967">
        <f t="shared" si="3742"/>
        <v>2011</v>
      </c>
    </row>
    <row r="7968" spans="1:24" ht="12" customHeight="1">
      <c r="A7968" s="4">
        <v>7085</v>
      </c>
      <c r="B7968" s="4">
        <v>50563</v>
      </c>
      <c r="C7968" s="5">
        <f t="shared" si="3752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753"/>
        <v>40741</v>
      </c>
      <c r="V7968">
        <f t="shared" si="3743"/>
        <v>17</v>
      </c>
      <c r="W7968">
        <f t="shared" si="3741"/>
        <v>7</v>
      </c>
      <c r="X7968">
        <f t="shared" si="3742"/>
        <v>2011</v>
      </c>
    </row>
    <row r="7969" spans="1:24" ht="12" customHeight="1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  <c r="V7969">
        <f t="shared" si="3743"/>
        <v>31</v>
      </c>
      <c r="W7969">
        <f t="shared" si="3741"/>
        <v>8</v>
      </c>
      <c r="X7969">
        <f t="shared" si="3742"/>
        <v>2010</v>
      </c>
    </row>
    <row r="7970" spans="1:24" ht="12" customHeight="1">
      <c r="A7970" s="4">
        <v>7223</v>
      </c>
      <c r="B7970" s="4">
        <v>51553</v>
      </c>
      <c r="C7970" s="5">
        <f t="shared" ref="C7970:C7973" si="3754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  <c r="V7970">
        <f t="shared" si="3743"/>
        <v>28</v>
      </c>
      <c r="W7970">
        <f t="shared" si="3741"/>
        <v>11</v>
      </c>
      <c r="X7970">
        <f t="shared" si="3742"/>
        <v>2011</v>
      </c>
    </row>
    <row r="7971" spans="1:24" ht="12" customHeight="1">
      <c r="A7971" s="4">
        <v>7224</v>
      </c>
      <c r="B7971" s="4">
        <v>51553</v>
      </c>
      <c r="C7971" s="5">
        <f t="shared" si="3754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755">C7971+2</f>
        <v>40876</v>
      </c>
      <c r="V7971">
        <f t="shared" si="3743"/>
        <v>29</v>
      </c>
      <c r="W7971">
        <f t="shared" si="3741"/>
        <v>11</v>
      </c>
      <c r="X7971">
        <f t="shared" si="3742"/>
        <v>2011</v>
      </c>
    </row>
    <row r="7972" spans="1:24" ht="12" customHeight="1">
      <c r="A7972" s="4">
        <v>7225</v>
      </c>
      <c r="B7972" s="4">
        <v>51553</v>
      </c>
      <c r="C7972" s="5">
        <f t="shared" si="3754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755"/>
        <v>40876</v>
      </c>
      <c r="V7972">
        <f t="shared" si="3743"/>
        <v>29</v>
      </c>
      <c r="W7972">
        <f t="shared" si="3741"/>
        <v>11</v>
      </c>
      <c r="X7972">
        <f t="shared" si="3742"/>
        <v>2011</v>
      </c>
    </row>
    <row r="7973" spans="1:24" ht="12" customHeight="1">
      <c r="A7973" s="4">
        <v>7226</v>
      </c>
      <c r="B7973" s="4">
        <v>51553</v>
      </c>
      <c r="C7973" s="5">
        <f t="shared" si="3754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  <c r="V7973">
        <f t="shared" si="3743"/>
        <v>30</v>
      </c>
      <c r="W7973">
        <f t="shared" si="3741"/>
        <v>11</v>
      </c>
      <c r="X7973">
        <f t="shared" si="3742"/>
        <v>2011</v>
      </c>
    </row>
    <row r="7974" spans="1:24" ht="12" customHeight="1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756">C7974+1</f>
        <v>40570</v>
      </c>
      <c r="V7974">
        <f t="shared" si="3743"/>
        <v>27</v>
      </c>
      <c r="W7974">
        <f t="shared" si="3741"/>
        <v>1</v>
      </c>
      <c r="X7974">
        <f t="shared" si="3742"/>
        <v>2011</v>
      </c>
    </row>
    <row r="7975" spans="1:24" ht="12" customHeight="1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756"/>
        <v>40649</v>
      </c>
      <c r="V7975">
        <f t="shared" si="3743"/>
        <v>16</v>
      </c>
      <c r="W7975">
        <f t="shared" si="3741"/>
        <v>4</v>
      </c>
      <c r="X7975">
        <f t="shared" si="3742"/>
        <v>2011</v>
      </c>
    </row>
    <row r="7976" spans="1:24" ht="12" customHeight="1">
      <c r="A7976" s="4">
        <v>7407</v>
      </c>
      <c r="B7976" s="4">
        <v>52839</v>
      </c>
      <c r="C7976" s="5">
        <f t="shared" ref="C7976:C7977" si="3757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  <c r="V7976">
        <f t="shared" si="3743"/>
        <v>11</v>
      </c>
      <c r="W7976">
        <f t="shared" si="3741"/>
        <v>4</v>
      </c>
      <c r="X7976">
        <f t="shared" si="3742"/>
        <v>2010</v>
      </c>
    </row>
    <row r="7977" spans="1:24" ht="12" customHeight="1">
      <c r="A7977" s="4">
        <v>7408</v>
      </c>
      <c r="B7977" s="4">
        <v>52839</v>
      </c>
      <c r="C7977" s="5">
        <f t="shared" si="3757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758">C7977+1</f>
        <v>40280</v>
      </c>
      <c r="V7977">
        <f t="shared" si="3743"/>
        <v>12</v>
      </c>
      <c r="W7977">
        <f t="shared" si="3741"/>
        <v>4</v>
      </c>
      <c r="X7977">
        <f t="shared" si="3742"/>
        <v>2010</v>
      </c>
    </row>
    <row r="7978" spans="1:24" ht="12" customHeight="1">
      <c r="A7978" s="4">
        <v>7484</v>
      </c>
      <c r="B7978" s="4">
        <v>53443</v>
      </c>
      <c r="C7978" s="5">
        <f t="shared" ref="C7978:C7980" si="3759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758"/>
        <v>40825</v>
      </c>
      <c r="V7978">
        <f t="shared" si="3743"/>
        <v>9</v>
      </c>
      <c r="W7978">
        <f t="shared" si="3741"/>
        <v>10</v>
      </c>
      <c r="X7978">
        <f t="shared" si="3742"/>
        <v>2011</v>
      </c>
    </row>
    <row r="7979" spans="1:24" ht="12" customHeight="1">
      <c r="A7979" s="4">
        <v>7485</v>
      </c>
      <c r="B7979" s="4">
        <v>53443</v>
      </c>
      <c r="C7979" s="5">
        <f t="shared" si="3759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  <c r="V7979">
        <f t="shared" si="3743"/>
        <v>10</v>
      </c>
      <c r="W7979">
        <f t="shared" si="3741"/>
        <v>10</v>
      </c>
      <c r="X7979">
        <f t="shared" si="3742"/>
        <v>2011</v>
      </c>
    </row>
    <row r="7980" spans="1:24" ht="12" customHeight="1">
      <c r="A7980" s="4">
        <v>7486</v>
      </c>
      <c r="B7980" s="4">
        <v>53443</v>
      </c>
      <c r="C7980" s="5">
        <f t="shared" si="3759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760">C7980+1</f>
        <v>40825</v>
      </c>
      <c r="V7980">
        <f t="shared" si="3743"/>
        <v>9</v>
      </c>
      <c r="W7980">
        <f t="shared" si="3741"/>
        <v>10</v>
      </c>
      <c r="X7980">
        <f t="shared" si="3742"/>
        <v>2011</v>
      </c>
    </row>
    <row r="7981" spans="1:24" ht="12" customHeight="1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760"/>
        <v>40782</v>
      </c>
      <c r="V7981">
        <f t="shared" si="3743"/>
        <v>27</v>
      </c>
      <c r="W7981">
        <f t="shared" si="3741"/>
        <v>8</v>
      </c>
      <c r="X7981">
        <f t="shared" si="3742"/>
        <v>2011</v>
      </c>
    </row>
    <row r="7982" spans="1:24" ht="12" customHeight="1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760"/>
        <v>40599</v>
      </c>
      <c r="V7982">
        <f t="shared" si="3743"/>
        <v>25</v>
      </c>
      <c r="W7982">
        <f t="shared" si="3741"/>
        <v>2</v>
      </c>
      <c r="X7982">
        <f t="shared" si="3742"/>
        <v>2011</v>
      </c>
    </row>
    <row r="7983" spans="1:24" ht="12" customHeight="1">
      <c r="A7983" s="4">
        <v>7671</v>
      </c>
      <c r="B7983" s="4">
        <v>55011</v>
      </c>
      <c r="C7983" s="5">
        <f t="shared" ref="C7983:C7984" si="3761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760"/>
        <v>40913</v>
      </c>
      <c r="V7983">
        <f t="shared" si="3743"/>
        <v>5</v>
      </c>
      <c r="W7983">
        <f t="shared" si="3741"/>
        <v>1</v>
      </c>
      <c r="X7983">
        <f t="shared" si="3742"/>
        <v>2012</v>
      </c>
    </row>
    <row r="7984" spans="1:24" ht="12" customHeight="1">
      <c r="A7984" s="4">
        <v>7672</v>
      </c>
      <c r="B7984" s="4">
        <v>55011</v>
      </c>
      <c r="C7984" s="5">
        <f t="shared" si="3761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760"/>
        <v>40913</v>
      </c>
      <c r="V7984">
        <f t="shared" si="3743"/>
        <v>5</v>
      </c>
      <c r="W7984">
        <f t="shared" si="3741"/>
        <v>1</v>
      </c>
      <c r="X7984">
        <f t="shared" si="3742"/>
        <v>2012</v>
      </c>
    </row>
    <row r="7985" spans="1:24" ht="12" customHeight="1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760"/>
        <v>40134</v>
      </c>
      <c r="V7985">
        <f t="shared" si="3743"/>
        <v>17</v>
      </c>
      <c r="W7985">
        <f t="shared" si="3741"/>
        <v>11</v>
      </c>
      <c r="X7985">
        <f t="shared" si="3742"/>
        <v>2009</v>
      </c>
    </row>
    <row r="7986" spans="1:24" ht="12" customHeight="1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  <c r="V7986">
        <f t="shared" si="3743"/>
        <v>19</v>
      </c>
      <c r="W7986">
        <f t="shared" si="3741"/>
        <v>10</v>
      </c>
      <c r="X7986">
        <f t="shared" si="3742"/>
        <v>2012</v>
      </c>
    </row>
    <row r="7987" spans="1:24" ht="12" customHeight="1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762">C7987+2</f>
        <v>40038</v>
      </c>
      <c r="V7987">
        <f t="shared" si="3743"/>
        <v>13</v>
      </c>
      <c r="W7987">
        <f t="shared" si="3741"/>
        <v>8</v>
      </c>
      <c r="X7987">
        <f t="shared" si="3742"/>
        <v>2009</v>
      </c>
    </row>
    <row r="7988" spans="1:24" ht="12" customHeight="1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762"/>
        <v>40814</v>
      </c>
      <c r="V7988">
        <f t="shared" si="3743"/>
        <v>28</v>
      </c>
      <c r="W7988">
        <f t="shared" si="3741"/>
        <v>9</v>
      </c>
      <c r="X7988">
        <f t="shared" si="3742"/>
        <v>2011</v>
      </c>
    </row>
    <row r="7989" spans="1:24" ht="12" customHeight="1">
      <c r="A7989" s="4">
        <v>8029</v>
      </c>
      <c r="B7989" s="4">
        <v>57378</v>
      </c>
      <c r="C7989" s="5">
        <f t="shared" ref="C7989:C7990" si="3763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  <c r="V7989">
        <f t="shared" si="3743"/>
        <v>29</v>
      </c>
      <c r="W7989">
        <f t="shared" si="3741"/>
        <v>12</v>
      </c>
      <c r="X7989">
        <f t="shared" si="3742"/>
        <v>2009</v>
      </c>
    </row>
    <row r="7990" spans="1:24" ht="12" customHeight="1">
      <c r="A7990" s="4">
        <v>8030</v>
      </c>
      <c r="B7990" s="4">
        <v>57378</v>
      </c>
      <c r="C7990" s="5">
        <f t="shared" si="3763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  <c r="V7990">
        <f t="shared" si="3743"/>
        <v>28</v>
      </c>
      <c r="W7990">
        <f t="shared" si="3741"/>
        <v>12</v>
      </c>
      <c r="X7990">
        <f t="shared" si="3742"/>
        <v>2009</v>
      </c>
    </row>
    <row r="7991" spans="1:24" ht="12" customHeight="1">
      <c r="A7991" s="4">
        <v>8241</v>
      </c>
      <c r="B7991" s="4">
        <v>58914</v>
      </c>
      <c r="C7991" s="5">
        <f t="shared" ref="C7991:C7992" si="3764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  <c r="V7991">
        <f t="shared" si="3743"/>
        <v>11</v>
      </c>
      <c r="W7991">
        <f t="shared" si="3741"/>
        <v>4</v>
      </c>
      <c r="X7991">
        <f t="shared" si="3742"/>
        <v>2009</v>
      </c>
    </row>
    <row r="7992" spans="1:24" ht="12" customHeight="1">
      <c r="A7992" s="4">
        <v>8242</v>
      </c>
      <c r="B7992" s="4">
        <v>58914</v>
      </c>
      <c r="C7992" s="5">
        <f t="shared" si="3764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  <c r="V7992">
        <f t="shared" si="3743"/>
        <v>16</v>
      </c>
      <c r="W7992">
        <f t="shared" si="3741"/>
        <v>4</v>
      </c>
      <c r="X7992">
        <f t="shared" si="3742"/>
        <v>2009</v>
      </c>
    </row>
    <row r="7993" spans="1:24" ht="12" customHeight="1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  <c r="V7993">
        <f t="shared" si="3743"/>
        <v>11</v>
      </c>
      <c r="W7993">
        <f t="shared" si="3741"/>
        <v>3</v>
      </c>
      <c r="X7993">
        <f t="shared" si="3742"/>
        <v>2012</v>
      </c>
    </row>
    <row r="7994" spans="1:24" ht="12" customHeight="1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  <c r="V7994">
        <f t="shared" si="3743"/>
        <v>19</v>
      </c>
      <c r="W7994">
        <f t="shared" si="3741"/>
        <v>12</v>
      </c>
      <c r="X7994">
        <f t="shared" si="3742"/>
        <v>2009</v>
      </c>
    </row>
    <row r="7995" spans="1:24" ht="12" customHeight="1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  <c r="V7995">
        <f t="shared" si="3743"/>
        <v>22</v>
      </c>
      <c r="W7995">
        <f t="shared" si="3741"/>
        <v>4</v>
      </c>
      <c r="X7995">
        <f t="shared" si="3742"/>
        <v>2012</v>
      </c>
    </row>
    <row r="7996" spans="1:24" ht="12" customHeight="1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  <c r="V7996">
        <f t="shared" si="3743"/>
        <v>27</v>
      </c>
      <c r="W7996">
        <f t="shared" si="3741"/>
        <v>4</v>
      </c>
      <c r="X7996">
        <f t="shared" si="3742"/>
        <v>2010</v>
      </c>
    </row>
    <row r="7997" spans="1:24" ht="12" customHeight="1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  <c r="V7997">
        <f t="shared" si="3743"/>
        <v>21</v>
      </c>
      <c r="W7997">
        <f t="shared" si="3741"/>
        <v>8</v>
      </c>
      <c r="X7997">
        <f t="shared" si="3742"/>
        <v>2009</v>
      </c>
    </row>
    <row r="7998" spans="1:24" ht="12" customHeight="1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765">C7998+2</f>
        <v>40531</v>
      </c>
      <c r="V7998">
        <f t="shared" si="3743"/>
        <v>19</v>
      </c>
      <c r="W7998">
        <f t="shared" si="3741"/>
        <v>12</v>
      </c>
      <c r="X7998">
        <f t="shared" si="3742"/>
        <v>2010</v>
      </c>
    </row>
    <row r="7999" spans="1:24" ht="12" customHeight="1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765"/>
        <v>41064</v>
      </c>
      <c r="V7999">
        <f t="shared" si="3743"/>
        <v>4</v>
      </c>
      <c r="W7999">
        <f t="shared" si="3741"/>
        <v>6</v>
      </c>
      <c r="X7999">
        <f t="shared" si="3742"/>
        <v>2012</v>
      </c>
    </row>
    <row r="8000" spans="1:24" ht="12" customHeight="1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  <c r="V8000">
        <f t="shared" si="3743"/>
        <v>13</v>
      </c>
      <c r="W8000">
        <f t="shared" si="3741"/>
        <v>2</v>
      </c>
      <c r="X8000">
        <f t="shared" si="3742"/>
        <v>2012</v>
      </c>
    </row>
    <row r="8001" spans="1:24" ht="12" customHeight="1">
      <c r="A8001" s="4">
        <v>744</v>
      </c>
      <c r="B8001" s="4">
        <v>5347</v>
      </c>
      <c r="C8001" s="5">
        <f t="shared" ref="C8001:C8003" si="3766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  <c r="V8001">
        <f t="shared" si="3743"/>
        <v>23</v>
      </c>
      <c r="W8001">
        <f t="shared" si="3741"/>
        <v>2</v>
      </c>
      <c r="X8001">
        <f t="shared" si="3742"/>
        <v>2011</v>
      </c>
    </row>
    <row r="8002" spans="1:24" ht="12" customHeight="1">
      <c r="A8002" s="4">
        <v>745</v>
      </c>
      <c r="B8002" s="4">
        <v>5347</v>
      </c>
      <c r="C8002" s="5">
        <f t="shared" si="3766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  <c r="V8002">
        <f t="shared" si="3743"/>
        <v>24</v>
      </c>
      <c r="W8002">
        <f t="shared" si="3741"/>
        <v>2</v>
      </c>
      <c r="X8002">
        <f t="shared" si="3742"/>
        <v>2011</v>
      </c>
    </row>
    <row r="8003" spans="1:24" ht="12" customHeight="1">
      <c r="A8003" s="4">
        <v>746</v>
      </c>
      <c r="B8003" s="4">
        <v>5347</v>
      </c>
      <c r="C8003" s="5">
        <f t="shared" si="3766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767">C8003+1</f>
        <v>40596</v>
      </c>
      <c r="V8003">
        <f t="shared" si="3743"/>
        <v>22</v>
      </c>
      <c r="W8003">
        <f t="shared" ref="W8003:W8066" si="3768">MONTH(U8003)</f>
        <v>2</v>
      </c>
      <c r="X8003">
        <f t="shared" ref="X8003:X8066" si="3769">YEAR(U8003)</f>
        <v>2011</v>
      </c>
    </row>
    <row r="8004" spans="1:24" ht="12" customHeight="1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767"/>
        <v>40454</v>
      </c>
      <c r="V8004">
        <f t="shared" ref="V8004:V8067" si="3770">DAY(U8004)</f>
        <v>3</v>
      </c>
      <c r="W8004">
        <f t="shared" si="3768"/>
        <v>10</v>
      </c>
      <c r="X8004">
        <f t="shared" si="3769"/>
        <v>2010</v>
      </c>
    </row>
    <row r="8005" spans="1:24" ht="12" customHeight="1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  <c r="V8005">
        <f t="shared" si="3770"/>
        <v>21</v>
      </c>
      <c r="W8005">
        <f t="shared" si="3768"/>
        <v>2</v>
      </c>
      <c r="X8005">
        <f t="shared" si="3769"/>
        <v>2012</v>
      </c>
    </row>
    <row r="8006" spans="1:24" ht="12" customHeight="1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  <c r="V8006">
        <f t="shared" si="3770"/>
        <v>22</v>
      </c>
      <c r="W8006">
        <f t="shared" si="3768"/>
        <v>12</v>
      </c>
      <c r="X8006">
        <f t="shared" si="3769"/>
        <v>2012</v>
      </c>
    </row>
    <row r="8007" spans="1:24" ht="12" customHeight="1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771">C8007+2</f>
        <v>40900</v>
      </c>
      <c r="V8007">
        <f t="shared" si="3770"/>
        <v>23</v>
      </c>
      <c r="W8007">
        <f t="shared" si="3768"/>
        <v>12</v>
      </c>
      <c r="X8007">
        <f t="shared" si="3769"/>
        <v>2011</v>
      </c>
    </row>
    <row r="8008" spans="1:24" ht="12" customHeight="1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771"/>
        <v>40747</v>
      </c>
      <c r="V8008">
        <f t="shared" si="3770"/>
        <v>23</v>
      </c>
      <c r="W8008">
        <f t="shared" si="3768"/>
        <v>7</v>
      </c>
      <c r="X8008">
        <f t="shared" si="3769"/>
        <v>2011</v>
      </c>
    </row>
    <row r="8009" spans="1:24" ht="12" customHeight="1">
      <c r="A8009" s="4">
        <v>1011</v>
      </c>
      <c r="B8009" s="4">
        <v>7398</v>
      </c>
      <c r="C8009" s="5">
        <f t="shared" ref="C8009:C8010" si="3772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  <c r="V8009">
        <f t="shared" si="3770"/>
        <v>4</v>
      </c>
      <c r="W8009">
        <f t="shared" si="3768"/>
        <v>6</v>
      </c>
      <c r="X8009">
        <f t="shared" si="3769"/>
        <v>2009</v>
      </c>
    </row>
    <row r="8010" spans="1:24" ht="12" customHeight="1">
      <c r="A8010" s="4">
        <v>1012</v>
      </c>
      <c r="B8010" s="4">
        <v>7398</v>
      </c>
      <c r="C8010" s="5">
        <f t="shared" si="3772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  <c r="V8010">
        <f t="shared" si="3770"/>
        <v>3</v>
      </c>
      <c r="W8010">
        <f t="shared" si="3768"/>
        <v>6</v>
      </c>
      <c r="X8010">
        <f t="shared" si="3769"/>
        <v>2009</v>
      </c>
    </row>
    <row r="8011" spans="1:24" ht="12" customHeight="1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  <c r="V8011">
        <f t="shared" si="3770"/>
        <v>2</v>
      </c>
      <c r="W8011">
        <f t="shared" si="3768"/>
        <v>5</v>
      </c>
      <c r="X8011">
        <f t="shared" si="3769"/>
        <v>2009</v>
      </c>
    </row>
    <row r="8012" spans="1:24" ht="12" customHeight="1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  <c r="V8012">
        <f t="shared" si="3770"/>
        <v>7</v>
      </c>
      <c r="W8012">
        <f t="shared" si="3768"/>
        <v>4</v>
      </c>
      <c r="X8012">
        <f t="shared" si="3769"/>
        <v>2012</v>
      </c>
    </row>
    <row r="8013" spans="1:24" ht="12" customHeight="1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  <c r="V8013">
        <f t="shared" si="3770"/>
        <v>24</v>
      </c>
      <c r="W8013">
        <f t="shared" si="3768"/>
        <v>10</v>
      </c>
      <c r="X8013">
        <f t="shared" si="3769"/>
        <v>2009</v>
      </c>
    </row>
    <row r="8014" spans="1:24" ht="12" customHeight="1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  <c r="V8014">
        <f t="shared" si="3770"/>
        <v>21</v>
      </c>
      <c r="W8014">
        <f t="shared" si="3768"/>
        <v>6</v>
      </c>
      <c r="X8014">
        <f t="shared" si="3769"/>
        <v>2011</v>
      </c>
    </row>
    <row r="8015" spans="1:24" ht="12" customHeight="1">
      <c r="A8015" s="4">
        <v>1262</v>
      </c>
      <c r="B8015" s="4">
        <v>9187</v>
      </c>
      <c r="C8015" s="5">
        <f t="shared" ref="C8015:C8016" si="3773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  <c r="V8015">
        <f t="shared" si="3770"/>
        <v>22</v>
      </c>
      <c r="W8015">
        <f t="shared" si="3768"/>
        <v>8</v>
      </c>
      <c r="X8015">
        <f t="shared" si="3769"/>
        <v>2009</v>
      </c>
    </row>
    <row r="8016" spans="1:24" ht="12" customHeight="1">
      <c r="A8016" s="4">
        <v>1263</v>
      </c>
      <c r="B8016" s="4">
        <v>9187</v>
      </c>
      <c r="C8016" s="5">
        <f t="shared" si="3773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  <c r="V8016">
        <f t="shared" si="3770"/>
        <v>23</v>
      </c>
      <c r="W8016">
        <f t="shared" si="3768"/>
        <v>8</v>
      </c>
      <c r="X8016">
        <f t="shared" si="3769"/>
        <v>2009</v>
      </c>
    </row>
    <row r="8017" spans="1:24" ht="12" customHeight="1">
      <c r="A8017" s="4">
        <v>1265</v>
      </c>
      <c r="B8017" s="4">
        <v>9219</v>
      </c>
      <c r="C8017" s="5">
        <f t="shared" ref="C8017:C8018" si="3774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  <c r="V8017">
        <f t="shared" si="3770"/>
        <v>3</v>
      </c>
      <c r="W8017">
        <f t="shared" si="3768"/>
        <v>10</v>
      </c>
      <c r="X8017">
        <f t="shared" si="3769"/>
        <v>2009</v>
      </c>
    </row>
    <row r="8018" spans="1:24" ht="12" customHeight="1">
      <c r="A8018" s="4">
        <v>1266</v>
      </c>
      <c r="B8018" s="4">
        <v>9219</v>
      </c>
      <c r="C8018" s="5">
        <f t="shared" si="3774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  <c r="V8018">
        <f t="shared" si="3770"/>
        <v>30</v>
      </c>
      <c r="W8018">
        <f t="shared" si="3768"/>
        <v>9</v>
      </c>
      <c r="X8018">
        <f t="shared" si="3769"/>
        <v>2009</v>
      </c>
    </row>
    <row r="8019" spans="1:24" ht="12" customHeight="1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775">C8019+1</f>
        <v>41074</v>
      </c>
      <c r="V8019">
        <f t="shared" si="3770"/>
        <v>14</v>
      </c>
      <c r="W8019">
        <f t="shared" si="3768"/>
        <v>6</v>
      </c>
      <c r="X8019">
        <f t="shared" si="3769"/>
        <v>2012</v>
      </c>
    </row>
    <row r="8020" spans="1:24" ht="12" customHeight="1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775"/>
        <v>39817</v>
      </c>
      <c r="V8020">
        <f t="shared" si="3770"/>
        <v>4</v>
      </c>
      <c r="W8020">
        <f t="shared" si="3768"/>
        <v>1</v>
      </c>
      <c r="X8020">
        <f t="shared" si="3769"/>
        <v>2009</v>
      </c>
    </row>
    <row r="8021" spans="1:24" ht="12" customHeight="1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  <c r="V8021">
        <f t="shared" si="3770"/>
        <v>23</v>
      </c>
      <c r="W8021">
        <f t="shared" si="3768"/>
        <v>5</v>
      </c>
      <c r="X8021">
        <f t="shared" si="3769"/>
        <v>2009</v>
      </c>
    </row>
    <row r="8022" spans="1:24" ht="12" customHeight="1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  <c r="V8022">
        <f t="shared" si="3770"/>
        <v>12</v>
      </c>
      <c r="W8022">
        <f t="shared" si="3768"/>
        <v>2</v>
      </c>
      <c r="X8022">
        <f t="shared" si="3769"/>
        <v>2012</v>
      </c>
    </row>
    <row r="8023" spans="1:24" ht="12" customHeight="1">
      <c r="A8023" s="4">
        <v>1602</v>
      </c>
      <c r="B8023" s="4">
        <v>11648</v>
      </c>
      <c r="C8023" s="5">
        <f t="shared" ref="C8023:C8024" si="3776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  <c r="V8023">
        <f t="shared" si="3770"/>
        <v>16</v>
      </c>
      <c r="W8023">
        <f t="shared" si="3768"/>
        <v>4</v>
      </c>
      <c r="X8023">
        <f t="shared" si="3769"/>
        <v>2011</v>
      </c>
    </row>
    <row r="8024" spans="1:24" ht="12" customHeight="1">
      <c r="A8024" s="4">
        <v>1603</v>
      </c>
      <c r="B8024" s="4">
        <v>11648</v>
      </c>
      <c r="C8024" s="5">
        <f t="shared" si="3776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  <c r="V8024">
        <f t="shared" si="3770"/>
        <v>9</v>
      </c>
      <c r="W8024">
        <f t="shared" si="3768"/>
        <v>4</v>
      </c>
      <c r="X8024">
        <f t="shared" si="3769"/>
        <v>2011</v>
      </c>
    </row>
    <row r="8025" spans="1:24" ht="12" customHeight="1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  <c r="V8025">
        <f t="shared" si="3770"/>
        <v>5</v>
      </c>
      <c r="W8025">
        <f t="shared" si="3768"/>
        <v>1</v>
      </c>
      <c r="X8025">
        <f t="shared" si="3769"/>
        <v>2009</v>
      </c>
    </row>
    <row r="8026" spans="1:24" ht="12" customHeight="1">
      <c r="A8026" s="4">
        <v>1763</v>
      </c>
      <c r="B8026" s="4">
        <v>12641</v>
      </c>
      <c r="C8026" s="5">
        <f t="shared" ref="C8026:C8028" si="3777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  <c r="V8026">
        <f t="shared" si="3770"/>
        <v>28</v>
      </c>
      <c r="W8026">
        <f t="shared" si="3768"/>
        <v>2</v>
      </c>
      <c r="X8026">
        <f t="shared" si="3769"/>
        <v>2011</v>
      </c>
    </row>
    <row r="8027" spans="1:24" ht="12" customHeight="1">
      <c r="A8027" s="4">
        <v>1764</v>
      </c>
      <c r="B8027" s="4">
        <v>12641</v>
      </c>
      <c r="C8027" s="5">
        <f t="shared" si="3777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778">C8027+4</f>
        <v>40600</v>
      </c>
      <c r="V8027">
        <f t="shared" si="3770"/>
        <v>26</v>
      </c>
      <c r="W8027">
        <f t="shared" si="3768"/>
        <v>2</v>
      </c>
      <c r="X8027">
        <f t="shared" si="3769"/>
        <v>2011</v>
      </c>
    </row>
    <row r="8028" spans="1:24" ht="12" customHeight="1">
      <c r="A8028" s="4">
        <v>1765</v>
      </c>
      <c r="B8028" s="4">
        <v>12641</v>
      </c>
      <c r="C8028" s="5">
        <f t="shared" si="3777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778"/>
        <v>40600</v>
      </c>
      <c r="V8028">
        <f t="shared" si="3770"/>
        <v>26</v>
      </c>
      <c r="W8028">
        <f t="shared" si="3768"/>
        <v>2</v>
      </c>
      <c r="X8028">
        <f t="shared" si="3769"/>
        <v>2011</v>
      </c>
    </row>
    <row r="8029" spans="1:24" ht="12" customHeight="1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  <c r="V8029">
        <f t="shared" si="3770"/>
        <v>6</v>
      </c>
      <c r="W8029">
        <f t="shared" si="3768"/>
        <v>6</v>
      </c>
      <c r="X8029">
        <f t="shared" si="3769"/>
        <v>2010</v>
      </c>
    </row>
    <row r="8030" spans="1:24" ht="12" customHeight="1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779">C8030+2</f>
        <v>39873</v>
      </c>
      <c r="V8030">
        <f t="shared" si="3770"/>
        <v>1</v>
      </c>
      <c r="W8030">
        <f t="shared" si="3768"/>
        <v>3</v>
      </c>
      <c r="X8030">
        <f t="shared" si="3769"/>
        <v>2009</v>
      </c>
    </row>
    <row r="8031" spans="1:24" ht="12" customHeight="1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779"/>
        <v>40584</v>
      </c>
      <c r="V8031">
        <f t="shared" si="3770"/>
        <v>10</v>
      </c>
      <c r="W8031">
        <f t="shared" si="3768"/>
        <v>2</v>
      </c>
      <c r="X8031">
        <f t="shared" si="3769"/>
        <v>2011</v>
      </c>
    </row>
    <row r="8032" spans="1:24" ht="12" customHeight="1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  <c r="V8032">
        <f t="shared" si="3770"/>
        <v>29</v>
      </c>
      <c r="W8032">
        <f t="shared" si="3768"/>
        <v>7</v>
      </c>
      <c r="X8032">
        <f t="shared" si="3769"/>
        <v>2011</v>
      </c>
    </row>
    <row r="8033" spans="1:24" ht="12" customHeight="1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780">C8033+2</f>
        <v>40994</v>
      </c>
      <c r="V8033">
        <f t="shared" si="3770"/>
        <v>26</v>
      </c>
      <c r="W8033">
        <f t="shared" si="3768"/>
        <v>3</v>
      </c>
      <c r="X8033">
        <f t="shared" si="3769"/>
        <v>2012</v>
      </c>
    </row>
    <row r="8034" spans="1:24" ht="12" customHeight="1">
      <c r="A8034" s="4">
        <v>2333</v>
      </c>
      <c r="B8034" s="4">
        <v>16805</v>
      </c>
      <c r="C8034" s="5">
        <f t="shared" ref="C8034:C8035" si="3781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780"/>
        <v>40909</v>
      </c>
      <c r="V8034">
        <f t="shared" si="3770"/>
        <v>1</v>
      </c>
      <c r="W8034">
        <f t="shared" si="3768"/>
        <v>1</v>
      </c>
      <c r="X8034">
        <f t="shared" si="3769"/>
        <v>2012</v>
      </c>
    </row>
    <row r="8035" spans="1:24" ht="12" customHeight="1">
      <c r="A8035" s="4">
        <v>2334</v>
      </c>
      <c r="B8035" s="4">
        <v>16805</v>
      </c>
      <c r="C8035" s="5">
        <f t="shared" si="3781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780"/>
        <v>40909</v>
      </c>
      <c r="V8035">
        <f t="shared" si="3770"/>
        <v>1</v>
      </c>
      <c r="W8035">
        <f t="shared" si="3768"/>
        <v>1</v>
      </c>
      <c r="X8035">
        <f t="shared" si="3769"/>
        <v>2012</v>
      </c>
    </row>
    <row r="8036" spans="1:24" ht="12" customHeight="1">
      <c r="A8036" s="4">
        <v>2368</v>
      </c>
      <c r="B8036" s="4">
        <v>17155</v>
      </c>
      <c r="C8036" s="5">
        <f t="shared" ref="C8036:C8037" si="3782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  <c r="V8036">
        <f t="shared" si="3770"/>
        <v>29</v>
      </c>
      <c r="W8036">
        <f t="shared" si="3768"/>
        <v>1</v>
      </c>
      <c r="X8036">
        <f t="shared" si="3769"/>
        <v>2009</v>
      </c>
    </row>
    <row r="8037" spans="1:24" ht="12" customHeight="1">
      <c r="A8037" s="4">
        <v>2369</v>
      </c>
      <c r="B8037" s="4">
        <v>17155</v>
      </c>
      <c r="C8037" s="5">
        <f t="shared" si="3782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  <c r="V8037">
        <f t="shared" si="3770"/>
        <v>28</v>
      </c>
      <c r="W8037">
        <f t="shared" si="3768"/>
        <v>1</v>
      </c>
      <c r="X8037">
        <f t="shared" si="3769"/>
        <v>2009</v>
      </c>
    </row>
    <row r="8038" spans="1:24" ht="12" customHeight="1">
      <c r="A8038" s="4">
        <v>2554</v>
      </c>
      <c r="B8038" s="4">
        <v>18496</v>
      </c>
      <c r="C8038" s="5">
        <f t="shared" ref="C8038:C8039" si="3783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  <c r="V8038">
        <f t="shared" si="3770"/>
        <v>16</v>
      </c>
      <c r="W8038">
        <f t="shared" si="3768"/>
        <v>5</v>
      </c>
      <c r="X8038">
        <f t="shared" si="3769"/>
        <v>2009</v>
      </c>
    </row>
    <row r="8039" spans="1:24" ht="12" customHeight="1">
      <c r="A8039" s="4">
        <v>2555</v>
      </c>
      <c r="B8039" s="4">
        <v>18496</v>
      </c>
      <c r="C8039" s="5">
        <f t="shared" si="3783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  <c r="V8039">
        <f t="shared" si="3770"/>
        <v>18</v>
      </c>
      <c r="W8039">
        <f t="shared" si="3768"/>
        <v>5</v>
      </c>
      <c r="X8039">
        <f t="shared" si="3769"/>
        <v>2009</v>
      </c>
    </row>
    <row r="8040" spans="1:24" ht="12" customHeight="1">
      <c r="A8040" s="4">
        <v>2586</v>
      </c>
      <c r="B8040" s="4">
        <v>18688</v>
      </c>
      <c r="C8040" s="5">
        <f t="shared" ref="C8040:C8042" si="3784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785">C8040+2</f>
        <v>40609</v>
      </c>
      <c r="V8040">
        <f t="shared" si="3770"/>
        <v>7</v>
      </c>
      <c r="W8040">
        <f t="shared" si="3768"/>
        <v>3</v>
      </c>
      <c r="X8040">
        <f t="shared" si="3769"/>
        <v>2011</v>
      </c>
    </row>
    <row r="8041" spans="1:24" ht="12" customHeight="1">
      <c r="A8041" s="4">
        <v>2587</v>
      </c>
      <c r="B8041" s="4">
        <v>18688</v>
      </c>
      <c r="C8041" s="5">
        <f t="shared" si="3784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785"/>
        <v>40609</v>
      </c>
      <c r="V8041">
        <f t="shared" si="3770"/>
        <v>7</v>
      </c>
      <c r="W8041">
        <f t="shared" si="3768"/>
        <v>3</v>
      </c>
      <c r="X8041">
        <f t="shared" si="3769"/>
        <v>2011</v>
      </c>
    </row>
    <row r="8042" spans="1:24" ht="12" customHeight="1">
      <c r="A8042" s="4">
        <v>2588</v>
      </c>
      <c r="B8042" s="4">
        <v>18688</v>
      </c>
      <c r="C8042" s="5">
        <f t="shared" si="3784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786">C8042+1</f>
        <v>40608</v>
      </c>
      <c r="V8042">
        <f t="shared" si="3770"/>
        <v>6</v>
      </c>
      <c r="W8042">
        <f t="shared" si="3768"/>
        <v>3</v>
      </c>
      <c r="X8042">
        <f t="shared" si="3769"/>
        <v>2011</v>
      </c>
    </row>
    <row r="8043" spans="1:24" ht="12" customHeight="1">
      <c r="A8043" s="4">
        <v>2645</v>
      </c>
      <c r="B8043" s="4">
        <v>19140</v>
      </c>
      <c r="C8043" s="5">
        <f t="shared" ref="C8043:C8044" si="3787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786"/>
        <v>40087</v>
      </c>
      <c r="V8043">
        <f t="shared" si="3770"/>
        <v>1</v>
      </c>
      <c r="W8043">
        <f t="shared" si="3768"/>
        <v>10</v>
      </c>
      <c r="X8043">
        <f t="shared" si="3769"/>
        <v>2009</v>
      </c>
    </row>
    <row r="8044" spans="1:24" ht="12" customHeight="1">
      <c r="A8044" s="4">
        <v>2646</v>
      </c>
      <c r="B8044" s="4">
        <v>19140</v>
      </c>
      <c r="C8044" s="5">
        <f t="shared" si="3787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786"/>
        <v>40087</v>
      </c>
      <c r="V8044">
        <f t="shared" si="3770"/>
        <v>1</v>
      </c>
      <c r="W8044">
        <f t="shared" si="3768"/>
        <v>10</v>
      </c>
      <c r="X8044">
        <f t="shared" si="3769"/>
        <v>2009</v>
      </c>
    </row>
    <row r="8045" spans="1:24" ht="12" customHeight="1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  <c r="V8045">
        <f t="shared" si="3770"/>
        <v>26</v>
      </c>
      <c r="W8045">
        <f t="shared" si="3768"/>
        <v>8</v>
      </c>
      <c r="X8045">
        <f t="shared" si="3769"/>
        <v>2009</v>
      </c>
    </row>
    <row r="8046" spans="1:24" ht="12" customHeight="1">
      <c r="A8046" s="4">
        <v>2688</v>
      </c>
      <c r="B8046" s="4">
        <v>19457</v>
      </c>
      <c r="C8046" s="5">
        <f t="shared" ref="C8046:C8047" si="3788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  <c r="V8046">
        <f t="shared" si="3770"/>
        <v>13</v>
      </c>
      <c r="W8046">
        <f t="shared" si="3768"/>
        <v>7</v>
      </c>
      <c r="X8046">
        <f t="shared" si="3769"/>
        <v>2009</v>
      </c>
    </row>
    <row r="8047" spans="1:24" ht="12" customHeight="1">
      <c r="A8047" s="4">
        <v>2689</v>
      </c>
      <c r="B8047" s="4">
        <v>19457</v>
      </c>
      <c r="C8047" s="5">
        <f t="shared" si="3788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  <c r="V8047">
        <f t="shared" si="3770"/>
        <v>14</v>
      </c>
      <c r="W8047">
        <f t="shared" si="3768"/>
        <v>7</v>
      </c>
      <c r="X8047">
        <f t="shared" si="3769"/>
        <v>2009</v>
      </c>
    </row>
    <row r="8048" spans="1:24" ht="12" customHeight="1">
      <c r="A8048" s="4">
        <v>2734</v>
      </c>
      <c r="B8048" s="4">
        <v>19745</v>
      </c>
      <c r="C8048" s="5">
        <f t="shared" ref="C8048:C8051" si="3789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790">C8048+1</f>
        <v>41262</v>
      </c>
      <c r="V8048">
        <f t="shared" si="3770"/>
        <v>19</v>
      </c>
      <c r="W8048">
        <f t="shared" si="3768"/>
        <v>12</v>
      </c>
      <c r="X8048">
        <f t="shared" si="3769"/>
        <v>2012</v>
      </c>
    </row>
    <row r="8049" spans="1:24" ht="12" customHeight="1">
      <c r="A8049" s="4">
        <v>2735</v>
      </c>
      <c r="B8049" s="4">
        <v>19745</v>
      </c>
      <c r="C8049" s="5">
        <f t="shared" si="3789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790"/>
        <v>41262</v>
      </c>
      <c r="V8049">
        <f t="shared" si="3770"/>
        <v>19</v>
      </c>
      <c r="W8049">
        <f t="shared" si="3768"/>
        <v>12</v>
      </c>
      <c r="X8049">
        <f t="shared" si="3769"/>
        <v>2012</v>
      </c>
    </row>
    <row r="8050" spans="1:24" ht="12" customHeight="1">
      <c r="A8050" s="4">
        <v>2736</v>
      </c>
      <c r="B8050" s="4">
        <v>19745</v>
      </c>
      <c r="C8050" s="5">
        <f t="shared" si="3789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  <c r="V8050">
        <f t="shared" si="3770"/>
        <v>20</v>
      </c>
      <c r="W8050">
        <f t="shared" si="3768"/>
        <v>12</v>
      </c>
      <c r="X8050">
        <f t="shared" si="3769"/>
        <v>2012</v>
      </c>
    </row>
    <row r="8051" spans="1:24" ht="12" customHeight="1">
      <c r="A8051" s="4">
        <v>2737</v>
      </c>
      <c r="B8051" s="4">
        <v>19745</v>
      </c>
      <c r="C8051" s="5">
        <f t="shared" si="3789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  <c r="V8051">
        <f t="shared" si="3770"/>
        <v>19</v>
      </c>
      <c r="W8051">
        <f t="shared" si="3768"/>
        <v>12</v>
      </c>
      <c r="X8051">
        <f t="shared" si="3769"/>
        <v>2012</v>
      </c>
    </row>
    <row r="8052" spans="1:24" ht="12" customHeight="1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  <c r="V8052">
        <f t="shared" si="3770"/>
        <v>6</v>
      </c>
      <c r="W8052">
        <f t="shared" si="3768"/>
        <v>11</v>
      </c>
      <c r="X8052">
        <f t="shared" si="3769"/>
        <v>2010</v>
      </c>
    </row>
    <row r="8053" spans="1:24" ht="12" customHeight="1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  <c r="V8053">
        <f t="shared" si="3770"/>
        <v>16</v>
      </c>
      <c r="W8053">
        <f t="shared" si="3768"/>
        <v>12</v>
      </c>
      <c r="X8053">
        <f t="shared" si="3769"/>
        <v>2010</v>
      </c>
    </row>
    <row r="8054" spans="1:24" ht="12" customHeight="1">
      <c r="A8054" s="4">
        <v>3469</v>
      </c>
      <c r="B8054" s="4">
        <v>24705</v>
      </c>
      <c r="C8054" s="5">
        <f t="shared" ref="C8054:C8055" si="3791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792">C8054+2</f>
        <v>40803</v>
      </c>
      <c r="V8054">
        <f t="shared" si="3770"/>
        <v>17</v>
      </c>
      <c r="W8054">
        <f t="shared" si="3768"/>
        <v>9</v>
      </c>
      <c r="X8054">
        <f t="shared" si="3769"/>
        <v>2011</v>
      </c>
    </row>
    <row r="8055" spans="1:24" ht="12" customHeight="1">
      <c r="A8055" s="4">
        <v>3470</v>
      </c>
      <c r="B8055" s="4">
        <v>24705</v>
      </c>
      <c r="C8055" s="5">
        <f t="shared" si="3791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792"/>
        <v>40803</v>
      </c>
      <c r="V8055">
        <f t="shared" si="3770"/>
        <v>17</v>
      </c>
      <c r="W8055">
        <f t="shared" si="3768"/>
        <v>9</v>
      </c>
      <c r="X8055">
        <f t="shared" si="3769"/>
        <v>2011</v>
      </c>
    </row>
    <row r="8056" spans="1:24" ht="12" customHeight="1">
      <c r="A8056" s="4">
        <v>3512</v>
      </c>
      <c r="B8056" s="4">
        <v>25028</v>
      </c>
      <c r="C8056" s="5">
        <f t="shared" ref="C8056:C8057" si="3793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  <c r="V8056">
        <f t="shared" si="3770"/>
        <v>6</v>
      </c>
      <c r="W8056">
        <f t="shared" si="3768"/>
        <v>1</v>
      </c>
      <c r="X8056">
        <f t="shared" si="3769"/>
        <v>2011</v>
      </c>
    </row>
    <row r="8057" spans="1:24" ht="12" customHeight="1">
      <c r="A8057" s="4">
        <v>3513</v>
      </c>
      <c r="B8057" s="4">
        <v>25028</v>
      </c>
      <c r="C8057" s="5">
        <f t="shared" si="3793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  <c r="V8057">
        <f t="shared" si="3770"/>
        <v>7</v>
      </c>
      <c r="W8057">
        <f t="shared" si="3768"/>
        <v>1</v>
      </c>
      <c r="X8057">
        <f t="shared" si="3769"/>
        <v>2011</v>
      </c>
    </row>
    <row r="8058" spans="1:24" ht="12" customHeight="1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  <c r="V8058">
        <f t="shared" si="3770"/>
        <v>29</v>
      </c>
      <c r="W8058">
        <f t="shared" si="3768"/>
        <v>6</v>
      </c>
      <c r="X8058">
        <f t="shared" si="3769"/>
        <v>2009</v>
      </c>
    </row>
    <row r="8059" spans="1:24" ht="12" customHeight="1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  <c r="V8059">
        <f t="shared" si="3770"/>
        <v>8</v>
      </c>
      <c r="W8059">
        <f t="shared" si="3768"/>
        <v>6</v>
      </c>
      <c r="X8059">
        <f t="shared" si="3769"/>
        <v>2011</v>
      </c>
    </row>
    <row r="8060" spans="1:24" ht="12" customHeight="1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  <c r="V8060">
        <f t="shared" si="3770"/>
        <v>30</v>
      </c>
      <c r="W8060">
        <f t="shared" si="3768"/>
        <v>10</v>
      </c>
      <c r="X8060">
        <f t="shared" si="3769"/>
        <v>2009</v>
      </c>
    </row>
    <row r="8061" spans="1:24" ht="12" customHeight="1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  <c r="V8061">
        <f t="shared" si="3770"/>
        <v>7</v>
      </c>
      <c r="W8061">
        <f t="shared" si="3768"/>
        <v>6</v>
      </c>
      <c r="X8061">
        <f t="shared" si="3769"/>
        <v>2010</v>
      </c>
    </row>
    <row r="8062" spans="1:24" ht="12" customHeight="1">
      <c r="A8062" s="4">
        <v>3810</v>
      </c>
      <c r="B8062" s="4">
        <v>27138</v>
      </c>
      <c r="C8062" s="5">
        <f t="shared" ref="C8062:C8063" si="3794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795">C8062+2</f>
        <v>41061</v>
      </c>
      <c r="V8062">
        <f t="shared" si="3770"/>
        <v>1</v>
      </c>
      <c r="W8062">
        <f t="shared" si="3768"/>
        <v>6</v>
      </c>
      <c r="X8062">
        <f t="shared" si="3769"/>
        <v>2012</v>
      </c>
    </row>
    <row r="8063" spans="1:24" ht="12" customHeight="1">
      <c r="A8063" s="4">
        <v>3811</v>
      </c>
      <c r="B8063" s="4">
        <v>27138</v>
      </c>
      <c r="C8063" s="5">
        <f t="shared" si="3794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795"/>
        <v>41061</v>
      </c>
      <c r="V8063">
        <f t="shared" si="3770"/>
        <v>1</v>
      </c>
      <c r="W8063">
        <f t="shared" si="3768"/>
        <v>6</v>
      </c>
      <c r="X8063">
        <f t="shared" si="3769"/>
        <v>2012</v>
      </c>
    </row>
    <row r="8064" spans="1:24" ht="12" customHeight="1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795"/>
        <v>41011</v>
      </c>
      <c r="V8064">
        <f t="shared" si="3770"/>
        <v>12</v>
      </c>
      <c r="W8064">
        <f t="shared" si="3768"/>
        <v>4</v>
      </c>
      <c r="X8064">
        <f t="shared" si="3769"/>
        <v>2012</v>
      </c>
    </row>
    <row r="8065" spans="1:24" ht="12" customHeight="1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796">C8065+1</f>
        <v>41150</v>
      </c>
      <c r="V8065">
        <f t="shared" si="3770"/>
        <v>29</v>
      </c>
      <c r="W8065">
        <f t="shared" si="3768"/>
        <v>8</v>
      </c>
      <c r="X8065">
        <f t="shared" si="3769"/>
        <v>2012</v>
      </c>
    </row>
    <row r="8066" spans="1:24" ht="12" customHeight="1">
      <c r="A8066" s="4">
        <v>4262</v>
      </c>
      <c r="B8066" s="4">
        <v>30343</v>
      </c>
      <c r="C8066" s="5">
        <f t="shared" ref="C8066:C8067" si="3797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796"/>
        <v>41051</v>
      </c>
      <c r="V8066">
        <f t="shared" si="3770"/>
        <v>22</v>
      </c>
      <c r="W8066">
        <f t="shared" si="3768"/>
        <v>5</v>
      </c>
      <c r="X8066">
        <f t="shared" si="3769"/>
        <v>2012</v>
      </c>
    </row>
    <row r="8067" spans="1:24" ht="12" customHeight="1">
      <c r="A8067" s="4">
        <v>4263</v>
      </c>
      <c r="B8067" s="4">
        <v>30343</v>
      </c>
      <c r="C8067" s="5">
        <f t="shared" si="3797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798">C8067+2</f>
        <v>41052</v>
      </c>
      <c r="V8067">
        <f t="shared" si="3770"/>
        <v>23</v>
      </c>
      <c r="W8067">
        <f t="shared" ref="W8067:W8130" si="3799">MONTH(U8067)</f>
        <v>5</v>
      </c>
      <c r="X8067">
        <f t="shared" ref="X8067:X8130" si="3800">YEAR(U8067)</f>
        <v>2012</v>
      </c>
    </row>
    <row r="8068" spans="1:24" ht="12" customHeight="1">
      <c r="A8068" s="4">
        <v>4272</v>
      </c>
      <c r="B8068" s="4">
        <v>30403</v>
      </c>
      <c r="C8068" s="5">
        <f t="shared" ref="C8068:C8069" si="380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798"/>
        <v>41102</v>
      </c>
      <c r="V8068">
        <f t="shared" ref="V8068:V8131" si="3802">DAY(U8068)</f>
        <v>12</v>
      </c>
      <c r="W8068">
        <f t="shared" si="3799"/>
        <v>7</v>
      </c>
      <c r="X8068">
        <f t="shared" si="3800"/>
        <v>2012</v>
      </c>
    </row>
    <row r="8069" spans="1:24" ht="12" customHeight="1">
      <c r="A8069" s="4">
        <v>4273</v>
      </c>
      <c r="B8069" s="4">
        <v>30403</v>
      </c>
      <c r="C8069" s="5">
        <f t="shared" si="380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  <c r="V8069">
        <f t="shared" si="3802"/>
        <v>11</v>
      </c>
      <c r="W8069">
        <f t="shared" si="3799"/>
        <v>7</v>
      </c>
      <c r="X8069">
        <f t="shared" si="3800"/>
        <v>2012</v>
      </c>
    </row>
    <row r="8070" spans="1:24" ht="12" customHeight="1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  <c r="V8070">
        <f t="shared" si="3802"/>
        <v>2</v>
      </c>
      <c r="W8070">
        <f t="shared" si="3799"/>
        <v>7</v>
      </c>
      <c r="X8070">
        <f t="shared" si="3800"/>
        <v>2011</v>
      </c>
    </row>
    <row r="8071" spans="1:24" ht="12" customHeight="1">
      <c r="A8071" s="4">
        <v>4558</v>
      </c>
      <c r="B8071" s="4">
        <v>32449</v>
      </c>
      <c r="C8071" s="5">
        <f t="shared" ref="C8071:C8073" si="3803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804">C8071+1</f>
        <v>41253</v>
      </c>
      <c r="V8071">
        <f t="shared" si="3802"/>
        <v>10</v>
      </c>
      <c r="W8071">
        <f t="shared" si="3799"/>
        <v>12</v>
      </c>
      <c r="X8071">
        <f t="shared" si="3800"/>
        <v>2012</v>
      </c>
    </row>
    <row r="8072" spans="1:24" ht="12" customHeight="1">
      <c r="A8072" s="4">
        <v>4559</v>
      </c>
      <c r="B8072" s="4">
        <v>32449</v>
      </c>
      <c r="C8072" s="5">
        <f t="shared" si="3803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804"/>
        <v>41253</v>
      </c>
      <c r="V8072">
        <f t="shared" si="3802"/>
        <v>10</v>
      </c>
      <c r="W8072">
        <f t="shared" si="3799"/>
        <v>12</v>
      </c>
      <c r="X8072">
        <f t="shared" si="3800"/>
        <v>2012</v>
      </c>
    </row>
    <row r="8073" spans="1:24" ht="12" customHeight="1">
      <c r="A8073" s="4">
        <v>4560</v>
      </c>
      <c r="B8073" s="4">
        <v>32449</v>
      </c>
      <c r="C8073" s="5">
        <f t="shared" si="3803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804"/>
        <v>41253</v>
      </c>
      <c r="V8073">
        <f t="shared" si="3802"/>
        <v>10</v>
      </c>
      <c r="W8073">
        <f t="shared" si="3799"/>
        <v>12</v>
      </c>
      <c r="X8073">
        <f t="shared" si="3800"/>
        <v>2012</v>
      </c>
    </row>
    <row r="8074" spans="1:24" ht="12" customHeight="1">
      <c r="A8074" s="4">
        <v>4600</v>
      </c>
      <c r="B8074" s="4">
        <v>32800</v>
      </c>
      <c r="C8074" s="5">
        <f t="shared" ref="C8074:C8076" si="3805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804"/>
        <v>39835</v>
      </c>
      <c r="V8074">
        <f t="shared" si="3802"/>
        <v>22</v>
      </c>
      <c r="W8074">
        <f t="shared" si="3799"/>
        <v>1</v>
      </c>
      <c r="X8074">
        <f t="shared" si="3800"/>
        <v>2009</v>
      </c>
    </row>
    <row r="8075" spans="1:24" ht="12" customHeight="1">
      <c r="A8075" s="4">
        <v>4601</v>
      </c>
      <c r="B8075" s="4">
        <v>32800</v>
      </c>
      <c r="C8075" s="5">
        <f t="shared" si="3805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804"/>
        <v>39835</v>
      </c>
      <c r="V8075">
        <f t="shared" si="3802"/>
        <v>22</v>
      </c>
      <c r="W8075">
        <f t="shared" si="3799"/>
        <v>1</v>
      </c>
      <c r="X8075">
        <f t="shared" si="3800"/>
        <v>2009</v>
      </c>
    </row>
    <row r="8076" spans="1:24" ht="12" customHeight="1">
      <c r="A8076" s="4">
        <v>4602</v>
      </c>
      <c r="B8076" s="4">
        <v>32800</v>
      </c>
      <c r="C8076" s="5">
        <f t="shared" si="3805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  <c r="V8076">
        <f t="shared" si="3802"/>
        <v>23</v>
      </c>
      <c r="W8076">
        <f t="shared" si="3799"/>
        <v>1</v>
      </c>
      <c r="X8076">
        <f t="shared" si="3800"/>
        <v>2009</v>
      </c>
    </row>
    <row r="8077" spans="1:24" ht="12" customHeight="1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  <c r="V8077">
        <f t="shared" si="3802"/>
        <v>3</v>
      </c>
      <c r="W8077">
        <f t="shared" si="3799"/>
        <v>3</v>
      </c>
      <c r="X8077">
        <f t="shared" si="3800"/>
        <v>2011</v>
      </c>
    </row>
    <row r="8078" spans="1:24" ht="12" customHeight="1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  <c r="V8078">
        <f t="shared" si="3802"/>
        <v>4</v>
      </c>
      <c r="W8078">
        <f t="shared" si="3799"/>
        <v>11</v>
      </c>
      <c r="X8078">
        <f t="shared" si="3800"/>
        <v>2011</v>
      </c>
    </row>
    <row r="8079" spans="1:24" ht="12" customHeight="1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  <c r="V8079">
        <f t="shared" si="3802"/>
        <v>8</v>
      </c>
      <c r="W8079">
        <f t="shared" si="3799"/>
        <v>2</v>
      </c>
      <c r="X8079">
        <f t="shared" si="3800"/>
        <v>2010</v>
      </c>
    </row>
    <row r="8080" spans="1:24" ht="12" customHeight="1">
      <c r="A8080" s="4">
        <v>4926</v>
      </c>
      <c r="B8080" s="4">
        <v>35046</v>
      </c>
      <c r="C8080" s="5">
        <f t="shared" ref="C8080:C8082" si="3806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  <c r="V8080">
        <f t="shared" si="3802"/>
        <v>24</v>
      </c>
      <c r="W8080">
        <f t="shared" si="3799"/>
        <v>7</v>
      </c>
      <c r="X8080">
        <f t="shared" si="3800"/>
        <v>2010</v>
      </c>
    </row>
    <row r="8081" spans="1:24" ht="12" customHeight="1">
      <c r="A8081" s="4">
        <v>4927</v>
      </c>
      <c r="B8081" s="4">
        <v>35046</v>
      </c>
      <c r="C8081" s="5">
        <f t="shared" si="3806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807">C8081+1</f>
        <v>40384</v>
      </c>
      <c r="V8081">
        <f t="shared" si="3802"/>
        <v>25</v>
      </c>
      <c r="W8081">
        <f t="shared" si="3799"/>
        <v>7</v>
      </c>
      <c r="X8081">
        <f t="shared" si="3800"/>
        <v>2010</v>
      </c>
    </row>
    <row r="8082" spans="1:24" ht="12" customHeight="1">
      <c r="A8082" s="4">
        <v>4928</v>
      </c>
      <c r="B8082" s="4">
        <v>35046</v>
      </c>
      <c r="C8082" s="5">
        <f t="shared" si="3806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807"/>
        <v>40384</v>
      </c>
      <c r="V8082">
        <f t="shared" si="3802"/>
        <v>25</v>
      </c>
      <c r="W8082">
        <f t="shared" si="3799"/>
        <v>7</v>
      </c>
      <c r="X8082">
        <f t="shared" si="3800"/>
        <v>2010</v>
      </c>
    </row>
    <row r="8083" spans="1:24" ht="12" customHeight="1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  <c r="V8083">
        <f t="shared" si="3802"/>
        <v>8</v>
      </c>
      <c r="W8083">
        <f t="shared" si="3799"/>
        <v>8</v>
      </c>
      <c r="X8083">
        <f t="shared" si="3800"/>
        <v>2011</v>
      </c>
    </row>
    <row r="8084" spans="1:24" ht="12" customHeight="1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  <c r="V8084">
        <f t="shared" si="3802"/>
        <v>21</v>
      </c>
      <c r="W8084">
        <f t="shared" si="3799"/>
        <v>8</v>
      </c>
      <c r="X8084">
        <f t="shared" si="3800"/>
        <v>2012</v>
      </c>
    </row>
    <row r="8085" spans="1:24" ht="12" customHeight="1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  <c r="V8085">
        <f t="shared" si="3802"/>
        <v>10</v>
      </c>
      <c r="W8085">
        <f t="shared" si="3799"/>
        <v>11</v>
      </c>
      <c r="X8085">
        <f t="shared" si="3800"/>
        <v>2011</v>
      </c>
    </row>
    <row r="8086" spans="1:24" ht="12" customHeight="1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  <c r="V8086">
        <f t="shared" si="3802"/>
        <v>21</v>
      </c>
      <c r="W8086">
        <f t="shared" si="3799"/>
        <v>2</v>
      </c>
      <c r="X8086">
        <f t="shared" si="3800"/>
        <v>2009</v>
      </c>
    </row>
    <row r="8087" spans="1:24" ht="12" customHeight="1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  <c r="V8087">
        <f t="shared" si="3802"/>
        <v>20</v>
      </c>
      <c r="W8087">
        <f t="shared" si="3799"/>
        <v>9</v>
      </c>
      <c r="X8087">
        <f t="shared" si="3800"/>
        <v>2010</v>
      </c>
    </row>
    <row r="8088" spans="1:24" ht="12" customHeight="1">
      <c r="A8088" s="4">
        <v>5149</v>
      </c>
      <c r="B8088" s="4">
        <v>36704</v>
      </c>
      <c r="C8088" s="5">
        <f t="shared" ref="C8088:C8089" si="3808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  <c r="V8088">
        <f t="shared" si="3802"/>
        <v>17</v>
      </c>
      <c r="W8088">
        <f t="shared" si="3799"/>
        <v>6</v>
      </c>
      <c r="X8088">
        <f t="shared" si="3800"/>
        <v>2011</v>
      </c>
    </row>
    <row r="8089" spans="1:24" ht="12" customHeight="1">
      <c r="A8089" s="4">
        <v>5150</v>
      </c>
      <c r="B8089" s="4">
        <v>36704</v>
      </c>
      <c r="C8089" s="5">
        <f t="shared" si="3808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809">C8089+2</f>
        <v>40712</v>
      </c>
      <c r="V8089">
        <f t="shared" si="3802"/>
        <v>18</v>
      </c>
      <c r="W8089">
        <f t="shared" si="3799"/>
        <v>6</v>
      </c>
      <c r="X8089">
        <f t="shared" si="3800"/>
        <v>2011</v>
      </c>
    </row>
    <row r="8090" spans="1:24" ht="12" customHeight="1">
      <c r="A8090" s="4">
        <v>5226</v>
      </c>
      <c r="B8090" s="4">
        <v>37218</v>
      </c>
      <c r="C8090" s="5">
        <f t="shared" ref="C8090:C8091" si="3810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809"/>
        <v>40533</v>
      </c>
      <c r="V8090">
        <f t="shared" si="3802"/>
        <v>21</v>
      </c>
      <c r="W8090">
        <f t="shared" si="3799"/>
        <v>12</v>
      </c>
      <c r="X8090">
        <f t="shared" si="3800"/>
        <v>2010</v>
      </c>
    </row>
    <row r="8091" spans="1:24" ht="12" customHeight="1">
      <c r="A8091" s="4">
        <v>5227</v>
      </c>
      <c r="B8091" s="4">
        <v>37218</v>
      </c>
      <c r="C8091" s="5">
        <f t="shared" si="3810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  <c r="V8091">
        <f t="shared" si="3802"/>
        <v>20</v>
      </c>
      <c r="W8091">
        <f t="shared" si="3799"/>
        <v>12</v>
      </c>
      <c r="X8091">
        <f t="shared" si="3800"/>
        <v>2010</v>
      </c>
    </row>
    <row r="8092" spans="1:24" ht="12" customHeight="1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811">C8092+2</f>
        <v>40658</v>
      </c>
      <c r="V8092">
        <f t="shared" si="3802"/>
        <v>25</v>
      </c>
      <c r="W8092">
        <f t="shared" si="3799"/>
        <v>4</v>
      </c>
      <c r="X8092">
        <f t="shared" si="3800"/>
        <v>2011</v>
      </c>
    </row>
    <row r="8093" spans="1:24" ht="12" customHeight="1">
      <c r="A8093" s="4">
        <v>5407</v>
      </c>
      <c r="B8093" s="4">
        <v>38438</v>
      </c>
      <c r="C8093" s="5">
        <f t="shared" ref="C8093:C8094" si="3812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811"/>
        <v>40696</v>
      </c>
      <c r="V8093">
        <f t="shared" si="3802"/>
        <v>2</v>
      </c>
      <c r="W8093">
        <f t="shared" si="3799"/>
        <v>6</v>
      </c>
      <c r="X8093">
        <f t="shared" si="3800"/>
        <v>2011</v>
      </c>
    </row>
    <row r="8094" spans="1:24" ht="12" customHeight="1">
      <c r="A8094" s="4">
        <v>5408</v>
      </c>
      <c r="B8094" s="4">
        <v>38438</v>
      </c>
      <c r="C8094" s="5">
        <f t="shared" si="3812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  <c r="V8094">
        <f t="shared" si="3802"/>
        <v>1</v>
      </c>
      <c r="W8094">
        <f t="shared" si="3799"/>
        <v>6</v>
      </c>
      <c r="X8094">
        <f t="shared" si="3800"/>
        <v>2011</v>
      </c>
    </row>
    <row r="8095" spans="1:24" ht="12" customHeight="1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813">C8095+2</f>
        <v>39896</v>
      </c>
      <c r="V8095">
        <f t="shared" si="3802"/>
        <v>24</v>
      </c>
      <c r="W8095">
        <f t="shared" si="3799"/>
        <v>3</v>
      </c>
      <c r="X8095">
        <f t="shared" si="3800"/>
        <v>2009</v>
      </c>
    </row>
    <row r="8096" spans="1:24" ht="12" customHeight="1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813"/>
        <v>41153</v>
      </c>
      <c r="V8096">
        <f t="shared" si="3802"/>
        <v>1</v>
      </c>
      <c r="W8096">
        <f t="shared" si="3799"/>
        <v>9</v>
      </c>
      <c r="X8096">
        <f t="shared" si="3800"/>
        <v>2012</v>
      </c>
    </row>
    <row r="8097" spans="1:24" ht="12" customHeight="1">
      <c r="A8097" s="4">
        <v>5660</v>
      </c>
      <c r="B8097" s="4">
        <v>40065</v>
      </c>
      <c r="C8097" s="5">
        <f t="shared" ref="C8097:C8098" si="3814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815">C8097+1</f>
        <v>40957</v>
      </c>
      <c r="V8097">
        <f t="shared" si="3802"/>
        <v>18</v>
      </c>
      <c r="W8097">
        <f t="shared" si="3799"/>
        <v>2</v>
      </c>
      <c r="X8097">
        <f t="shared" si="3800"/>
        <v>2012</v>
      </c>
    </row>
    <row r="8098" spans="1:24" ht="12" customHeight="1">
      <c r="A8098" s="4">
        <v>5661</v>
      </c>
      <c r="B8098" s="4">
        <v>40065</v>
      </c>
      <c r="C8098" s="5">
        <f t="shared" si="3814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815"/>
        <v>40957</v>
      </c>
      <c r="V8098">
        <f t="shared" si="3802"/>
        <v>18</v>
      </c>
      <c r="W8098">
        <f t="shared" si="3799"/>
        <v>2</v>
      </c>
      <c r="X8098">
        <f t="shared" si="3800"/>
        <v>2012</v>
      </c>
    </row>
    <row r="8099" spans="1:24" ht="12" customHeight="1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  <c r="V8099">
        <f t="shared" si="3802"/>
        <v>5</v>
      </c>
      <c r="W8099">
        <f t="shared" si="3799"/>
        <v>2</v>
      </c>
      <c r="X8099">
        <f t="shared" si="3800"/>
        <v>2011</v>
      </c>
    </row>
    <row r="8100" spans="1:24" ht="12" customHeight="1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  <c r="V8100">
        <f t="shared" si="3802"/>
        <v>22</v>
      </c>
      <c r="W8100">
        <f t="shared" si="3799"/>
        <v>7</v>
      </c>
      <c r="X8100">
        <f t="shared" si="3800"/>
        <v>2012</v>
      </c>
    </row>
    <row r="8101" spans="1:24" ht="12" customHeight="1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  <c r="V8101">
        <f t="shared" si="3802"/>
        <v>11</v>
      </c>
      <c r="W8101">
        <f t="shared" si="3799"/>
        <v>12</v>
      </c>
      <c r="X8101">
        <f t="shared" si="3800"/>
        <v>2010</v>
      </c>
    </row>
    <row r="8102" spans="1:24" ht="12" customHeight="1">
      <c r="A8102" s="4">
        <v>5891</v>
      </c>
      <c r="B8102" s="4">
        <v>41794</v>
      </c>
      <c r="C8102" s="5">
        <f t="shared" ref="C8102:C8104" si="3816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  <c r="V8102">
        <f t="shared" si="3802"/>
        <v>28</v>
      </c>
      <c r="W8102">
        <f t="shared" si="3799"/>
        <v>5</v>
      </c>
      <c r="X8102">
        <f t="shared" si="3800"/>
        <v>2011</v>
      </c>
    </row>
    <row r="8103" spans="1:24" ht="12" customHeight="1">
      <c r="A8103" s="4">
        <v>5892</v>
      </c>
      <c r="B8103" s="4">
        <v>41794</v>
      </c>
      <c r="C8103" s="5">
        <f t="shared" si="3816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817">C8103+2</f>
        <v>40692</v>
      </c>
      <c r="V8103">
        <f t="shared" si="3802"/>
        <v>29</v>
      </c>
      <c r="W8103">
        <f t="shared" si="3799"/>
        <v>5</v>
      </c>
      <c r="X8103">
        <f t="shared" si="3800"/>
        <v>2011</v>
      </c>
    </row>
    <row r="8104" spans="1:24" ht="12" customHeight="1">
      <c r="A8104" s="4">
        <v>5893</v>
      </c>
      <c r="B8104" s="4">
        <v>41794</v>
      </c>
      <c r="C8104" s="5">
        <f t="shared" si="3816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817"/>
        <v>40692</v>
      </c>
      <c r="V8104">
        <f t="shared" si="3802"/>
        <v>29</v>
      </c>
      <c r="W8104">
        <f t="shared" si="3799"/>
        <v>5</v>
      </c>
      <c r="X8104">
        <f t="shared" si="3800"/>
        <v>2011</v>
      </c>
    </row>
    <row r="8105" spans="1:24" ht="12" customHeight="1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818">C8105+1</f>
        <v>40666</v>
      </c>
      <c r="V8105">
        <f t="shared" si="3802"/>
        <v>3</v>
      </c>
      <c r="W8105">
        <f t="shared" si="3799"/>
        <v>5</v>
      </c>
      <c r="X8105">
        <f t="shared" si="3800"/>
        <v>2011</v>
      </c>
    </row>
    <row r="8106" spans="1:24" ht="12" customHeight="1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818"/>
        <v>40972</v>
      </c>
      <c r="V8106">
        <f t="shared" si="3802"/>
        <v>4</v>
      </c>
      <c r="W8106">
        <f t="shared" si="3799"/>
        <v>3</v>
      </c>
      <c r="X8106">
        <f t="shared" si="3800"/>
        <v>2012</v>
      </c>
    </row>
    <row r="8107" spans="1:24" ht="12" customHeight="1">
      <c r="A8107" s="4">
        <v>6257</v>
      </c>
      <c r="B8107" s="4">
        <v>44294</v>
      </c>
      <c r="C8107" s="5">
        <f t="shared" ref="C8107:C8109" si="3819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  <c r="V8107">
        <f t="shared" si="3802"/>
        <v>10</v>
      </c>
      <c r="W8107">
        <f t="shared" si="3799"/>
        <v>6</v>
      </c>
      <c r="X8107">
        <f t="shared" si="3800"/>
        <v>2009</v>
      </c>
    </row>
    <row r="8108" spans="1:24" ht="12" customHeight="1">
      <c r="A8108" s="4">
        <v>6258</v>
      </c>
      <c r="B8108" s="4">
        <v>44294</v>
      </c>
      <c r="C8108" s="5">
        <f t="shared" si="3819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  <c r="V8108">
        <f t="shared" si="3802"/>
        <v>3</v>
      </c>
      <c r="W8108">
        <f t="shared" si="3799"/>
        <v>6</v>
      </c>
      <c r="X8108">
        <f t="shared" si="3800"/>
        <v>2009</v>
      </c>
    </row>
    <row r="8109" spans="1:24" ht="12" customHeight="1">
      <c r="A8109" s="4">
        <v>6259</v>
      </c>
      <c r="B8109" s="4">
        <v>44294</v>
      </c>
      <c r="C8109" s="5">
        <f t="shared" si="3819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  <c r="V8109">
        <f t="shared" si="3802"/>
        <v>5</v>
      </c>
      <c r="W8109">
        <f t="shared" si="3799"/>
        <v>6</v>
      </c>
      <c r="X8109">
        <f t="shared" si="3800"/>
        <v>2009</v>
      </c>
    </row>
    <row r="8110" spans="1:24" ht="12" customHeight="1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  <c r="V8110">
        <f t="shared" si="3802"/>
        <v>11</v>
      </c>
      <c r="W8110">
        <f t="shared" si="3799"/>
        <v>1</v>
      </c>
      <c r="X8110">
        <f t="shared" si="3800"/>
        <v>2009</v>
      </c>
    </row>
    <row r="8111" spans="1:24" ht="12" customHeight="1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  <c r="V8111">
        <f t="shared" si="3802"/>
        <v>7</v>
      </c>
      <c r="W8111">
        <f t="shared" si="3799"/>
        <v>6</v>
      </c>
      <c r="X8111">
        <f t="shared" si="3800"/>
        <v>2012</v>
      </c>
    </row>
    <row r="8112" spans="1:24" ht="12" customHeight="1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820">C8112+2</f>
        <v>40225</v>
      </c>
      <c r="V8112">
        <f t="shared" si="3802"/>
        <v>16</v>
      </c>
      <c r="W8112">
        <f t="shared" si="3799"/>
        <v>2</v>
      </c>
      <c r="X8112">
        <f t="shared" si="3800"/>
        <v>2010</v>
      </c>
    </row>
    <row r="8113" spans="1:24" ht="12" customHeight="1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820"/>
        <v>40058</v>
      </c>
      <c r="V8113">
        <f t="shared" si="3802"/>
        <v>2</v>
      </c>
      <c r="W8113">
        <f t="shared" si="3799"/>
        <v>9</v>
      </c>
      <c r="X8113">
        <f t="shared" si="3800"/>
        <v>2009</v>
      </c>
    </row>
    <row r="8114" spans="1:24" ht="12" customHeight="1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820"/>
        <v>40677</v>
      </c>
      <c r="V8114">
        <f t="shared" si="3802"/>
        <v>14</v>
      </c>
      <c r="W8114">
        <f t="shared" si="3799"/>
        <v>5</v>
      </c>
      <c r="X8114">
        <f t="shared" si="3800"/>
        <v>2011</v>
      </c>
    </row>
    <row r="8115" spans="1:24" ht="12" customHeight="1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820"/>
        <v>40064</v>
      </c>
      <c r="V8115">
        <f t="shared" si="3802"/>
        <v>8</v>
      </c>
      <c r="W8115">
        <f t="shared" si="3799"/>
        <v>9</v>
      </c>
      <c r="X8115">
        <f t="shared" si="3800"/>
        <v>2009</v>
      </c>
    </row>
    <row r="8116" spans="1:24" ht="12" customHeight="1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821">C8116+0</f>
        <v>40333</v>
      </c>
      <c r="V8116">
        <f t="shared" si="3802"/>
        <v>4</v>
      </c>
      <c r="W8116">
        <f t="shared" si="3799"/>
        <v>6</v>
      </c>
      <c r="X8116">
        <f t="shared" si="3800"/>
        <v>2010</v>
      </c>
    </row>
    <row r="8117" spans="1:24" ht="12" customHeight="1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821"/>
        <v>41130</v>
      </c>
      <c r="V8117">
        <f t="shared" si="3802"/>
        <v>9</v>
      </c>
      <c r="W8117">
        <f t="shared" si="3799"/>
        <v>8</v>
      </c>
      <c r="X8117">
        <f t="shared" si="3800"/>
        <v>2012</v>
      </c>
    </row>
    <row r="8118" spans="1:24" ht="12" customHeight="1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  <c r="V8118">
        <f t="shared" si="3802"/>
        <v>24</v>
      </c>
      <c r="W8118">
        <f t="shared" si="3799"/>
        <v>4</v>
      </c>
      <c r="X8118">
        <f t="shared" si="3800"/>
        <v>2009</v>
      </c>
    </row>
    <row r="8119" spans="1:24" ht="12" customHeight="1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  <c r="V8119">
        <f t="shared" si="3802"/>
        <v>9</v>
      </c>
      <c r="W8119">
        <f t="shared" si="3799"/>
        <v>10</v>
      </c>
      <c r="X8119">
        <f t="shared" si="3800"/>
        <v>2012</v>
      </c>
    </row>
    <row r="8120" spans="1:24" ht="12" customHeight="1">
      <c r="A8120" s="4">
        <v>7230</v>
      </c>
      <c r="B8120" s="4">
        <v>51557</v>
      </c>
      <c r="C8120" s="5">
        <f t="shared" ref="C8120:C8121" si="3822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  <c r="V8120">
        <f t="shared" si="3802"/>
        <v>2</v>
      </c>
      <c r="W8120">
        <f t="shared" si="3799"/>
        <v>11</v>
      </c>
      <c r="X8120">
        <f t="shared" si="3800"/>
        <v>2011</v>
      </c>
    </row>
    <row r="8121" spans="1:24" ht="12" customHeight="1">
      <c r="A8121" s="4">
        <v>7231</v>
      </c>
      <c r="B8121" s="4">
        <v>51557</v>
      </c>
      <c r="C8121" s="5">
        <f t="shared" si="3822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  <c r="V8121">
        <f t="shared" si="3802"/>
        <v>31</v>
      </c>
      <c r="W8121">
        <f t="shared" si="3799"/>
        <v>10</v>
      </c>
      <c r="X8121">
        <f t="shared" si="3800"/>
        <v>2011</v>
      </c>
    </row>
    <row r="8122" spans="1:24" ht="12" customHeight="1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823">C8122+2</f>
        <v>39883</v>
      </c>
      <c r="V8122">
        <f t="shared" si="3802"/>
        <v>11</v>
      </c>
      <c r="W8122">
        <f t="shared" si="3799"/>
        <v>3</v>
      </c>
      <c r="X8122">
        <f t="shared" si="3800"/>
        <v>2009</v>
      </c>
    </row>
    <row r="8123" spans="1:24" ht="12" customHeight="1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823"/>
        <v>40049</v>
      </c>
      <c r="V8123">
        <f t="shared" si="3802"/>
        <v>24</v>
      </c>
      <c r="W8123">
        <f t="shared" si="3799"/>
        <v>8</v>
      </c>
      <c r="X8123">
        <f t="shared" si="3800"/>
        <v>2009</v>
      </c>
    </row>
    <row r="8124" spans="1:24" ht="12" customHeight="1">
      <c r="A8124" s="4">
        <v>7531</v>
      </c>
      <c r="B8124" s="4">
        <v>53798</v>
      </c>
      <c r="C8124" s="5">
        <f t="shared" ref="C8124:C8125" si="3824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  <c r="V8124">
        <f t="shared" si="3802"/>
        <v>26</v>
      </c>
      <c r="W8124">
        <f t="shared" si="3799"/>
        <v>4</v>
      </c>
      <c r="X8124">
        <f t="shared" si="3800"/>
        <v>2009</v>
      </c>
    </row>
    <row r="8125" spans="1:24" ht="12" customHeight="1">
      <c r="A8125" s="4">
        <v>7532</v>
      </c>
      <c r="B8125" s="4">
        <v>53798</v>
      </c>
      <c r="C8125" s="5">
        <f t="shared" si="3824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  <c r="V8125">
        <f t="shared" si="3802"/>
        <v>24</v>
      </c>
      <c r="W8125">
        <f t="shared" si="3799"/>
        <v>4</v>
      </c>
      <c r="X8125">
        <f t="shared" si="3800"/>
        <v>2009</v>
      </c>
    </row>
    <row r="8126" spans="1:24" ht="12" customHeight="1">
      <c r="A8126" s="4">
        <v>7553</v>
      </c>
      <c r="B8126" s="4">
        <v>54051</v>
      </c>
      <c r="C8126" s="5">
        <f t="shared" ref="C8126:C8127" si="3825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  <c r="V8126">
        <f t="shared" si="3802"/>
        <v>13</v>
      </c>
      <c r="W8126">
        <f t="shared" si="3799"/>
        <v>8</v>
      </c>
      <c r="X8126">
        <f t="shared" si="3800"/>
        <v>2011</v>
      </c>
    </row>
    <row r="8127" spans="1:24" ht="12" customHeight="1">
      <c r="A8127" s="4">
        <v>7554</v>
      </c>
      <c r="B8127" s="4">
        <v>54051</v>
      </c>
      <c r="C8127" s="5">
        <f t="shared" si="3825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826">C8127+1</f>
        <v>40767</v>
      </c>
      <c r="V8127">
        <f t="shared" si="3802"/>
        <v>12</v>
      </c>
      <c r="W8127">
        <f t="shared" si="3799"/>
        <v>8</v>
      </c>
      <c r="X8127">
        <f t="shared" si="3800"/>
        <v>2011</v>
      </c>
    </row>
    <row r="8128" spans="1:24" ht="12" customHeight="1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826"/>
        <v>40851</v>
      </c>
      <c r="V8128">
        <f t="shared" si="3802"/>
        <v>4</v>
      </c>
      <c r="W8128">
        <f t="shared" si="3799"/>
        <v>11</v>
      </c>
      <c r="X8128">
        <f t="shared" si="3800"/>
        <v>2011</v>
      </c>
    </row>
    <row r="8129" spans="1:24" ht="12" customHeight="1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  <c r="V8129">
        <f t="shared" si="3802"/>
        <v>27</v>
      </c>
      <c r="W8129">
        <f t="shared" si="3799"/>
        <v>4</v>
      </c>
      <c r="X8129">
        <f t="shared" si="3800"/>
        <v>2009</v>
      </c>
    </row>
    <row r="8130" spans="1:24" ht="12" customHeight="1">
      <c r="A8130" s="4">
        <v>7915</v>
      </c>
      <c r="B8130" s="4">
        <v>56582</v>
      </c>
      <c r="C8130" s="5">
        <f t="shared" ref="C8130:C8131" si="3827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  <c r="V8130">
        <f t="shared" si="3802"/>
        <v>16</v>
      </c>
      <c r="W8130">
        <f t="shared" si="3799"/>
        <v>6</v>
      </c>
      <c r="X8130">
        <f t="shared" si="3800"/>
        <v>2009</v>
      </c>
    </row>
    <row r="8131" spans="1:24" ht="12" customHeight="1">
      <c r="A8131" s="4">
        <v>7916</v>
      </c>
      <c r="B8131" s="4">
        <v>56582</v>
      </c>
      <c r="C8131" s="5">
        <f t="shared" si="3827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828">C8131+2</f>
        <v>39978</v>
      </c>
      <c r="V8131">
        <f t="shared" si="3802"/>
        <v>14</v>
      </c>
      <c r="W8131">
        <f t="shared" ref="W8131:W8194" si="3829">MONTH(U8131)</f>
        <v>6</v>
      </c>
      <c r="X8131">
        <f t="shared" ref="X8131:X8194" si="3830">YEAR(U8131)</f>
        <v>2009</v>
      </c>
    </row>
    <row r="8132" spans="1:24" ht="12" customHeight="1">
      <c r="A8132" s="4">
        <v>7989</v>
      </c>
      <c r="B8132" s="4">
        <v>57121</v>
      </c>
      <c r="C8132" s="5">
        <f t="shared" ref="C8132:C8133" si="3831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828"/>
        <v>40865</v>
      </c>
      <c r="V8132">
        <f t="shared" ref="V8132:V8195" si="3832">DAY(U8132)</f>
        <v>18</v>
      </c>
      <c r="W8132">
        <f t="shared" si="3829"/>
        <v>11</v>
      </c>
      <c r="X8132">
        <f t="shared" si="3830"/>
        <v>2011</v>
      </c>
    </row>
    <row r="8133" spans="1:24" ht="12" customHeight="1">
      <c r="A8133" s="4">
        <v>7990</v>
      </c>
      <c r="B8133" s="4">
        <v>57121</v>
      </c>
      <c r="C8133" s="5">
        <f t="shared" si="3831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828"/>
        <v>40865</v>
      </c>
      <c r="V8133">
        <f t="shared" si="3832"/>
        <v>18</v>
      </c>
      <c r="W8133">
        <f t="shared" si="3829"/>
        <v>11</v>
      </c>
      <c r="X8133">
        <f t="shared" si="3830"/>
        <v>2011</v>
      </c>
    </row>
    <row r="8134" spans="1:24" ht="12" customHeight="1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828"/>
        <v>40266</v>
      </c>
      <c r="V8134">
        <f t="shared" si="3832"/>
        <v>29</v>
      </c>
      <c r="W8134">
        <f t="shared" si="3829"/>
        <v>3</v>
      </c>
      <c r="X8134">
        <f t="shared" si="3830"/>
        <v>2010</v>
      </c>
    </row>
    <row r="8135" spans="1:24" ht="12" customHeight="1">
      <c r="A8135" s="4">
        <v>8273</v>
      </c>
      <c r="B8135" s="4">
        <v>59170</v>
      </c>
      <c r="C8135" s="5">
        <f t="shared" ref="C8135:C8138" si="3833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  <c r="V8135">
        <f t="shared" si="3832"/>
        <v>18</v>
      </c>
      <c r="W8135">
        <f t="shared" si="3829"/>
        <v>2</v>
      </c>
      <c r="X8135">
        <f t="shared" si="3830"/>
        <v>2009</v>
      </c>
    </row>
    <row r="8136" spans="1:24" ht="12" customHeight="1">
      <c r="A8136" s="4">
        <v>8274</v>
      </c>
      <c r="B8136" s="4">
        <v>59170</v>
      </c>
      <c r="C8136" s="5">
        <f t="shared" si="3833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834">C8136+2</f>
        <v>39863</v>
      </c>
      <c r="V8136">
        <f t="shared" si="3832"/>
        <v>19</v>
      </c>
      <c r="W8136">
        <f t="shared" si="3829"/>
        <v>2</v>
      </c>
      <c r="X8136">
        <f t="shared" si="3830"/>
        <v>2009</v>
      </c>
    </row>
    <row r="8137" spans="1:24" ht="12" customHeight="1">
      <c r="A8137" s="4">
        <v>8275</v>
      </c>
      <c r="B8137" s="4">
        <v>59170</v>
      </c>
      <c r="C8137" s="5">
        <f t="shared" si="3833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834"/>
        <v>39863</v>
      </c>
      <c r="V8137">
        <f t="shared" si="3832"/>
        <v>19</v>
      </c>
      <c r="W8137">
        <f t="shared" si="3829"/>
        <v>2</v>
      </c>
      <c r="X8137">
        <f t="shared" si="3830"/>
        <v>2009</v>
      </c>
    </row>
    <row r="8138" spans="1:24" ht="12" customHeight="1">
      <c r="A8138" s="4">
        <v>8276</v>
      </c>
      <c r="B8138" s="4">
        <v>59170</v>
      </c>
      <c r="C8138" s="5">
        <f t="shared" si="3833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834"/>
        <v>39863</v>
      </c>
      <c r="V8138">
        <f t="shared" si="3832"/>
        <v>19</v>
      </c>
      <c r="W8138">
        <f t="shared" si="3829"/>
        <v>2</v>
      </c>
      <c r="X8138">
        <f t="shared" si="3830"/>
        <v>2009</v>
      </c>
    </row>
    <row r="8139" spans="1:24" ht="12" customHeight="1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834"/>
        <v>40158</v>
      </c>
      <c r="V8139">
        <f t="shared" si="3832"/>
        <v>11</v>
      </c>
      <c r="W8139">
        <f t="shared" si="3829"/>
        <v>12</v>
      </c>
      <c r="X8139">
        <f t="shared" si="3830"/>
        <v>2009</v>
      </c>
    </row>
    <row r="8140" spans="1:24" ht="12" customHeight="1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  <c r="V8140">
        <f t="shared" si="3832"/>
        <v>21</v>
      </c>
      <c r="W8140">
        <f t="shared" si="3829"/>
        <v>2</v>
      </c>
      <c r="X8140">
        <f t="shared" si="3830"/>
        <v>2012</v>
      </c>
    </row>
    <row r="8141" spans="1:24" ht="12" customHeight="1">
      <c r="A8141" s="4">
        <v>3</v>
      </c>
      <c r="B8141" s="4">
        <v>32</v>
      </c>
      <c r="C8141" s="5">
        <f t="shared" ref="C8141:C8143" si="3835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  <c r="V8141">
        <f t="shared" si="3832"/>
        <v>17</v>
      </c>
      <c r="W8141">
        <f t="shared" si="3829"/>
        <v>7</v>
      </c>
      <c r="X8141">
        <f t="shared" si="3830"/>
        <v>2011</v>
      </c>
    </row>
    <row r="8142" spans="1:24" ht="12" customHeight="1">
      <c r="A8142" s="4">
        <v>4</v>
      </c>
      <c r="B8142" s="4">
        <v>32</v>
      </c>
      <c r="C8142" s="5">
        <f t="shared" si="3835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  <c r="V8142">
        <f t="shared" si="3832"/>
        <v>16</v>
      </c>
      <c r="W8142">
        <f t="shared" si="3829"/>
        <v>7</v>
      </c>
      <c r="X8142">
        <f t="shared" si="3830"/>
        <v>2011</v>
      </c>
    </row>
    <row r="8143" spans="1:24" ht="12" customHeight="1">
      <c r="A8143" s="4">
        <v>5</v>
      </c>
      <c r="B8143" s="4">
        <v>32</v>
      </c>
      <c r="C8143" s="5">
        <f t="shared" si="3835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  <c r="V8143">
        <f t="shared" si="3832"/>
        <v>17</v>
      </c>
      <c r="W8143">
        <f t="shared" si="3829"/>
        <v>7</v>
      </c>
      <c r="X8143">
        <f t="shared" si="3830"/>
        <v>2011</v>
      </c>
    </row>
    <row r="8144" spans="1:24" ht="12" customHeight="1">
      <c r="A8144" s="4">
        <v>72</v>
      </c>
      <c r="B8144" s="4">
        <v>420</v>
      </c>
      <c r="C8144" s="5">
        <f t="shared" ref="C8144:C8145" si="3836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  <c r="V8144">
        <f t="shared" si="3832"/>
        <v>30</v>
      </c>
      <c r="W8144">
        <f t="shared" si="3829"/>
        <v>10</v>
      </c>
      <c r="X8144">
        <f t="shared" si="3830"/>
        <v>2011</v>
      </c>
    </row>
    <row r="8145" spans="1:24" ht="12" customHeight="1">
      <c r="A8145" s="4">
        <v>73</v>
      </c>
      <c r="B8145" s="4">
        <v>420</v>
      </c>
      <c r="C8145" s="5">
        <f t="shared" si="3836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  <c r="V8145">
        <f t="shared" si="3832"/>
        <v>1</v>
      </c>
      <c r="W8145">
        <f t="shared" si="3829"/>
        <v>11</v>
      </c>
      <c r="X8145">
        <f t="shared" si="3830"/>
        <v>2011</v>
      </c>
    </row>
    <row r="8146" spans="1:24" ht="12" customHeight="1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  <c r="V8146">
        <f t="shared" si="3832"/>
        <v>13</v>
      </c>
      <c r="W8146">
        <f t="shared" si="3829"/>
        <v>1</v>
      </c>
      <c r="X8146">
        <f t="shared" si="3830"/>
        <v>2010</v>
      </c>
    </row>
    <row r="8147" spans="1:24" ht="12" customHeight="1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837">C8147+2</f>
        <v>41124</v>
      </c>
      <c r="V8147">
        <f t="shared" si="3832"/>
        <v>3</v>
      </c>
      <c r="W8147">
        <f t="shared" si="3829"/>
        <v>8</v>
      </c>
      <c r="X8147">
        <f t="shared" si="3830"/>
        <v>2012</v>
      </c>
    </row>
    <row r="8148" spans="1:24" ht="12" customHeight="1">
      <c r="A8148" s="4">
        <v>429</v>
      </c>
      <c r="B8148" s="4">
        <v>2882</v>
      </c>
      <c r="C8148" s="5">
        <f t="shared" ref="C8148:C8149" si="3838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837"/>
        <v>40778</v>
      </c>
      <c r="V8148">
        <f t="shared" si="3832"/>
        <v>23</v>
      </c>
      <c r="W8148">
        <f t="shared" si="3829"/>
        <v>8</v>
      </c>
      <c r="X8148">
        <f t="shared" si="3830"/>
        <v>2011</v>
      </c>
    </row>
    <row r="8149" spans="1:24" ht="12" customHeight="1">
      <c r="A8149" s="4">
        <v>430</v>
      </c>
      <c r="B8149" s="4">
        <v>2882</v>
      </c>
      <c r="C8149" s="5">
        <f t="shared" si="3838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839">C8149+1</f>
        <v>40777</v>
      </c>
      <c r="V8149">
        <f t="shared" si="3832"/>
        <v>22</v>
      </c>
      <c r="W8149">
        <f t="shared" si="3829"/>
        <v>8</v>
      </c>
      <c r="X8149">
        <f t="shared" si="3830"/>
        <v>2011</v>
      </c>
    </row>
    <row r="8150" spans="1:24" ht="12" customHeight="1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839"/>
        <v>41216</v>
      </c>
      <c r="V8150">
        <f t="shared" si="3832"/>
        <v>3</v>
      </c>
      <c r="W8150">
        <f t="shared" si="3829"/>
        <v>11</v>
      </c>
      <c r="X8150">
        <f t="shared" si="3830"/>
        <v>2012</v>
      </c>
    </row>
    <row r="8151" spans="1:24" ht="12" customHeight="1">
      <c r="A8151" s="4">
        <v>544</v>
      </c>
      <c r="B8151" s="4">
        <v>3655</v>
      </c>
      <c r="C8151" s="5">
        <f t="shared" ref="C8151:C8152" si="3840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  <c r="V8151">
        <f t="shared" si="3832"/>
        <v>5</v>
      </c>
      <c r="W8151">
        <f t="shared" si="3829"/>
        <v>10</v>
      </c>
      <c r="X8151">
        <f t="shared" si="3830"/>
        <v>2012</v>
      </c>
    </row>
    <row r="8152" spans="1:24" ht="12" customHeight="1">
      <c r="A8152" s="4">
        <v>545</v>
      </c>
      <c r="B8152" s="4">
        <v>3655</v>
      </c>
      <c r="C8152" s="5">
        <f t="shared" si="3840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  <c r="V8152">
        <f t="shared" si="3832"/>
        <v>6</v>
      </c>
      <c r="W8152">
        <f t="shared" si="3829"/>
        <v>10</v>
      </c>
      <c r="X8152">
        <f t="shared" si="3830"/>
        <v>2012</v>
      </c>
    </row>
    <row r="8153" spans="1:24" ht="12" customHeight="1">
      <c r="A8153" s="4">
        <v>551</v>
      </c>
      <c r="B8153" s="4">
        <v>3746</v>
      </c>
      <c r="C8153" s="5">
        <f t="shared" ref="C8153:C8154" si="3841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  <c r="V8153">
        <f t="shared" si="3832"/>
        <v>10</v>
      </c>
      <c r="W8153">
        <f t="shared" si="3829"/>
        <v>9</v>
      </c>
      <c r="X8153">
        <f t="shared" si="3830"/>
        <v>2009</v>
      </c>
    </row>
    <row r="8154" spans="1:24" ht="12" customHeight="1">
      <c r="A8154" s="4">
        <v>552</v>
      </c>
      <c r="B8154" s="4">
        <v>3746</v>
      </c>
      <c r="C8154" s="5">
        <f t="shared" si="3841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  <c r="V8154">
        <f t="shared" si="3832"/>
        <v>11</v>
      </c>
      <c r="W8154">
        <f t="shared" si="3829"/>
        <v>9</v>
      </c>
      <c r="X8154">
        <f t="shared" si="3830"/>
        <v>2009</v>
      </c>
    </row>
    <row r="8155" spans="1:24" ht="12" customHeight="1">
      <c r="A8155" s="4">
        <v>569</v>
      </c>
      <c r="B8155" s="4">
        <v>3845</v>
      </c>
      <c r="C8155" s="5">
        <f t="shared" ref="C8155:C8157" si="3842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  <c r="V8155">
        <f t="shared" si="3832"/>
        <v>25</v>
      </c>
      <c r="W8155">
        <f t="shared" si="3829"/>
        <v>4</v>
      </c>
      <c r="X8155">
        <f t="shared" si="3830"/>
        <v>2012</v>
      </c>
    </row>
    <row r="8156" spans="1:24" ht="12" customHeight="1">
      <c r="A8156" s="4">
        <v>570</v>
      </c>
      <c r="B8156" s="4">
        <v>3845</v>
      </c>
      <c r="C8156" s="5">
        <f t="shared" si="3842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  <c r="V8156">
        <f t="shared" si="3832"/>
        <v>27</v>
      </c>
      <c r="W8156">
        <f t="shared" si="3829"/>
        <v>4</v>
      </c>
      <c r="X8156">
        <f t="shared" si="3830"/>
        <v>2012</v>
      </c>
    </row>
    <row r="8157" spans="1:24" ht="12" customHeight="1">
      <c r="A8157" s="4">
        <v>571</v>
      </c>
      <c r="B8157" s="4">
        <v>3845</v>
      </c>
      <c r="C8157" s="5">
        <f t="shared" si="3842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843">C8157+1</f>
        <v>41025</v>
      </c>
      <c r="V8157">
        <f t="shared" si="3832"/>
        <v>26</v>
      </c>
      <c r="W8157">
        <f t="shared" si="3829"/>
        <v>4</v>
      </c>
      <c r="X8157">
        <f t="shared" si="3830"/>
        <v>2012</v>
      </c>
    </row>
    <row r="8158" spans="1:24" ht="12" customHeight="1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843"/>
        <v>39933</v>
      </c>
      <c r="V8158">
        <f t="shared" si="3832"/>
        <v>30</v>
      </c>
      <c r="W8158">
        <f t="shared" si="3829"/>
        <v>4</v>
      </c>
      <c r="X8158">
        <f t="shared" si="3830"/>
        <v>2009</v>
      </c>
    </row>
    <row r="8159" spans="1:24" ht="12" customHeight="1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843"/>
        <v>40854</v>
      </c>
      <c r="V8159">
        <f t="shared" si="3832"/>
        <v>7</v>
      </c>
      <c r="W8159">
        <f t="shared" si="3829"/>
        <v>11</v>
      </c>
      <c r="X8159">
        <f t="shared" si="3830"/>
        <v>2011</v>
      </c>
    </row>
    <row r="8160" spans="1:24" ht="12" customHeight="1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  <c r="V8160">
        <f t="shared" si="3832"/>
        <v>23</v>
      </c>
      <c r="W8160">
        <f t="shared" si="3829"/>
        <v>3</v>
      </c>
      <c r="X8160">
        <f t="shared" si="3830"/>
        <v>2012</v>
      </c>
    </row>
    <row r="8161" spans="1:24" ht="12" customHeight="1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  <c r="V8161">
        <f t="shared" si="3832"/>
        <v>27</v>
      </c>
      <c r="W8161">
        <f t="shared" si="3829"/>
        <v>4</v>
      </c>
      <c r="X8161">
        <f t="shared" si="3830"/>
        <v>2012</v>
      </c>
    </row>
    <row r="8162" spans="1:24" ht="12" customHeight="1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  <c r="V8162">
        <f t="shared" si="3832"/>
        <v>27</v>
      </c>
      <c r="W8162">
        <f t="shared" si="3829"/>
        <v>5</v>
      </c>
      <c r="X8162">
        <f t="shared" si="3830"/>
        <v>2009</v>
      </c>
    </row>
    <row r="8163" spans="1:24" ht="12" customHeight="1">
      <c r="A8163" s="4">
        <v>757</v>
      </c>
      <c r="B8163" s="4">
        <v>5441</v>
      </c>
      <c r="C8163" s="5">
        <f t="shared" ref="C8163:C8164" si="3844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  <c r="V8163">
        <f t="shared" si="3832"/>
        <v>22</v>
      </c>
      <c r="W8163">
        <f t="shared" si="3829"/>
        <v>7</v>
      </c>
      <c r="X8163">
        <f t="shared" si="3830"/>
        <v>2009</v>
      </c>
    </row>
    <row r="8164" spans="1:24" ht="12" customHeight="1">
      <c r="A8164" s="4">
        <v>758</v>
      </c>
      <c r="B8164" s="4">
        <v>5441</v>
      </c>
      <c r="C8164" s="5">
        <f t="shared" si="3844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  <c r="V8164">
        <f t="shared" si="3832"/>
        <v>21</v>
      </c>
      <c r="W8164">
        <f t="shared" si="3829"/>
        <v>7</v>
      </c>
      <c r="X8164">
        <f t="shared" si="3830"/>
        <v>2009</v>
      </c>
    </row>
    <row r="8165" spans="1:24" ht="12" customHeight="1">
      <c r="A8165" s="4">
        <v>902</v>
      </c>
      <c r="B8165" s="4">
        <v>6500</v>
      </c>
      <c r="C8165" s="5">
        <f t="shared" ref="C8165:C8166" si="3845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  <c r="V8165">
        <f t="shared" si="3832"/>
        <v>14</v>
      </c>
      <c r="W8165">
        <f t="shared" si="3829"/>
        <v>10</v>
      </c>
      <c r="X8165">
        <f t="shared" si="3830"/>
        <v>2012</v>
      </c>
    </row>
    <row r="8166" spans="1:24" ht="12" customHeight="1">
      <c r="A8166" s="4">
        <v>903</v>
      </c>
      <c r="B8166" s="4">
        <v>6500</v>
      </c>
      <c r="C8166" s="5">
        <f t="shared" si="3845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  <c r="V8166">
        <f t="shared" si="3832"/>
        <v>13</v>
      </c>
      <c r="W8166">
        <f t="shared" si="3829"/>
        <v>10</v>
      </c>
      <c r="X8166">
        <f t="shared" si="3830"/>
        <v>2012</v>
      </c>
    </row>
    <row r="8167" spans="1:24" ht="12" customHeight="1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846">C8167+2</f>
        <v>40169</v>
      </c>
      <c r="V8167">
        <f t="shared" si="3832"/>
        <v>22</v>
      </c>
      <c r="W8167">
        <f t="shared" si="3829"/>
        <v>12</v>
      </c>
      <c r="X8167">
        <f t="shared" si="3830"/>
        <v>2009</v>
      </c>
    </row>
    <row r="8168" spans="1:24" ht="12" customHeight="1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846"/>
        <v>39823</v>
      </c>
      <c r="V8168">
        <f t="shared" si="3832"/>
        <v>10</v>
      </c>
      <c r="W8168">
        <f t="shared" si="3829"/>
        <v>1</v>
      </c>
      <c r="X8168">
        <f t="shared" si="3830"/>
        <v>2009</v>
      </c>
    </row>
    <row r="8169" spans="1:24" ht="12" customHeight="1">
      <c r="A8169" s="4">
        <v>1035</v>
      </c>
      <c r="B8169" s="4">
        <v>7553</v>
      </c>
      <c r="C8169" s="5">
        <f t="shared" ref="C8169:C8170" si="3847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  <c r="V8169">
        <f t="shared" si="3832"/>
        <v>8</v>
      </c>
      <c r="W8169">
        <f t="shared" si="3829"/>
        <v>5</v>
      </c>
      <c r="X8169">
        <f t="shared" si="3830"/>
        <v>2010</v>
      </c>
    </row>
    <row r="8170" spans="1:24" ht="12" customHeight="1">
      <c r="A8170" s="4">
        <v>1036</v>
      </c>
      <c r="B8170" s="4">
        <v>7553</v>
      </c>
      <c r="C8170" s="5">
        <f t="shared" si="3847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  <c r="V8170">
        <f t="shared" si="3832"/>
        <v>10</v>
      </c>
      <c r="W8170">
        <f t="shared" si="3829"/>
        <v>5</v>
      </c>
      <c r="X8170">
        <f t="shared" si="3830"/>
        <v>2010</v>
      </c>
    </row>
    <row r="8171" spans="1:24" ht="12" customHeight="1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  <c r="V8171">
        <f t="shared" si="3832"/>
        <v>8</v>
      </c>
      <c r="W8171">
        <f t="shared" si="3829"/>
        <v>4</v>
      </c>
      <c r="X8171">
        <f t="shared" si="3830"/>
        <v>2011</v>
      </c>
    </row>
    <row r="8172" spans="1:24" ht="12" customHeight="1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848">C8172+2</f>
        <v>39895</v>
      </c>
      <c r="V8172">
        <f t="shared" si="3832"/>
        <v>23</v>
      </c>
      <c r="W8172">
        <f t="shared" si="3829"/>
        <v>3</v>
      </c>
      <c r="X8172">
        <f t="shared" si="3830"/>
        <v>2009</v>
      </c>
    </row>
    <row r="8173" spans="1:24" ht="12" customHeight="1">
      <c r="A8173" s="4">
        <v>1116</v>
      </c>
      <c r="B8173" s="4">
        <v>8167</v>
      </c>
      <c r="C8173" s="5">
        <f t="shared" ref="C8173:C8174" si="3849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848"/>
        <v>41127</v>
      </c>
      <c r="V8173">
        <f t="shared" si="3832"/>
        <v>6</v>
      </c>
      <c r="W8173">
        <f t="shared" si="3829"/>
        <v>8</v>
      </c>
      <c r="X8173">
        <f t="shared" si="3830"/>
        <v>2012</v>
      </c>
    </row>
    <row r="8174" spans="1:24" ht="12" customHeight="1">
      <c r="A8174" s="4">
        <v>1117</v>
      </c>
      <c r="B8174" s="4">
        <v>8167</v>
      </c>
      <c r="C8174" s="5">
        <f t="shared" si="3849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848"/>
        <v>41127</v>
      </c>
      <c r="V8174">
        <f t="shared" si="3832"/>
        <v>6</v>
      </c>
      <c r="W8174">
        <f t="shared" si="3829"/>
        <v>8</v>
      </c>
      <c r="X8174">
        <f t="shared" si="3830"/>
        <v>2012</v>
      </c>
    </row>
    <row r="8175" spans="1:24" ht="12" customHeight="1">
      <c r="A8175" s="4">
        <v>1146</v>
      </c>
      <c r="B8175" s="4">
        <v>8353</v>
      </c>
      <c r="C8175" s="5">
        <f t="shared" ref="C8175:C8176" si="3850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848"/>
        <v>39950</v>
      </c>
      <c r="V8175">
        <f t="shared" si="3832"/>
        <v>17</v>
      </c>
      <c r="W8175">
        <f t="shared" si="3829"/>
        <v>5</v>
      </c>
      <c r="X8175">
        <f t="shared" si="3830"/>
        <v>2009</v>
      </c>
    </row>
    <row r="8176" spans="1:24" ht="12" customHeight="1">
      <c r="A8176" s="4">
        <v>1147</v>
      </c>
      <c r="B8176" s="4">
        <v>8353</v>
      </c>
      <c r="C8176" s="5">
        <f t="shared" si="3850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848"/>
        <v>39950</v>
      </c>
      <c r="V8176">
        <f t="shared" si="3832"/>
        <v>17</v>
      </c>
      <c r="W8176">
        <f t="shared" si="3829"/>
        <v>5</v>
      </c>
      <c r="X8176">
        <f t="shared" si="3830"/>
        <v>2009</v>
      </c>
    </row>
    <row r="8177" spans="1:24" ht="12" customHeight="1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  <c r="V8177">
        <f t="shared" si="3832"/>
        <v>15</v>
      </c>
      <c r="W8177">
        <f t="shared" si="3829"/>
        <v>4</v>
      </c>
      <c r="X8177">
        <f t="shared" si="3830"/>
        <v>2012</v>
      </c>
    </row>
    <row r="8178" spans="1:24" ht="12" customHeight="1">
      <c r="A8178" s="4">
        <v>1232</v>
      </c>
      <c r="B8178" s="4">
        <v>8997</v>
      </c>
      <c r="C8178" s="5">
        <f t="shared" ref="C8178:C8179" si="3851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  <c r="V8178">
        <f t="shared" si="3832"/>
        <v>5</v>
      </c>
      <c r="W8178">
        <f t="shared" si="3829"/>
        <v>7</v>
      </c>
      <c r="X8178">
        <f t="shared" si="3830"/>
        <v>2009</v>
      </c>
    </row>
    <row r="8179" spans="1:24" ht="12" customHeight="1">
      <c r="A8179" s="4">
        <v>1233</v>
      </c>
      <c r="B8179" s="4">
        <v>8997</v>
      </c>
      <c r="C8179" s="5">
        <f t="shared" si="3851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  <c r="V8179">
        <f t="shared" si="3832"/>
        <v>10</v>
      </c>
      <c r="W8179">
        <f t="shared" si="3829"/>
        <v>7</v>
      </c>
      <c r="X8179">
        <f t="shared" si="3830"/>
        <v>2009</v>
      </c>
    </row>
    <row r="8180" spans="1:24" ht="12" customHeight="1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  <c r="V8180">
        <f t="shared" si="3832"/>
        <v>24</v>
      </c>
      <c r="W8180">
        <f t="shared" si="3829"/>
        <v>5</v>
      </c>
      <c r="X8180">
        <f t="shared" si="3830"/>
        <v>2010</v>
      </c>
    </row>
    <row r="8181" spans="1:24" ht="12" customHeight="1">
      <c r="A8181" s="4">
        <v>1267</v>
      </c>
      <c r="B8181" s="4">
        <v>9221</v>
      </c>
      <c r="C8181" s="5">
        <f t="shared" ref="C8181:C8182" si="3852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853">C8181+4</f>
        <v>40550</v>
      </c>
      <c r="V8181">
        <f t="shared" si="3832"/>
        <v>7</v>
      </c>
      <c r="W8181">
        <f t="shared" si="3829"/>
        <v>1</v>
      </c>
      <c r="X8181">
        <f t="shared" si="3830"/>
        <v>2011</v>
      </c>
    </row>
    <row r="8182" spans="1:24" ht="12" customHeight="1">
      <c r="A8182" s="4">
        <v>1268</v>
      </c>
      <c r="B8182" s="4">
        <v>9221</v>
      </c>
      <c r="C8182" s="5">
        <f t="shared" si="3852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853"/>
        <v>40550</v>
      </c>
      <c r="V8182">
        <f t="shared" si="3832"/>
        <v>7</v>
      </c>
      <c r="W8182">
        <f t="shared" si="3829"/>
        <v>1</v>
      </c>
      <c r="X8182">
        <f t="shared" si="3830"/>
        <v>2011</v>
      </c>
    </row>
    <row r="8183" spans="1:24" ht="12" customHeight="1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854">C8183+2</f>
        <v>40638</v>
      </c>
      <c r="V8183">
        <f t="shared" si="3832"/>
        <v>5</v>
      </c>
      <c r="W8183">
        <f t="shared" si="3829"/>
        <v>4</v>
      </c>
      <c r="X8183">
        <f t="shared" si="3830"/>
        <v>2011</v>
      </c>
    </row>
    <row r="8184" spans="1:24" ht="12" customHeight="1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854"/>
        <v>39960</v>
      </c>
      <c r="V8184">
        <f t="shared" si="3832"/>
        <v>27</v>
      </c>
      <c r="W8184">
        <f t="shared" si="3829"/>
        <v>5</v>
      </c>
      <c r="X8184">
        <f t="shared" si="3830"/>
        <v>2009</v>
      </c>
    </row>
    <row r="8185" spans="1:24" ht="12" customHeight="1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  <c r="V8185">
        <f t="shared" si="3832"/>
        <v>20</v>
      </c>
      <c r="W8185">
        <f t="shared" si="3829"/>
        <v>1</v>
      </c>
      <c r="X8185">
        <f t="shared" si="3830"/>
        <v>2012</v>
      </c>
    </row>
    <row r="8186" spans="1:24" ht="12" customHeight="1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  <c r="V8186">
        <f t="shared" si="3832"/>
        <v>11</v>
      </c>
      <c r="W8186">
        <f t="shared" si="3829"/>
        <v>9</v>
      </c>
      <c r="X8186">
        <f t="shared" si="3830"/>
        <v>2010</v>
      </c>
    </row>
    <row r="8187" spans="1:24" ht="12" customHeight="1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  <c r="V8187">
        <f t="shared" si="3832"/>
        <v>6</v>
      </c>
      <c r="W8187">
        <f t="shared" si="3829"/>
        <v>9</v>
      </c>
      <c r="X8187">
        <f t="shared" si="3830"/>
        <v>2011</v>
      </c>
    </row>
    <row r="8188" spans="1:24" ht="12" customHeight="1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  <c r="V8188">
        <f t="shared" si="3832"/>
        <v>7</v>
      </c>
      <c r="W8188">
        <f t="shared" si="3829"/>
        <v>8</v>
      </c>
      <c r="X8188">
        <f t="shared" si="3830"/>
        <v>2010</v>
      </c>
    </row>
    <row r="8189" spans="1:24" ht="12" customHeight="1">
      <c r="A8189" s="4">
        <v>1405</v>
      </c>
      <c r="B8189" s="4">
        <v>10212</v>
      </c>
      <c r="C8189" s="5">
        <f t="shared" ref="C8189:C8190" si="3855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  <c r="V8189">
        <f t="shared" si="3832"/>
        <v>25</v>
      </c>
      <c r="W8189">
        <f t="shared" si="3829"/>
        <v>5</v>
      </c>
      <c r="X8189">
        <f t="shared" si="3830"/>
        <v>2010</v>
      </c>
    </row>
    <row r="8190" spans="1:24" ht="12" customHeight="1">
      <c r="A8190" s="4">
        <v>1406</v>
      </c>
      <c r="B8190" s="4">
        <v>10212</v>
      </c>
      <c r="C8190" s="5">
        <f t="shared" si="3855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  <c r="V8190">
        <f t="shared" si="3832"/>
        <v>27</v>
      </c>
      <c r="W8190">
        <f t="shared" si="3829"/>
        <v>5</v>
      </c>
      <c r="X8190">
        <f t="shared" si="3830"/>
        <v>2010</v>
      </c>
    </row>
    <row r="8191" spans="1:24" ht="12" customHeight="1">
      <c r="A8191" s="4">
        <v>1446</v>
      </c>
      <c r="B8191" s="4">
        <v>10439</v>
      </c>
      <c r="C8191" s="5">
        <f t="shared" ref="C8191:C8194" si="3856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857">C8191+2</f>
        <v>40998</v>
      </c>
      <c r="V8191">
        <f t="shared" si="3832"/>
        <v>30</v>
      </c>
      <c r="W8191">
        <f t="shared" si="3829"/>
        <v>3</v>
      </c>
      <c r="X8191">
        <f t="shared" si="3830"/>
        <v>2012</v>
      </c>
    </row>
    <row r="8192" spans="1:24" ht="12" customHeight="1">
      <c r="A8192" s="4">
        <v>1447</v>
      </c>
      <c r="B8192" s="4">
        <v>10439</v>
      </c>
      <c r="C8192" s="5">
        <f t="shared" si="3856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857"/>
        <v>40998</v>
      </c>
      <c r="V8192">
        <f t="shared" si="3832"/>
        <v>30</v>
      </c>
      <c r="W8192">
        <f t="shared" si="3829"/>
        <v>3</v>
      </c>
      <c r="X8192">
        <f t="shared" si="3830"/>
        <v>2012</v>
      </c>
    </row>
    <row r="8193" spans="1:24" ht="12" customHeight="1">
      <c r="A8193" s="4">
        <v>1448</v>
      </c>
      <c r="B8193" s="4">
        <v>10439</v>
      </c>
      <c r="C8193" s="5">
        <f t="shared" si="3856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  <c r="V8193">
        <f t="shared" si="3832"/>
        <v>29</v>
      </c>
      <c r="W8193">
        <f t="shared" si="3829"/>
        <v>3</v>
      </c>
      <c r="X8193">
        <f t="shared" si="3830"/>
        <v>2012</v>
      </c>
    </row>
    <row r="8194" spans="1:24" ht="12" customHeight="1">
      <c r="A8194" s="4">
        <v>1449</v>
      </c>
      <c r="B8194" s="4">
        <v>10439</v>
      </c>
      <c r="C8194" s="5">
        <f t="shared" si="3856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  <c r="V8194">
        <f t="shared" si="3832"/>
        <v>30</v>
      </c>
      <c r="W8194">
        <f t="shared" si="3829"/>
        <v>3</v>
      </c>
      <c r="X8194">
        <f t="shared" si="3830"/>
        <v>2012</v>
      </c>
    </row>
    <row r="8195" spans="1:24" ht="12" customHeight="1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858">C8195+1</f>
        <v>40036</v>
      </c>
      <c r="V8195">
        <f t="shared" si="3832"/>
        <v>11</v>
      </c>
      <c r="W8195">
        <f t="shared" ref="W8195:W8258" si="3859">MONTH(U8195)</f>
        <v>8</v>
      </c>
      <c r="X8195">
        <f t="shared" ref="X8195:X8258" si="3860">YEAR(U8195)</f>
        <v>2009</v>
      </c>
    </row>
    <row r="8196" spans="1:24" ht="12" customHeight="1">
      <c r="A8196" s="4">
        <v>1498</v>
      </c>
      <c r="B8196" s="4">
        <v>10820</v>
      </c>
      <c r="C8196" s="5">
        <f t="shared" ref="C8196:C8197" si="3861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858"/>
        <v>40905</v>
      </c>
      <c r="V8196">
        <f t="shared" ref="V8196:V8259" si="3862">DAY(U8196)</f>
        <v>28</v>
      </c>
      <c r="W8196">
        <f t="shared" si="3859"/>
        <v>12</v>
      </c>
      <c r="X8196">
        <f t="shared" si="3860"/>
        <v>2011</v>
      </c>
    </row>
    <row r="8197" spans="1:24" ht="12" customHeight="1">
      <c r="A8197" s="4">
        <v>1499</v>
      </c>
      <c r="B8197" s="4">
        <v>10820</v>
      </c>
      <c r="C8197" s="5">
        <f t="shared" si="3861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  <c r="V8197">
        <f t="shared" si="3862"/>
        <v>27</v>
      </c>
      <c r="W8197">
        <f t="shared" si="3859"/>
        <v>12</v>
      </c>
      <c r="X8197">
        <f t="shared" si="3860"/>
        <v>2011</v>
      </c>
    </row>
    <row r="8198" spans="1:24" ht="12" customHeight="1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863">C8198+1</f>
        <v>39921</v>
      </c>
      <c r="V8198">
        <f t="shared" si="3862"/>
        <v>18</v>
      </c>
      <c r="W8198">
        <f t="shared" si="3859"/>
        <v>4</v>
      </c>
      <c r="X8198">
        <f t="shared" si="3860"/>
        <v>2009</v>
      </c>
    </row>
    <row r="8199" spans="1:24" ht="12" customHeight="1">
      <c r="A8199" s="4">
        <v>1546</v>
      </c>
      <c r="B8199" s="4">
        <v>11169</v>
      </c>
      <c r="C8199" s="5">
        <f t="shared" ref="C8199:C8201" si="3864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863"/>
        <v>40320</v>
      </c>
      <c r="V8199">
        <f t="shared" si="3862"/>
        <v>22</v>
      </c>
      <c r="W8199">
        <f t="shared" si="3859"/>
        <v>5</v>
      </c>
      <c r="X8199">
        <f t="shared" si="3860"/>
        <v>2010</v>
      </c>
    </row>
    <row r="8200" spans="1:24" ht="12" customHeight="1">
      <c r="A8200" s="4">
        <v>1547</v>
      </c>
      <c r="B8200" s="4">
        <v>11169</v>
      </c>
      <c r="C8200" s="5">
        <f t="shared" si="3864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  <c r="V8200">
        <f t="shared" si="3862"/>
        <v>21</v>
      </c>
      <c r="W8200">
        <f t="shared" si="3859"/>
        <v>5</v>
      </c>
      <c r="X8200">
        <f t="shared" si="3860"/>
        <v>2010</v>
      </c>
    </row>
    <row r="8201" spans="1:24" ht="12" customHeight="1">
      <c r="A8201" s="4">
        <v>1548</v>
      </c>
      <c r="B8201" s="4">
        <v>11169</v>
      </c>
      <c r="C8201" s="5">
        <f t="shared" si="3864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  <c r="V8201">
        <f t="shared" si="3862"/>
        <v>22</v>
      </c>
      <c r="W8201">
        <f t="shared" si="3859"/>
        <v>5</v>
      </c>
      <c r="X8201">
        <f t="shared" si="3860"/>
        <v>2010</v>
      </c>
    </row>
    <row r="8202" spans="1:24" ht="12" customHeight="1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  <c r="V8202">
        <f t="shared" si="3862"/>
        <v>24</v>
      </c>
      <c r="W8202">
        <f t="shared" si="3859"/>
        <v>2</v>
      </c>
      <c r="X8202">
        <f t="shared" si="3860"/>
        <v>2011</v>
      </c>
    </row>
    <row r="8203" spans="1:24" ht="12" customHeight="1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  <c r="V8203">
        <f t="shared" si="3862"/>
        <v>15</v>
      </c>
      <c r="W8203">
        <f t="shared" si="3859"/>
        <v>8</v>
      </c>
      <c r="X8203">
        <f t="shared" si="3860"/>
        <v>2009</v>
      </c>
    </row>
    <row r="8204" spans="1:24" ht="12" customHeight="1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865">C8204+2</f>
        <v>40143</v>
      </c>
      <c r="V8204">
        <f t="shared" si="3862"/>
        <v>26</v>
      </c>
      <c r="W8204">
        <f t="shared" si="3859"/>
        <v>11</v>
      </c>
      <c r="X8204">
        <f t="shared" si="3860"/>
        <v>2009</v>
      </c>
    </row>
    <row r="8205" spans="1:24" ht="12" customHeight="1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865"/>
        <v>40711</v>
      </c>
      <c r="V8205">
        <f t="shared" si="3862"/>
        <v>17</v>
      </c>
      <c r="W8205">
        <f t="shared" si="3859"/>
        <v>6</v>
      </c>
      <c r="X8205">
        <f t="shared" si="3860"/>
        <v>2011</v>
      </c>
    </row>
    <row r="8206" spans="1:24" ht="12" customHeight="1">
      <c r="A8206" s="4">
        <v>1657</v>
      </c>
      <c r="B8206" s="4">
        <v>11943</v>
      </c>
      <c r="C8206" s="5">
        <f t="shared" ref="C8206:C8207" si="3866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  <c r="V8206">
        <f t="shared" si="3862"/>
        <v>14</v>
      </c>
      <c r="W8206">
        <f t="shared" si="3859"/>
        <v>4</v>
      </c>
      <c r="X8206">
        <f t="shared" si="3860"/>
        <v>2010</v>
      </c>
    </row>
    <row r="8207" spans="1:24" ht="12" customHeight="1">
      <c r="A8207" s="4">
        <v>1658</v>
      </c>
      <c r="B8207" s="4">
        <v>11943</v>
      </c>
      <c r="C8207" s="5">
        <f t="shared" si="3866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  <c r="V8207">
        <f t="shared" si="3862"/>
        <v>9</v>
      </c>
      <c r="W8207">
        <f t="shared" si="3859"/>
        <v>4</v>
      </c>
      <c r="X8207">
        <f t="shared" si="3860"/>
        <v>2010</v>
      </c>
    </row>
    <row r="8208" spans="1:24" ht="12" customHeight="1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  <c r="V8208">
        <f t="shared" si="3862"/>
        <v>21</v>
      </c>
      <c r="W8208">
        <f t="shared" si="3859"/>
        <v>10</v>
      </c>
      <c r="X8208">
        <f t="shared" si="3860"/>
        <v>2012</v>
      </c>
    </row>
    <row r="8209" spans="1:24" ht="12" customHeight="1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  <c r="V8209">
        <f t="shared" si="3862"/>
        <v>22</v>
      </c>
      <c r="W8209">
        <f t="shared" si="3859"/>
        <v>10</v>
      </c>
      <c r="X8209">
        <f t="shared" si="3860"/>
        <v>2009</v>
      </c>
    </row>
    <row r="8210" spans="1:24" ht="12" customHeight="1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  <c r="V8210">
        <f t="shared" si="3862"/>
        <v>9</v>
      </c>
      <c r="W8210">
        <f t="shared" si="3859"/>
        <v>12</v>
      </c>
      <c r="X8210">
        <f t="shared" si="3860"/>
        <v>2012</v>
      </c>
    </row>
    <row r="8211" spans="1:24" ht="12" customHeight="1">
      <c r="A8211" s="4">
        <v>1831</v>
      </c>
      <c r="B8211" s="4">
        <v>13126</v>
      </c>
      <c r="C8211" s="5">
        <f t="shared" ref="C8211:C8213" si="3867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  <c r="V8211">
        <f t="shared" si="3862"/>
        <v>20</v>
      </c>
      <c r="W8211">
        <f t="shared" si="3859"/>
        <v>10</v>
      </c>
      <c r="X8211">
        <f t="shared" si="3860"/>
        <v>2011</v>
      </c>
    </row>
    <row r="8212" spans="1:24" ht="12" customHeight="1">
      <c r="A8212" s="4">
        <v>1832</v>
      </c>
      <c r="B8212" s="4">
        <v>13126</v>
      </c>
      <c r="C8212" s="5">
        <f t="shared" si="3867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868">C8212+2</f>
        <v>40837</v>
      </c>
      <c r="V8212">
        <f t="shared" si="3862"/>
        <v>21</v>
      </c>
      <c r="W8212">
        <f t="shared" si="3859"/>
        <v>10</v>
      </c>
      <c r="X8212">
        <f t="shared" si="3860"/>
        <v>2011</v>
      </c>
    </row>
    <row r="8213" spans="1:24" ht="12" customHeight="1">
      <c r="A8213" s="4">
        <v>1833</v>
      </c>
      <c r="B8213" s="4">
        <v>13126</v>
      </c>
      <c r="C8213" s="5">
        <f t="shared" si="3867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868"/>
        <v>40837</v>
      </c>
      <c r="V8213">
        <f t="shared" si="3862"/>
        <v>21</v>
      </c>
      <c r="W8213">
        <f t="shared" si="3859"/>
        <v>10</v>
      </c>
      <c r="X8213">
        <f t="shared" si="3860"/>
        <v>2011</v>
      </c>
    </row>
    <row r="8214" spans="1:24" ht="12" customHeight="1">
      <c r="A8214" s="4">
        <v>1844</v>
      </c>
      <c r="B8214" s="4">
        <v>13282</v>
      </c>
      <c r="C8214" s="5">
        <f t="shared" ref="C8214:C8215" si="3869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  <c r="V8214">
        <f t="shared" si="3862"/>
        <v>14</v>
      </c>
      <c r="W8214">
        <f t="shared" si="3859"/>
        <v>5</v>
      </c>
      <c r="X8214">
        <f t="shared" si="3860"/>
        <v>2012</v>
      </c>
    </row>
    <row r="8215" spans="1:24" ht="12" customHeight="1">
      <c r="A8215" s="4">
        <v>1845</v>
      </c>
      <c r="B8215" s="4">
        <v>13282</v>
      </c>
      <c r="C8215" s="5">
        <f t="shared" si="3869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  <c r="V8215">
        <f t="shared" si="3862"/>
        <v>13</v>
      </c>
      <c r="W8215">
        <f t="shared" si="3859"/>
        <v>5</v>
      </c>
      <c r="X8215">
        <f t="shared" si="3860"/>
        <v>2012</v>
      </c>
    </row>
    <row r="8216" spans="1:24" ht="12" customHeight="1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870">C8216+1</f>
        <v>39894</v>
      </c>
      <c r="V8216">
        <f t="shared" si="3862"/>
        <v>22</v>
      </c>
      <c r="W8216">
        <f t="shared" si="3859"/>
        <v>3</v>
      </c>
      <c r="X8216">
        <f t="shared" si="3860"/>
        <v>2009</v>
      </c>
    </row>
    <row r="8217" spans="1:24" ht="12" customHeight="1">
      <c r="A8217" s="4">
        <v>1992</v>
      </c>
      <c r="B8217" s="4">
        <v>14212</v>
      </c>
      <c r="C8217" s="5">
        <f t="shared" ref="C8217:C8218" si="3871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870"/>
        <v>40956</v>
      </c>
      <c r="V8217">
        <f t="shared" si="3862"/>
        <v>17</v>
      </c>
      <c r="W8217">
        <f t="shared" si="3859"/>
        <v>2</v>
      </c>
      <c r="X8217">
        <f t="shared" si="3860"/>
        <v>2012</v>
      </c>
    </row>
    <row r="8218" spans="1:24" ht="12" customHeight="1">
      <c r="A8218" s="4">
        <v>1993</v>
      </c>
      <c r="B8218" s="4">
        <v>14212</v>
      </c>
      <c r="C8218" s="5">
        <f t="shared" si="3871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872">C8218+2</f>
        <v>40957</v>
      </c>
      <c r="V8218">
        <f t="shared" si="3862"/>
        <v>18</v>
      </c>
      <c r="W8218">
        <f t="shared" si="3859"/>
        <v>2</v>
      </c>
      <c r="X8218">
        <f t="shared" si="3860"/>
        <v>2012</v>
      </c>
    </row>
    <row r="8219" spans="1:24" ht="12" customHeight="1">
      <c r="A8219" s="4">
        <v>2067</v>
      </c>
      <c r="B8219" s="4">
        <v>14789</v>
      </c>
      <c r="C8219" s="5">
        <f t="shared" ref="C8219:C8220" si="3873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872"/>
        <v>40513</v>
      </c>
      <c r="V8219">
        <f t="shared" si="3862"/>
        <v>1</v>
      </c>
      <c r="W8219">
        <f t="shared" si="3859"/>
        <v>12</v>
      </c>
      <c r="X8219">
        <f t="shared" si="3860"/>
        <v>2010</v>
      </c>
    </row>
    <row r="8220" spans="1:24" ht="12" customHeight="1">
      <c r="A8220" s="4">
        <v>2068</v>
      </c>
      <c r="B8220" s="4">
        <v>14789</v>
      </c>
      <c r="C8220" s="5">
        <f t="shared" si="3873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  <c r="V8220">
        <f t="shared" si="3862"/>
        <v>30</v>
      </c>
      <c r="W8220">
        <f t="shared" si="3859"/>
        <v>11</v>
      </c>
      <c r="X8220">
        <f t="shared" si="3860"/>
        <v>2010</v>
      </c>
    </row>
    <row r="8221" spans="1:24" ht="12" customHeight="1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  <c r="V8221">
        <f t="shared" si="3862"/>
        <v>1</v>
      </c>
      <c r="W8221">
        <f t="shared" si="3859"/>
        <v>4</v>
      </c>
      <c r="X8221">
        <f t="shared" si="3860"/>
        <v>2012</v>
      </c>
    </row>
    <row r="8222" spans="1:24" ht="12" customHeight="1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  <c r="V8222">
        <f t="shared" si="3862"/>
        <v>28</v>
      </c>
      <c r="W8222">
        <f t="shared" si="3859"/>
        <v>10</v>
      </c>
      <c r="X8222">
        <f t="shared" si="3860"/>
        <v>2012</v>
      </c>
    </row>
    <row r="8223" spans="1:24" ht="12" customHeight="1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874">C8223+2</f>
        <v>40115</v>
      </c>
      <c r="V8223">
        <f t="shared" si="3862"/>
        <v>29</v>
      </c>
      <c r="W8223">
        <f t="shared" si="3859"/>
        <v>10</v>
      </c>
      <c r="X8223">
        <f t="shared" si="3860"/>
        <v>2009</v>
      </c>
    </row>
    <row r="8224" spans="1:24" ht="12" customHeight="1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874"/>
        <v>40774</v>
      </c>
      <c r="V8224">
        <f t="shared" si="3862"/>
        <v>19</v>
      </c>
      <c r="W8224">
        <f t="shared" si="3859"/>
        <v>8</v>
      </c>
      <c r="X8224">
        <f t="shared" si="3860"/>
        <v>2011</v>
      </c>
    </row>
    <row r="8225" spans="1:24" ht="12" customHeight="1">
      <c r="A8225" s="4">
        <v>2385</v>
      </c>
      <c r="B8225" s="4">
        <v>17287</v>
      </c>
      <c r="C8225" s="5">
        <f t="shared" ref="C8225:C8227" si="3875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  <c r="V8225">
        <f t="shared" si="3862"/>
        <v>6</v>
      </c>
      <c r="W8225">
        <f t="shared" si="3859"/>
        <v>4</v>
      </c>
      <c r="X8225">
        <f t="shared" si="3860"/>
        <v>2011</v>
      </c>
    </row>
    <row r="8226" spans="1:24" ht="12" customHeight="1">
      <c r="A8226" s="4">
        <v>2386</v>
      </c>
      <c r="B8226" s="4">
        <v>17287</v>
      </c>
      <c r="C8226" s="5">
        <f t="shared" si="3875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876">C8226+2</f>
        <v>40640</v>
      </c>
      <c r="V8226">
        <f t="shared" si="3862"/>
        <v>7</v>
      </c>
      <c r="W8226">
        <f t="shared" si="3859"/>
        <v>4</v>
      </c>
      <c r="X8226">
        <f t="shared" si="3860"/>
        <v>2011</v>
      </c>
    </row>
    <row r="8227" spans="1:24" ht="12" customHeight="1">
      <c r="A8227" s="4">
        <v>2387</v>
      </c>
      <c r="B8227" s="4">
        <v>17287</v>
      </c>
      <c r="C8227" s="5">
        <f t="shared" si="3875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876"/>
        <v>40640</v>
      </c>
      <c r="V8227">
        <f t="shared" si="3862"/>
        <v>7</v>
      </c>
      <c r="W8227">
        <f t="shared" si="3859"/>
        <v>4</v>
      </c>
      <c r="X8227">
        <f t="shared" si="3860"/>
        <v>2011</v>
      </c>
    </row>
    <row r="8228" spans="1:24" ht="12" customHeight="1">
      <c r="A8228" s="4">
        <v>2516</v>
      </c>
      <c r="B8228" s="4">
        <v>18279</v>
      </c>
      <c r="C8228" s="5">
        <f t="shared" ref="C8228:C8229" si="3877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876"/>
        <v>39872</v>
      </c>
      <c r="V8228">
        <f t="shared" si="3862"/>
        <v>28</v>
      </c>
      <c r="W8228">
        <f t="shared" si="3859"/>
        <v>2</v>
      </c>
      <c r="X8228">
        <f t="shared" si="3860"/>
        <v>2009</v>
      </c>
    </row>
    <row r="8229" spans="1:24" ht="12" customHeight="1">
      <c r="A8229" s="4">
        <v>2517</v>
      </c>
      <c r="B8229" s="4">
        <v>18279</v>
      </c>
      <c r="C8229" s="5">
        <f t="shared" si="3877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  <c r="V8229">
        <f t="shared" si="3862"/>
        <v>27</v>
      </c>
      <c r="W8229">
        <f t="shared" si="3859"/>
        <v>2</v>
      </c>
      <c r="X8229">
        <f t="shared" si="3860"/>
        <v>2009</v>
      </c>
    </row>
    <row r="8230" spans="1:24" ht="12" customHeight="1">
      <c r="A8230" s="4">
        <v>2559</v>
      </c>
      <c r="B8230" s="4">
        <v>18503</v>
      </c>
      <c r="C8230" s="5">
        <f t="shared" ref="C8230:C8231" si="3878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879">C8230+2</f>
        <v>40670</v>
      </c>
      <c r="V8230">
        <f t="shared" si="3862"/>
        <v>7</v>
      </c>
      <c r="W8230">
        <f t="shared" si="3859"/>
        <v>5</v>
      </c>
      <c r="X8230">
        <f t="shared" si="3860"/>
        <v>2011</v>
      </c>
    </row>
    <row r="8231" spans="1:24" ht="12" customHeight="1">
      <c r="A8231" s="4">
        <v>2560</v>
      </c>
      <c r="B8231" s="4">
        <v>18503</v>
      </c>
      <c r="C8231" s="5">
        <f t="shared" si="3878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879"/>
        <v>40670</v>
      </c>
      <c r="V8231">
        <f t="shared" si="3862"/>
        <v>7</v>
      </c>
      <c r="W8231">
        <f t="shared" si="3859"/>
        <v>5</v>
      </c>
      <c r="X8231">
        <f t="shared" si="3860"/>
        <v>2011</v>
      </c>
    </row>
    <row r="8232" spans="1:24" ht="12" customHeight="1">
      <c r="A8232" s="4">
        <v>2589</v>
      </c>
      <c r="B8232" s="4">
        <v>18689</v>
      </c>
      <c r="C8232" s="5">
        <f t="shared" ref="C8232:C8233" si="3880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881">C8232+1</f>
        <v>40172</v>
      </c>
      <c r="V8232">
        <f t="shared" si="3862"/>
        <v>25</v>
      </c>
      <c r="W8232">
        <f t="shared" si="3859"/>
        <v>12</v>
      </c>
      <c r="X8232">
        <f t="shared" si="3860"/>
        <v>2009</v>
      </c>
    </row>
    <row r="8233" spans="1:24" ht="12" customHeight="1">
      <c r="A8233" s="4">
        <v>2590</v>
      </c>
      <c r="B8233" s="4">
        <v>18689</v>
      </c>
      <c r="C8233" s="5">
        <f t="shared" si="3880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881"/>
        <v>40172</v>
      </c>
      <c r="V8233">
        <f t="shared" si="3862"/>
        <v>25</v>
      </c>
      <c r="W8233">
        <f t="shared" si="3859"/>
        <v>12</v>
      </c>
      <c r="X8233">
        <f t="shared" si="3860"/>
        <v>2009</v>
      </c>
    </row>
    <row r="8234" spans="1:24" ht="12" customHeight="1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  <c r="V8234">
        <f t="shared" si="3862"/>
        <v>22</v>
      </c>
      <c r="W8234">
        <f t="shared" si="3859"/>
        <v>4</v>
      </c>
      <c r="X8234">
        <f t="shared" si="3860"/>
        <v>2010</v>
      </c>
    </row>
    <row r="8235" spans="1:24" ht="12" customHeight="1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882">C8235+1</f>
        <v>40141</v>
      </c>
      <c r="V8235">
        <f t="shared" si="3862"/>
        <v>24</v>
      </c>
      <c r="W8235">
        <f t="shared" si="3859"/>
        <v>11</v>
      </c>
      <c r="X8235">
        <f t="shared" si="3860"/>
        <v>2009</v>
      </c>
    </row>
    <row r="8236" spans="1:24" ht="12" customHeight="1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882"/>
        <v>40002</v>
      </c>
      <c r="V8236">
        <f t="shared" si="3862"/>
        <v>8</v>
      </c>
      <c r="W8236">
        <f t="shared" si="3859"/>
        <v>7</v>
      </c>
      <c r="X8236">
        <f t="shared" si="3860"/>
        <v>2009</v>
      </c>
    </row>
    <row r="8237" spans="1:24" ht="12" customHeight="1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882"/>
        <v>41017</v>
      </c>
      <c r="V8237">
        <f t="shared" si="3862"/>
        <v>18</v>
      </c>
      <c r="W8237">
        <f t="shared" si="3859"/>
        <v>4</v>
      </c>
      <c r="X8237">
        <f t="shared" si="3860"/>
        <v>2012</v>
      </c>
    </row>
    <row r="8238" spans="1:24" ht="12" customHeight="1">
      <c r="A8238" s="4">
        <v>3023</v>
      </c>
      <c r="B8238" s="4">
        <v>21735</v>
      </c>
      <c r="C8238" s="5">
        <f t="shared" ref="C8238:C8239" si="3883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  <c r="V8238">
        <f t="shared" si="3862"/>
        <v>11</v>
      </c>
      <c r="W8238">
        <f t="shared" si="3859"/>
        <v>3</v>
      </c>
      <c r="X8238">
        <f t="shared" si="3860"/>
        <v>2010</v>
      </c>
    </row>
    <row r="8239" spans="1:24" ht="12" customHeight="1">
      <c r="A8239" s="4">
        <v>3024</v>
      </c>
      <c r="B8239" s="4">
        <v>21735</v>
      </c>
      <c r="C8239" s="5">
        <f t="shared" si="3883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  <c r="V8239">
        <f t="shared" si="3862"/>
        <v>12</v>
      </c>
      <c r="W8239">
        <f t="shared" si="3859"/>
        <v>3</v>
      </c>
      <c r="X8239">
        <f t="shared" si="3860"/>
        <v>2010</v>
      </c>
    </row>
    <row r="8240" spans="1:24" ht="12" customHeight="1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  <c r="V8240">
        <f t="shared" si="3862"/>
        <v>8</v>
      </c>
      <c r="W8240">
        <f t="shared" si="3859"/>
        <v>4</v>
      </c>
      <c r="X8240">
        <f t="shared" si="3860"/>
        <v>2011</v>
      </c>
    </row>
    <row r="8241" spans="1:24" ht="12" customHeight="1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  <c r="V8241">
        <f t="shared" si="3862"/>
        <v>23</v>
      </c>
      <c r="W8241">
        <f t="shared" si="3859"/>
        <v>11</v>
      </c>
      <c r="X8241">
        <f t="shared" si="3860"/>
        <v>2012</v>
      </c>
    </row>
    <row r="8242" spans="1:24" ht="12" customHeight="1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  <c r="V8242">
        <f t="shared" si="3862"/>
        <v>24</v>
      </c>
      <c r="W8242">
        <f t="shared" si="3859"/>
        <v>9</v>
      </c>
      <c r="X8242">
        <f t="shared" si="3860"/>
        <v>2010</v>
      </c>
    </row>
    <row r="8243" spans="1:24" ht="12" customHeight="1">
      <c r="A8243" s="4">
        <v>3342</v>
      </c>
      <c r="B8243" s="4">
        <v>23911</v>
      </c>
      <c r="C8243" s="5">
        <f t="shared" ref="C8243:C8245" si="3884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885">C8243+1</f>
        <v>41062</v>
      </c>
      <c r="V8243">
        <f t="shared" si="3862"/>
        <v>2</v>
      </c>
      <c r="W8243">
        <f t="shared" si="3859"/>
        <v>6</v>
      </c>
      <c r="X8243">
        <f t="shared" si="3860"/>
        <v>2012</v>
      </c>
    </row>
    <row r="8244" spans="1:24" ht="12" customHeight="1">
      <c r="A8244" s="4">
        <v>3343</v>
      </c>
      <c r="B8244" s="4">
        <v>23911</v>
      </c>
      <c r="C8244" s="5">
        <f t="shared" si="3884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885"/>
        <v>41062</v>
      </c>
      <c r="V8244">
        <f t="shared" si="3862"/>
        <v>2</v>
      </c>
      <c r="W8244">
        <f t="shared" si="3859"/>
        <v>6</v>
      </c>
      <c r="X8244">
        <f t="shared" si="3860"/>
        <v>2012</v>
      </c>
    </row>
    <row r="8245" spans="1:24" ht="12" customHeight="1">
      <c r="A8245" s="4">
        <v>3344</v>
      </c>
      <c r="B8245" s="4">
        <v>23911</v>
      </c>
      <c r="C8245" s="5">
        <f t="shared" si="3884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885"/>
        <v>41062</v>
      </c>
      <c r="V8245">
        <f t="shared" si="3862"/>
        <v>2</v>
      </c>
      <c r="W8245">
        <f t="shared" si="3859"/>
        <v>6</v>
      </c>
      <c r="X8245">
        <f t="shared" si="3860"/>
        <v>2012</v>
      </c>
    </row>
    <row r="8246" spans="1:24" ht="12" customHeight="1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  <c r="V8246">
        <f t="shared" si="3862"/>
        <v>10</v>
      </c>
      <c r="W8246">
        <f t="shared" si="3859"/>
        <v>3</v>
      </c>
      <c r="X8246">
        <f t="shared" si="3860"/>
        <v>2009</v>
      </c>
    </row>
    <row r="8247" spans="1:24" ht="12" customHeight="1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  <c r="V8247">
        <f t="shared" si="3862"/>
        <v>25</v>
      </c>
      <c r="W8247">
        <f t="shared" si="3859"/>
        <v>1</v>
      </c>
      <c r="X8247">
        <f t="shared" si="3860"/>
        <v>2009</v>
      </c>
    </row>
    <row r="8248" spans="1:24" ht="12" customHeight="1">
      <c r="A8248" s="4">
        <v>3509</v>
      </c>
      <c r="B8248" s="4">
        <v>24996</v>
      </c>
      <c r="C8248" s="5">
        <f t="shared" ref="C8248:C8249" si="3886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  <c r="V8248">
        <f t="shared" si="3862"/>
        <v>26</v>
      </c>
      <c r="W8248">
        <f t="shared" si="3859"/>
        <v>9</v>
      </c>
      <c r="X8248">
        <f t="shared" si="3860"/>
        <v>2011</v>
      </c>
    </row>
    <row r="8249" spans="1:24" ht="12" customHeight="1">
      <c r="A8249" s="4">
        <v>3510</v>
      </c>
      <c r="B8249" s="4">
        <v>24996</v>
      </c>
      <c r="C8249" s="5">
        <f t="shared" si="3886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  <c r="V8249">
        <f t="shared" si="3862"/>
        <v>27</v>
      </c>
      <c r="W8249">
        <f t="shared" si="3859"/>
        <v>9</v>
      </c>
      <c r="X8249">
        <f t="shared" si="3860"/>
        <v>2011</v>
      </c>
    </row>
    <row r="8250" spans="1:24" ht="12" customHeight="1">
      <c r="A8250" s="4">
        <v>3609</v>
      </c>
      <c r="B8250" s="4">
        <v>25824</v>
      </c>
      <c r="C8250" s="5">
        <f t="shared" ref="C8250:C8253" si="3887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888">C8250+1</f>
        <v>40061</v>
      </c>
      <c r="V8250">
        <f t="shared" si="3862"/>
        <v>5</v>
      </c>
      <c r="W8250">
        <f t="shared" si="3859"/>
        <v>9</v>
      </c>
      <c r="X8250">
        <f t="shared" si="3860"/>
        <v>2009</v>
      </c>
    </row>
    <row r="8251" spans="1:24" ht="12" customHeight="1">
      <c r="A8251" s="4">
        <v>3610</v>
      </c>
      <c r="B8251" s="4">
        <v>25824</v>
      </c>
      <c r="C8251" s="5">
        <f t="shared" si="3887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888"/>
        <v>40061</v>
      </c>
      <c r="V8251">
        <f t="shared" si="3862"/>
        <v>5</v>
      </c>
      <c r="W8251">
        <f t="shared" si="3859"/>
        <v>9</v>
      </c>
      <c r="X8251">
        <f t="shared" si="3860"/>
        <v>2009</v>
      </c>
    </row>
    <row r="8252" spans="1:24" ht="12" customHeight="1">
      <c r="A8252" s="4">
        <v>3611</v>
      </c>
      <c r="B8252" s="4">
        <v>25824</v>
      </c>
      <c r="C8252" s="5">
        <f t="shared" si="3887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888"/>
        <v>40061</v>
      </c>
      <c r="V8252">
        <f t="shared" si="3862"/>
        <v>5</v>
      </c>
      <c r="W8252">
        <f t="shared" si="3859"/>
        <v>9</v>
      </c>
      <c r="X8252">
        <f t="shared" si="3860"/>
        <v>2009</v>
      </c>
    </row>
    <row r="8253" spans="1:24" ht="12" customHeight="1">
      <c r="A8253" s="4">
        <v>3612</v>
      </c>
      <c r="B8253" s="4">
        <v>25824</v>
      </c>
      <c r="C8253" s="5">
        <f t="shared" si="3887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889">C8253+2</f>
        <v>40062</v>
      </c>
      <c r="V8253">
        <f t="shared" si="3862"/>
        <v>6</v>
      </c>
      <c r="W8253">
        <f t="shared" si="3859"/>
        <v>9</v>
      </c>
      <c r="X8253">
        <f t="shared" si="3860"/>
        <v>2009</v>
      </c>
    </row>
    <row r="8254" spans="1:24" ht="12" customHeight="1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889"/>
        <v>40960</v>
      </c>
      <c r="V8254">
        <f t="shared" si="3862"/>
        <v>21</v>
      </c>
      <c r="W8254">
        <f t="shared" si="3859"/>
        <v>2</v>
      </c>
      <c r="X8254">
        <f t="shared" si="3860"/>
        <v>2012</v>
      </c>
    </row>
    <row r="8255" spans="1:24" ht="12" customHeight="1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  <c r="V8255">
        <f t="shared" si="3862"/>
        <v>8</v>
      </c>
      <c r="W8255">
        <f t="shared" si="3859"/>
        <v>3</v>
      </c>
      <c r="X8255">
        <f t="shared" si="3860"/>
        <v>2011</v>
      </c>
    </row>
    <row r="8256" spans="1:24" ht="12" customHeight="1">
      <c r="A8256" s="4">
        <v>3852</v>
      </c>
      <c r="B8256" s="4">
        <v>27463</v>
      </c>
      <c r="C8256" s="5">
        <f t="shared" ref="C8256:C8257" si="3890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  <c r="V8256">
        <f t="shared" si="3862"/>
        <v>15</v>
      </c>
      <c r="W8256">
        <f t="shared" si="3859"/>
        <v>11</v>
      </c>
      <c r="X8256">
        <f t="shared" si="3860"/>
        <v>2009</v>
      </c>
    </row>
    <row r="8257" spans="1:24" ht="12" customHeight="1">
      <c r="A8257" s="4">
        <v>3853</v>
      </c>
      <c r="B8257" s="4">
        <v>27463</v>
      </c>
      <c r="C8257" s="5">
        <f t="shared" si="3890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  <c r="V8257">
        <f t="shared" si="3862"/>
        <v>14</v>
      </c>
      <c r="W8257">
        <f t="shared" si="3859"/>
        <v>11</v>
      </c>
      <c r="X8257">
        <f t="shared" si="3860"/>
        <v>2009</v>
      </c>
    </row>
    <row r="8258" spans="1:24" ht="12" customHeight="1">
      <c r="A8258" s="4">
        <v>3941</v>
      </c>
      <c r="B8258" s="4">
        <v>28069</v>
      </c>
      <c r="C8258" s="5">
        <f t="shared" ref="C8258:C8259" si="3891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  <c r="V8258">
        <f t="shared" si="3862"/>
        <v>26</v>
      </c>
      <c r="W8258">
        <f t="shared" si="3859"/>
        <v>5</v>
      </c>
      <c r="X8258">
        <f t="shared" si="3860"/>
        <v>2009</v>
      </c>
    </row>
    <row r="8259" spans="1:24" ht="12" customHeight="1">
      <c r="A8259" s="4">
        <v>3942</v>
      </c>
      <c r="B8259" s="4">
        <v>28069</v>
      </c>
      <c r="C8259" s="5">
        <f t="shared" si="3891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  <c r="V8259">
        <f t="shared" si="3862"/>
        <v>25</v>
      </c>
      <c r="W8259">
        <f t="shared" ref="W8259:W8322" si="3892">MONTH(U8259)</f>
        <v>5</v>
      </c>
      <c r="X8259">
        <f t="shared" ref="X8259:X8322" si="3893">YEAR(U8259)</f>
        <v>2009</v>
      </c>
    </row>
    <row r="8260" spans="1:24" ht="12" customHeight="1">
      <c r="A8260" s="4">
        <v>4066</v>
      </c>
      <c r="B8260" s="4">
        <v>28934</v>
      </c>
      <c r="C8260" s="5">
        <f t="shared" ref="C8260:C8262" si="3894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  <c r="V8260">
        <f t="shared" ref="V8260:V8323" si="3895">DAY(U8260)</f>
        <v>29</v>
      </c>
      <c r="W8260">
        <f t="shared" si="3892"/>
        <v>11</v>
      </c>
      <c r="X8260">
        <f t="shared" si="3893"/>
        <v>2012</v>
      </c>
    </row>
    <row r="8261" spans="1:24" ht="12" customHeight="1">
      <c r="A8261" s="4">
        <v>4067</v>
      </c>
      <c r="B8261" s="4">
        <v>28934</v>
      </c>
      <c r="C8261" s="5">
        <f t="shared" si="3894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896">C8261+2</f>
        <v>41243</v>
      </c>
      <c r="V8261">
        <f t="shared" si="3895"/>
        <v>30</v>
      </c>
      <c r="W8261">
        <f t="shared" si="3892"/>
        <v>11</v>
      </c>
      <c r="X8261">
        <f t="shared" si="3893"/>
        <v>2012</v>
      </c>
    </row>
    <row r="8262" spans="1:24" ht="12" customHeight="1">
      <c r="A8262" s="4">
        <v>4068</v>
      </c>
      <c r="B8262" s="4">
        <v>28934</v>
      </c>
      <c r="C8262" s="5">
        <f t="shared" si="3894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896"/>
        <v>41243</v>
      </c>
      <c r="V8262">
        <f t="shared" si="3895"/>
        <v>30</v>
      </c>
      <c r="W8262">
        <f t="shared" si="3892"/>
        <v>11</v>
      </c>
      <c r="X8262">
        <f t="shared" si="3893"/>
        <v>2012</v>
      </c>
    </row>
    <row r="8263" spans="1:24" ht="12" customHeight="1">
      <c r="A8263" s="4">
        <v>4102</v>
      </c>
      <c r="B8263" s="4">
        <v>29218</v>
      </c>
      <c r="C8263" s="5">
        <f t="shared" ref="C8263:C8265" si="389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898">C8263+0</f>
        <v>41058</v>
      </c>
      <c r="V8263">
        <f t="shared" si="3895"/>
        <v>29</v>
      </c>
      <c r="W8263">
        <f t="shared" si="3892"/>
        <v>5</v>
      </c>
      <c r="X8263">
        <f t="shared" si="3893"/>
        <v>2012</v>
      </c>
    </row>
    <row r="8264" spans="1:24" ht="12" customHeight="1">
      <c r="A8264" s="4">
        <v>4103</v>
      </c>
      <c r="B8264" s="4">
        <v>29218</v>
      </c>
      <c r="C8264" s="5">
        <f t="shared" si="389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898"/>
        <v>41058</v>
      </c>
      <c r="V8264">
        <f t="shared" si="3895"/>
        <v>29</v>
      </c>
      <c r="W8264">
        <f t="shared" si="3892"/>
        <v>5</v>
      </c>
      <c r="X8264">
        <f t="shared" si="3893"/>
        <v>2012</v>
      </c>
    </row>
    <row r="8265" spans="1:24" ht="12" customHeight="1">
      <c r="A8265" s="4">
        <v>4104</v>
      </c>
      <c r="B8265" s="4">
        <v>29218</v>
      </c>
      <c r="C8265" s="5">
        <f t="shared" si="389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899">C8265+2</f>
        <v>41060</v>
      </c>
      <c r="V8265">
        <f t="shared" si="3895"/>
        <v>31</v>
      </c>
      <c r="W8265">
        <f t="shared" si="3892"/>
        <v>5</v>
      </c>
      <c r="X8265">
        <f t="shared" si="3893"/>
        <v>2012</v>
      </c>
    </row>
    <row r="8266" spans="1:24" ht="12" customHeight="1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899"/>
        <v>40024</v>
      </c>
      <c r="V8266">
        <f t="shared" si="3895"/>
        <v>30</v>
      </c>
      <c r="W8266">
        <f t="shared" si="3892"/>
        <v>7</v>
      </c>
      <c r="X8266">
        <f t="shared" si="3893"/>
        <v>2009</v>
      </c>
    </row>
    <row r="8267" spans="1:24" ht="12" customHeight="1">
      <c r="A8267" s="4">
        <v>4165</v>
      </c>
      <c r="B8267" s="4">
        <v>29536</v>
      </c>
      <c r="C8267" s="5">
        <f t="shared" ref="C8267:C8269" si="390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899"/>
        <v>41161</v>
      </c>
      <c r="V8267">
        <f t="shared" si="3895"/>
        <v>9</v>
      </c>
      <c r="W8267">
        <f t="shared" si="3892"/>
        <v>9</v>
      </c>
      <c r="X8267">
        <f t="shared" si="3893"/>
        <v>2012</v>
      </c>
    </row>
    <row r="8268" spans="1:24" ht="12" customHeight="1">
      <c r="A8268" s="4">
        <v>4166</v>
      </c>
      <c r="B8268" s="4">
        <v>29536</v>
      </c>
      <c r="C8268" s="5">
        <f t="shared" si="390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899"/>
        <v>41161</v>
      </c>
      <c r="V8268">
        <f t="shared" si="3895"/>
        <v>9</v>
      </c>
      <c r="W8268">
        <f t="shared" si="3892"/>
        <v>9</v>
      </c>
      <c r="X8268">
        <f t="shared" si="3893"/>
        <v>2012</v>
      </c>
    </row>
    <row r="8269" spans="1:24" ht="12" customHeight="1">
      <c r="A8269" s="4">
        <v>4167</v>
      </c>
      <c r="B8269" s="4">
        <v>29536</v>
      </c>
      <c r="C8269" s="5">
        <f t="shared" si="390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899"/>
        <v>41161</v>
      </c>
      <c r="V8269">
        <f t="shared" si="3895"/>
        <v>9</v>
      </c>
      <c r="W8269">
        <f t="shared" si="3892"/>
        <v>9</v>
      </c>
      <c r="X8269">
        <f t="shared" si="3893"/>
        <v>2012</v>
      </c>
    </row>
    <row r="8270" spans="1:24" ht="12" customHeight="1">
      <c r="A8270" s="4">
        <v>4170</v>
      </c>
      <c r="B8270" s="4">
        <v>29569</v>
      </c>
      <c r="C8270" s="5">
        <f t="shared" ref="C8270:C8271" si="390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  <c r="V8270">
        <f t="shared" si="3895"/>
        <v>4</v>
      </c>
      <c r="W8270">
        <f t="shared" si="3892"/>
        <v>7</v>
      </c>
      <c r="X8270">
        <f t="shared" si="3893"/>
        <v>2011</v>
      </c>
    </row>
    <row r="8271" spans="1:24" ht="12" customHeight="1">
      <c r="A8271" s="4">
        <v>4171</v>
      </c>
      <c r="B8271" s="4">
        <v>29569</v>
      </c>
      <c r="C8271" s="5">
        <f t="shared" si="390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  <c r="V8271">
        <f t="shared" si="3895"/>
        <v>5</v>
      </c>
      <c r="W8271">
        <f t="shared" si="3892"/>
        <v>7</v>
      </c>
      <c r="X8271">
        <f t="shared" si="3893"/>
        <v>2011</v>
      </c>
    </row>
    <row r="8272" spans="1:24" ht="12" customHeight="1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  <c r="V8272">
        <f t="shared" si="3895"/>
        <v>15</v>
      </c>
      <c r="W8272">
        <f t="shared" si="3892"/>
        <v>7</v>
      </c>
      <c r="X8272">
        <f t="shared" si="3893"/>
        <v>2011</v>
      </c>
    </row>
    <row r="8273" spans="1:24" ht="12" customHeight="1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  <c r="V8273">
        <f t="shared" si="3895"/>
        <v>24</v>
      </c>
      <c r="W8273">
        <f t="shared" si="3892"/>
        <v>3</v>
      </c>
      <c r="X8273">
        <f t="shared" si="3893"/>
        <v>2012</v>
      </c>
    </row>
    <row r="8274" spans="1:24" ht="12" customHeight="1">
      <c r="A8274" s="4">
        <v>4337</v>
      </c>
      <c r="B8274" s="4">
        <v>30913</v>
      </c>
      <c r="C8274" s="5">
        <f t="shared" ref="C8274:C8277" si="390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  <c r="V8274">
        <f t="shared" si="3895"/>
        <v>23</v>
      </c>
      <c r="W8274">
        <f t="shared" si="3892"/>
        <v>9</v>
      </c>
      <c r="X8274">
        <f t="shared" si="3893"/>
        <v>2012</v>
      </c>
    </row>
    <row r="8275" spans="1:24" ht="12" customHeight="1">
      <c r="A8275" s="4">
        <v>4338</v>
      </c>
      <c r="B8275" s="4">
        <v>30913</v>
      </c>
      <c r="C8275" s="5">
        <f t="shared" si="390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903">C8275+2</f>
        <v>41176</v>
      </c>
      <c r="V8275">
        <f t="shared" si="3895"/>
        <v>24</v>
      </c>
      <c r="W8275">
        <f t="shared" si="3892"/>
        <v>9</v>
      </c>
      <c r="X8275">
        <f t="shared" si="3893"/>
        <v>2012</v>
      </c>
    </row>
    <row r="8276" spans="1:24" ht="12" customHeight="1">
      <c r="A8276" s="4">
        <v>4339</v>
      </c>
      <c r="B8276" s="4">
        <v>30913</v>
      </c>
      <c r="C8276" s="5">
        <f t="shared" si="390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903"/>
        <v>41176</v>
      </c>
      <c r="V8276">
        <f t="shared" si="3895"/>
        <v>24</v>
      </c>
      <c r="W8276">
        <f t="shared" si="3892"/>
        <v>9</v>
      </c>
      <c r="X8276">
        <f t="shared" si="3893"/>
        <v>2012</v>
      </c>
    </row>
    <row r="8277" spans="1:24" ht="12" customHeight="1">
      <c r="A8277" s="4">
        <v>4340</v>
      </c>
      <c r="B8277" s="4">
        <v>30913</v>
      </c>
      <c r="C8277" s="5">
        <f t="shared" si="390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903"/>
        <v>41176</v>
      </c>
      <c r="V8277">
        <f t="shared" si="3895"/>
        <v>24</v>
      </c>
      <c r="W8277">
        <f t="shared" si="3892"/>
        <v>9</v>
      </c>
      <c r="X8277">
        <f t="shared" si="3893"/>
        <v>2012</v>
      </c>
    </row>
    <row r="8278" spans="1:24" ht="12" customHeight="1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  <c r="V8278">
        <f t="shared" si="3895"/>
        <v>27</v>
      </c>
      <c r="W8278">
        <f t="shared" si="3892"/>
        <v>4</v>
      </c>
      <c r="X8278">
        <f t="shared" si="3893"/>
        <v>2011</v>
      </c>
    </row>
    <row r="8279" spans="1:24" ht="12" customHeight="1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  <c r="V8279">
        <f t="shared" si="3895"/>
        <v>6</v>
      </c>
      <c r="W8279">
        <f t="shared" si="3892"/>
        <v>11</v>
      </c>
      <c r="X8279">
        <f t="shared" si="3893"/>
        <v>2011</v>
      </c>
    </row>
    <row r="8280" spans="1:24" ht="12" customHeight="1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  <c r="V8280">
        <f t="shared" si="3895"/>
        <v>9</v>
      </c>
      <c r="W8280">
        <f t="shared" si="3892"/>
        <v>2</v>
      </c>
      <c r="X8280">
        <f t="shared" si="3893"/>
        <v>2011</v>
      </c>
    </row>
    <row r="8281" spans="1:24" ht="12" customHeight="1">
      <c r="A8281" s="4">
        <v>4518</v>
      </c>
      <c r="B8281" s="4">
        <v>32164</v>
      </c>
      <c r="C8281" s="5">
        <f t="shared" ref="C8281:C8283" si="390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905">C8281+1</f>
        <v>40212</v>
      </c>
      <c r="V8281">
        <f t="shared" si="3895"/>
        <v>3</v>
      </c>
      <c r="W8281">
        <f t="shared" si="3892"/>
        <v>2</v>
      </c>
      <c r="X8281">
        <f t="shared" si="3893"/>
        <v>2010</v>
      </c>
    </row>
    <row r="8282" spans="1:24" ht="12" customHeight="1">
      <c r="A8282" s="4">
        <v>4519</v>
      </c>
      <c r="B8282" s="4">
        <v>32164</v>
      </c>
      <c r="C8282" s="5">
        <f t="shared" si="390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905"/>
        <v>40212</v>
      </c>
      <c r="V8282">
        <f t="shared" si="3895"/>
        <v>3</v>
      </c>
      <c r="W8282">
        <f t="shared" si="3892"/>
        <v>2</v>
      </c>
      <c r="X8282">
        <f t="shared" si="3893"/>
        <v>2010</v>
      </c>
    </row>
    <row r="8283" spans="1:24" ht="12" customHeight="1">
      <c r="A8283" s="4">
        <v>4520</v>
      </c>
      <c r="B8283" s="4">
        <v>32164</v>
      </c>
      <c r="C8283" s="5">
        <f t="shared" si="390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905"/>
        <v>40212</v>
      </c>
      <c r="V8283">
        <f t="shared" si="3895"/>
        <v>3</v>
      </c>
      <c r="W8283">
        <f t="shared" si="3892"/>
        <v>2</v>
      </c>
      <c r="X8283">
        <f t="shared" si="3893"/>
        <v>2010</v>
      </c>
    </row>
    <row r="8284" spans="1:24" ht="12" customHeight="1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906">C8284+2</f>
        <v>40488</v>
      </c>
      <c r="V8284">
        <f t="shared" si="3895"/>
        <v>6</v>
      </c>
      <c r="W8284">
        <f t="shared" si="3892"/>
        <v>11</v>
      </c>
      <c r="X8284">
        <f t="shared" si="3893"/>
        <v>2010</v>
      </c>
    </row>
    <row r="8285" spans="1:24" ht="12" customHeight="1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906"/>
        <v>41019</v>
      </c>
      <c r="V8285">
        <f t="shared" si="3895"/>
        <v>20</v>
      </c>
      <c r="W8285">
        <f t="shared" si="3892"/>
        <v>4</v>
      </c>
      <c r="X8285">
        <f t="shared" si="3893"/>
        <v>2012</v>
      </c>
    </row>
    <row r="8286" spans="1:24" ht="12" customHeight="1">
      <c r="A8286" s="4">
        <v>4578</v>
      </c>
      <c r="B8286" s="4">
        <v>32610</v>
      </c>
      <c r="C8286" s="5">
        <f t="shared" ref="C8286:C8287" si="390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908">C8286+1</f>
        <v>41141</v>
      </c>
      <c r="V8286">
        <f t="shared" si="3895"/>
        <v>20</v>
      </c>
      <c r="W8286">
        <f t="shared" si="3892"/>
        <v>8</v>
      </c>
      <c r="X8286">
        <f t="shared" si="3893"/>
        <v>2012</v>
      </c>
    </row>
    <row r="8287" spans="1:24" ht="12" customHeight="1">
      <c r="A8287" s="4">
        <v>4579</v>
      </c>
      <c r="B8287" s="4">
        <v>32610</v>
      </c>
      <c r="C8287" s="5">
        <f t="shared" si="390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908"/>
        <v>41141</v>
      </c>
      <c r="V8287">
        <f t="shared" si="3895"/>
        <v>20</v>
      </c>
      <c r="W8287">
        <f t="shared" si="3892"/>
        <v>8</v>
      </c>
      <c r="X8287">
        <f t="shared" si="3893"/>
        <v>2012</v>
      </c>
    </row>
    <row r="8288" spans="1:24" ht="12" customHeight="1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909">C8288+0</f>
        <v>41168</v>
      </c>
      <c r="V8288">
        <f t="shared" si="3895"/>
        <v>16</v>
      </c>
      <c r="W8288">
        <f t="shared" si="3892"/>
        <v>9</v>
      </c>
      <c r="X8288">
        <f t="shared" si="3893"/>
        <v>2012</v>
      </c>
    </row>
    <row r="8289" spans="1:24" ht="12" customHeight="1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909"/>
        <v>40257</v>
      </c>
      <c r="V8289">
        <f t="shared" si="3895"/>
        <v>20</v>
      </c>
      <c r="W8289">
        <f t="shared" si="3892"/>
        <v>3</v>
      </c>
      <c r="X8289">
        <f t="shared" si="3893"/>
        <v>2010</v>
      </c>
    </row>
    <row r="8290" spans="1:24" ht="12" customHeight="1">
      <c r="A8290" s="4">
        <v>4750</v>
      </c>
      <c r="B8290" s="4">
        <v>33764</v>
      </c>
      <c r="C8290" s="5">
        <f t="shared" ref="C8290:C8291" si="391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  <c r="V8290">
        <f t="shared" si="3895"/>
        <v>12</v>
      </c>
      <c r="W8290">
        <f t="shared" si="3892"/>
        <v>2</v>
      </c>
      <c r="X8290">
        <f t="shared" si="3893"/>
        <v>2011</v>
      </c>
    </row>
    <row r="8291" spans="1:24" ht="12" customHeight="1">
      <c r="A8291" s="4">
        <v>4751</v>
      </c>
      <c r="B8291" s="4">
        <v>33764</v>
      </c>
      <c r="C8291" s="5">
        <f t="shared" si="391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  <c r="V8291">
        <f t="shared" si="3895"/>
        <v>11</v>
      </c>
      <c r="W8291">
        <f t="shared" si="3892"/>
        <v>2</v>
      </c>
      <c r="X8291">
        <f t="shared" si="3893"/>
        <v>2011</v>
      </c>
    </row>
    <row r="8292" spans="1:24" ht="12" customHeight="1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  <c r="V8292">
        <f t="shared" si="3895"/>
        <v>9</v>
      </c>
      <c r="W8292">
        <f t="shared" si="3892"/>
        <v>2</v>
      </c>
      <c r="X8292">
        <f t="shared" si="3893"/>
        <v>2012</v>
      </c>
    </row>
    <row r="8293" spans="1:24" ht="12" customHeight="1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  <c r="V8293">
        <f t="shared" si="3895"/>
        <v>19</v>
      </c>
      <c r="W8293">
        <f t="shared" si="3892"/>
        <v>7</v>
      </c>
      <c r="X8293">
        <f t="shared" si="3893"/>
        <v>2011</v>
      </c>
    </row>
    <row r="8294" spans="1:24" ht="12" customHeight="1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  <c r="V8294">
        <f t="shared" si="3895"/>
        <v>4</v>
      </c>
      <c r="W8294">
        <f t="shared" si="3892"/>
        <v>10</v>
      </c>
      <c r="X8294">
        <f t="shared" si="3893"/>
        <v>2010</v>
      </c>
    </row>
    <row r="8295" spans="1:24" ht="12" customHeight="1">
      <c r="A8295" s="4">
        <v>4987</v>
      </c>
      <c r="B8295" s="4">
        <v>35490</v>
      </c>
      <c r="C8295" s="5">
        <f t="shared" ref="C8295:C8296" si="391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912">C8295+2</f>
        <v>40521</v>
      </c>
      <c r="V8295">
        <f t="shared" si="3895"/>
        <v>9</v>
      </c>
      <c r="W8295">
        <f t="shared" si="3892"/>
        <v>12</v>
      </c>
      <c r="X8295">
        <f t="shared" si="3893"/>
        <v>2010</v>
      </c>
    </row>
    <row r="8296" spans="1:24" ht="12" customHeight="1">
      <c r="A8296" s="4">
        <v>4988</v>
      </c>
      <c r="B8296" s="4">
        <v>35490</v>
      </c>
      <c r="C8296" s="5">
        <f t="shared" si="391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912"/>
        <v>40521</v>
      </c>
      <c r="V8296">
        <f t="shared" si="3895"/>
        <v>9</v>
      </c>
      <c r="W8296">
        <f t="shared" si="3892"/>
        <v>12</v>
      </c>
      <c r="X8296">
        <f t="shared" si="3893"/>
        <v>2010</v>
      </c>
    </row>
    <row r="8297" spans="1:24" ht="12" customHeight="1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912"/>
        <v>40455</v>
      </c>
      <c r="V8297">
        <f t="shared" si="3895"/>
        <v>4</v>
      </c>
      <c r="W8297">
        <f t="shared" si="3892"/>
        <v>10</v>
      </c>
      <c r="X8297">
        <f t="shared" si="3893"/>
        <v>2010</v>
      </c>
    </row>
    <row r="8298" spans="1:24" ht="12" customHeight="1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912"/>
        <v>39895</v>
      </c>
      <c r="V8298">
        <f t="shared" si="3895"/>
        <v>23</v>
      </c>
      <c r="W8298">
        <f t="shared" si="3892"/>
        <v>3</v>
      </c>
      <c r="X8298">
        <f t="shared" si="3893"/>
        <v>2009</v>
      </c>
    </row>
    <row r="8299" spans="1:24" ht="12" customHeight="1">
      <c r="A8299" s="4">
        <v>5042</v>
      </c>
      <c r="B8299" s="4">
        <v>35936</v>
      </c>
      <c r="C8299" s="5">
        <f t="shared" ref="C8299:C8300" si="391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914">C8299+1</f>
        <v>39835</v>
      </c>
      <c r="V8299">
        <f t="shared" si="3895"/>
        <v>22</v>
      </c>
      <c r="W8299">
        <f t="shared" si="3892"/>
        <v>1</v>
      </c>
      <c r="X8299">
        <f t="shared" si="3893"/>
        <v>2009</v>
      </c>
    </row>
    <row r="8300" spans="1:24" ht="12" customHeight="1">
      <c r="A8300" s="4">
        <v>5043</v>
      </c>
      <c r="B8300" s="4">
        <v>35936</v>
      </c>
      <c r="C8300" s="5">
        <f t="shared" si="391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914"/>
        <v>39835</v>
      </c>
      <c r="V8300">
        <f t="shared" si="3895"/>
        <v>22</v>
      </c>
      <c r="W8300">
        <f t="shared" si="3892"/>
        <v>1</v>
      </c>
      <c r="X8300">
        <f t="shared" si="3893"/>
        <v>2009</v>
      </c>
    </row>
    <row r="8301" spans="1:24" ht="12" customHeight="1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  <c r="V8301">
        <f t="shared" si="3895"/>
        <v>29</v>
      </c>
      <c r="W8301">
        <f t="shared" si="3892"/>
        <v>2</v>
      </c>
      <c r="X8301">
        <f t="shared" si="3893"/>
        <v>2012</v>
      </c>
    </row>
    <row r="8302" spans="1:24" ht="12" customHeight="1">
      <c r="A8302" s="4">
        <v>5086</v>
      </c>
      <c r="B8302" s="4">
        <v>36262</v>
      </c>
      <c r="C8302" s="5">
        <f t="shared" ref="C8302:C8304" si="391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916">C8302+1</f>
        <v>40387</v>
      </c>
      <c r="V8302">
        <f t="shared" si="3895"/>
        <v>28</v>
      </c>
      <c r="W8302">
        <f t="shared" si="3892"/>
        <v>7</v>
      </c>
      <c r="X8302">
        <f t="shared" si="3893"/>
        <v>2010</v>
      </c>
    </row>
    <row r="8303" spans="1:24" ht="12" customHeight="1">
      <c r="A8303" s="4">
        <v>5087</v>
      </c>
      <c r="B8303" s="4">
        <v>36262</v>
      </c>
      <c r="C8303" s="5">
        <f t="shared" si="391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916"/>
        <v>40387</v>
      </c>
      <c r="V8303">
        <f t="shared" si="3895"/>
        <v>28</v>
      </c>
      <c r="W8303">
        <f t="shared" si="3892"/>
        <v>7</v>
      </c>
      <c r="X8303">
        <f t="shared" si="3893"/>
        <v>2010</v>
      </c>
    </row>
    <row r="8304" spans="1:24" ht="12" customHeight="1">
      <c r="A8304" s="4">
        <v>5088</v>
      </c>
      <c r="B8304" s="4">
        <v>36262</v>
      </c>
      <c r="C8304" s="5">
        <f t="shared" si="391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  <c r="V8304">
        <f t="shared" si="3895"/>
        <v>27</v>
      </c>
      <c r="W8304">
        <f t="shared" si="3892"/>
        <v>7</v>
      </c>
      <c r="X8304">
        <f t="shared" si="3893"/>
        <v>2010</v>
      </c>
    </row>
    <row r="8305" spans="1:24" ht="12" customHeight="1">
      <c r="A8305" s="4">
        <v>5089</v>
      </c>
      <c r="B8305" s="4">
        <v>36292</v>
      </c>
      <c r="C8305" s="5">
        <f t="shared" ref="C8305:C8306" si="391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  <c r="V8305">
        <f t="shared" si="3895"/>
        <v>8</v>
      </c>
      <c r="W8305">
        <f t="shared" si="3892"/>
        <v>2</v>
      </c>
      <c r="X8305">
        <f t="shared" si="3893"/>
        <v>2010</v>
      </c>
    </row>
    <row r="8306" spans="1:24" ht="12" customHeight="1">
      <c r="A8306" s="4">
        <v>5090</v>
      </c>
      <c r="B8306" s="4">
        <v>36292</v>
      </c>
      <c r="C8306" s="5">
        <f t="shared" si="391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  <c r="V8306">
        <f t="shared" si="3895"/>
        <v>7</v>
      </c>
      <c r="W8306">
        <f t="shared" si="3892"/>
        <v>2</v>
      </c>
      <c r="X8306">
        <f t="shared" si="3893"/>
        <v>2010</v>
      </c>
    </row>
    <row r="8307" spans="1:24" ht="12" customHeight="1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918">C8307+1</f>
        <v>40923</v>
      </c>
      <c r="V8307">
        <f t="shared" si="3895"/>
        <v>15</v>
      </c>
      <c r="W8307">
        <f t="shared" si="3892"/>
        <v>1</v>
      </c>
      <c r="X8307">
        <f t="shared" si="3893"/>
        <v>2012</v>
      </c>
    </row>
    <row r="8308" spans="1:24" ht="12" customHeight="1">
      <c r="A8308" s="4">
        <v>5122</v>
      </c>
      <c r="B8308" s="4">
        <v>36482</v>
      </c>
      <c r="C8308" s="5">
        <f t="shared" ref="C8308:C8310" si="391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918"/>
        <v>40730</v>
      </c>
      <c r="V8308">
        <f t="shared" si="3895"/>
        <v>6</v>
      </c>
      <c r="W8308">
        <f t="shared" si="3892"/>
        <v>7</v>
      </c>
      <c r="X8308">
        <f t="shared" si="3893"/>
        <v>2011</v>
      </c>
    </row>
    <row r="8309" spans="1:24" ht="12" customHeight="1">
      <c r="A8309" s="4">
        <v>5123</v>
      </c>
      <c r="B8309" s="4">
        <v>36482</v>
      </c>
      <c r="C8309" s="5">
        <f t="shared" si="391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918"/>
        <v>40730</v>
      </c>
      <c r="V8309">
        <f t="shared" si="3895"/>
        <v>6</v>
      </c>
      <c r="W8309">
        <f t="shared" si="3892"/>
        <v>7</v>
      </c>
      <c r="X8309">
        <f t="shared" si="3893"/>
        <v>2011</v>
      </c>
    </row>
    <row r="8310" spans="1:24" ht="12" customHeight="1">
      <c r="A8310" s="4">
        <v>5124</v>
      </c>
      <c r="B8310" s="4">
        <v>36482</v>
      </c>
      <c r="C8310" s="5">
        <f t="shared" si="391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  <c r="V8310">
        <f t="shared" si="3895"/>
        <v>7</v>
      </c>
      <c r="W8310">
        <f t="shared" si="3892"/>
        <v>7</v>
      </c>
      <c r="X8310">
        <f t="shared" si="3893"/>
        <v>2011</v>
      </c>
    </row>
    <row r="8311" spans="1:24" ht="12" customHeight="1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  <c r="V8311">
        <f t="shared" si="3895"/>
        <v>15</v>
      </c>
      <c r="W8311">
        <f t="shared" si="3892"/>
        <v>5</v>
      </c>
      <c r="X8311">
        <f t="shared" si="3893"/>
        <v>2010</v>
      </c>
    </row>
    <row r="8312" spans="1:24" ht="12" customHeight="1">
      <c r="A8312" s="4">
        <v>5206</v>
      </c>
      <c r="B8312" s="4">
        <v>36998</v>
      </c>
      <c r="C8312" s="5">
        <f t="shared" ref="C8312:C8314" si="392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  <c r="V8312">
        <f t="shared" si="3895"/>
        <v>4</v>
      </c>
      <c r="W8312">
        <f t="shared" si="3892"/>
        <v>10</v>
      </c>
      <c r="X8312">
        <f t="shared" si="3893"/>
        <v>2012</v>
      </c>
    </row>
    <row r="8313" spans="1:24" ht="12" customHeight="1">
      <c r="A8313" s="4">
        <v>5207</v>
      </c>
      <c r="B8313" s="4">
        <v>36998</v>
      </c>
      <c r="C8313" s="5">
        <f t="shared" si="392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  <c r="V8313">
        <f t="shared" si="3895"/>
        <v>6</v>
      </c>
      <c r="W8313">
        <f t="shared" si="3892"/>
        <v>10</v>
      </c>
      <c r="X8313">
        <f t="shared" si="3893"/>
        <v>2012</v>
      </c>
    </row>
    <row r="8314" spans="1:24" ht="12" customHeight="1">
      <c r="A8314" s="4">
        <v>5208</v>
      </c>
      <c r="B8314" s="4">
        <v>36998</v>
      </c>
      <c r="C8314" s="5">
        <f t="shared" si="392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  <c r="V8314">
        <f t="shared" si="3895"/>
        <v>1</v>
      </c>
      <c r="W8314">
        <f t="shared" si="3892"/>
        <v>10</v>
      </c>
      <c r="X8314">
        <f t="shared" si="3893"/>
        <v>2012</v>
      </c>
    </row>
    <row r="8315" spans="1:24" ht="12" customHeight="1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  <c r="V8315">
        <f t="shared" si="3895"/>
        <v>14</v>
      </c>
      <c r="W8315">
        <f t="shared" si="3892"/>
        <v>3</v>
      </c>
      <c r="X8315">
        <f t="shared" si="3893"/>
        <v>2009</v>
      </c>
    </row>
    <row r="8316" spans="1:24" ht="12" customHeight="1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921">C8316+2</f>
        <v>40031</v>
      </c>
      <c r="V8316">
        <f t="shared" si="3895"/>
        <v>6</v>
      </c>
      <c r="W8316">
        <f t="shared" si="3892"/>
        <v>8</v>
      </c>
      <c r="X8316">
        <f t="shared" si="3893"/>
        <v>2009</v>
      </c>
    </row>
    <row r="8317" spans="1:24" ht="12" customHeight="1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921"/>
        <v>40034</v>
      </c>
      <c r="V8317">
        <f t="shared" si="3895"/>
        <v>9</v>
      </c>
      <c r="W8317">
        <f t="shared" si="3892"/>
        <v>8</v>
      </c>
      <c r="X8317">
        <f t="shared" si="3893"/>
        <v>2009</v>
      </c>
    </row>
    <row r="8318" spans="1:24" ht="12" customHeight="1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  <c r="V8318">
        <f t="shared" si="3895"/>
        <v>2</v>
      </c>
      <c r="W8318">
        <f t="shared" si="3892"/>
        <v>10</v>
      </c>
      <c r="X8318">
        <f t="shared" si="3893"/>
        <v>2010</v>
      </c>
    </row>
    <row r="8319" spans="1:24" ht="12" customHeight="1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  <c r="V8319">
        <f t="shared" si="3895"/>
        <v>11</v>
      </c>
      <c r="W8319">
        <f t="shared" si="3892"/>
        <v>11</v>
      </c>
      <c r="X8319">
        <f t="shared" si="3893"/>
        <v>2010</v>
      </c>
    </row>
    <row r="8320" spans="1:24" ht="12" customHeight="1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  <c r="V8320">
        <f t="shared" si="3895"/>
        <v>3</v>
      </c>
      <c r="W8320">
        <f t="shared" si="3892"/>
        <v>2</v>
      </c>
      <c r="X8320">
        <f t="shared" si="3893"/>
        <v>2012</v>
      </c>
    </row>
    <row r="8321" spans="1:24" ht="12" customHeight="1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  <c r="V8321">
        <f t="shared" si="3895"/>
        <v>23</v>
      </c>
      <c r="W8321">
        <f t="shared" si="3892"/>
        <v>5</v>
      </c>
      <c r="X8321">
        <f t="shared" si="3893"/>
        <v>2011</v>
      </c>
    </row>
    <row r="8322" spans="1:24" ht="12" customHeight="1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  <c r="V8322">
        <f t="shared" si="3895"/>
        <v>11</v>
      </c>
      <c r="W8322">
        <f t="shared" si="3892"/>
        <v>3</v>
      </c>
      <c r="X8322">
        <f t="shared" si="3893"/>
        <v>2011</v>
      </c>
    </row>
    <row r="8323" spans="1:24" ht="12" customHeight="1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  <c r="V8323">
        <f t="shared" si="3895"/>
        <v>16</v>
      </c>
      <c r="W8323">
        <f t="shared" ref="W8323:W8386" si="3922">MONTH(U8323)</f>
        <v>2</v>
      </c>
      <c r="X8323">
        <f t="shared" ref="X8323:X8386" si="3923">YEAR(U8323)</f>
        <v>2009</v>
      </c>
    </row>
    <row r="8324" spans="1:24" ht="12" customHeight="1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  <c r="V8324">
        <f t="shared" ref="V8324:V8387" si="3924">DAY(U8324)</f>
        <v>23</v>
      </c>
      <c r="W8324">
        <f t="shared" si="3922"/>
        <v>12</v>
      </c>
      <c r="X8324">
        <f t="shared" si="3923"/>
        <v>2010</v>
      </c>
    </row>
    <row r="8325" spans="1:24" ht="12" customHeight="1">
      <c r="A8325" s="4">
        <v>5753</v>
      </c>
      <c r="B8325" s="4">
        <v>40838</v>
      </c>
      <c r="C8325" s="5">
        <f t="shared" ref="C8325:C8326" si="3925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  <c r="V8325">
        <f t="shared" si="3924"/>
        <v>29</v>
      </c>
      <c r="W8325">
        <f t="shared" si="3922"/>
        <v>11</v>
      </c>
      <c r="X8325">
        <f t="shared" si="3923"/>
        <v>2012</v>
      </c>
    </row>
    <row r="8326" spans="1:24" ht="12" customHeight="1">
      <c r="A8326" s="4">
        <v>5754</v>
      </c>
      <c r="B8326" s="4">
        <v>40838</v>
      </c>
      <c r="C8326" s="5">
        <f t="shared" si="3925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  <c r="V8326">
        <f t="shared" si="3924"/>
        <v>27</v>
      </c>
      <c r="W8326">
        <f t="shared" si="3922"/>
        <v>11</v>
      </c>
      <c r="X8326">
        <f t="shared" si="3923"/>
        <v>2012</v>
      </c>
    </row>
    <row r="8327" spans="1:24" ht="12" customHeight="1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  <c r="V8327">
        <f t="shared" si="3924"/>
        <v>19</v>
      </c>
      <c r="W8327">
        <f t="shared" si="3922"/>
        <v>7</v>
      </c>
      <c r="X8327">
        <f t="shared" si="3923"/>
        <v>2009</v>
      </c>
    </row>
    <row r="8328" spans="1:24" ht="12" customHeight="1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  <c r="V8328">
        <f t="shared" si="3924"/>
        <v>25</v>
      </c>
      <c r="W8328">
        <f t="shared" si="3922"/>
        <v>10</v>
      </c>
      <c r="X8328">
        <f t="shared" si="3923"/>
        <v>2009</v>
      </c>
    </row>
    <row r="8329" spans="1:24" ht="12" customHeight="1">
      <c r="A8329" s="4">
        <v>5882</v>
      </c>
      <c r="B8329" s="4">
        <v>41760</v>
      </c>
      <c r="C8329" s="5">
        <f t="shared" ref="C8329:C8332" si="3926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  <c r="V8329">
        <f t="shared" si="3924"/>
        <v>1</v>
      </c>
      <c r="W8329">
        <f t="shared" si="3922"/>
        <v>2</v>
      </c>
      <c r="X8329">
        <f t="shared" si="3923"/>
        <v>2012</v>
      </c>
    </row>
    <row r="8330" spans="1:24" ht="12" customHeight="1">
      <c r="A8330" s="4">
        <v>5883</v>
      </c>
      <c r="B8330" s="4">
        <v>41760</v>
      </c>
      <c r="C8330" s="5">
        <f t="shared" si="3926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  <c r="V8330">
        <f t="shared" si="3924"/>
        <v>3</v>
      </c>
      <c r="W8330">
        <f t="shared" si="3922"/>
        <v>2</v>
      </c>
      <c r="X8330">
        <f t="shared" si="3923"/>
        <v>2012</v>
      </c>
    </row>
    <row r="8331" spans="1:24" ht="12" customHeight="1">
      <c r="A8331" s="4">
        <v>5884</v>
      </c>
      <c r="B8331" s="4">
        <v>41760</v>
      </c>
      <c r="C8331" s="5">
        <f t="shared" si="3926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927">C8331+5</f>
        <v>40940</v>
      </c>
      <c r="V8331">
        <f t="shared" si="3924"/>
        <v>1</v>
      </c>
      <c r="W8331">
        <f t="shared" si="3922"/>
        <v>2</v>
      </c>
      <c r="X8331">
        <f t="shared" si="3923"/>
        <v>2012</v>
      </c>
    </row>
    <row r="8332" spans="1:24" ht="12" customHeight="1">
      <c r="A8332" s="4">
        <v>5885</v>
      </c>
      <c r="B8332" s="4">
        <v>41760</v>
      </c>
      <c r="C8332" s="5">
        <f t="shared" si="3926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927"/>
        <v>40940</v>
      </c>
      <c r="V8332">
        <f t="shared" si="3924"/>
        <v>1</v>
      </c>
      <c r="W8332">
        <f t="shared" si="3922"/>
        <v>2</v>
      </c>
      <c r="X8332">
        <f t="shared" si="3923"/>
        <v>2012</v>
      </c>
    </row>
    <row r="8333" spans="1:24" ht="12" customHeight="1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  <c r="V8333">
        <f t="shared" si="3924"/>
        <v>22</v>
      </c>
      <c r="W8333">
        <f t="shared" si="3922"/>
        <v>12</v>
      </c>
      <c r="X8333">
        <f t="shared" si="3923"/>
        <v>2009</v>
      </c>
    </row>
    <row r="8334" spans="1:24" ht="12" customHeight="1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  <c r="V8334">
        <f t="shared" si="3924"/>
        <v>1</v>
      </c>
      <c r="W8334">
        <f t="shared" si="3922"/>
        <v>8</v>
      </c>
      <c r="X8334">
        <f t="shared" si="3923"/>
        <v>2012</v>
      </c>
    </row>
    <row r="8335" spans="1:24" ht="12" customHeight="1">
      <c r="A8335" s="4">
        <v>6111</v>
      </c>
      <c r="B8335" s="4">
        <v>43298</v>
      </c>
      <c r="C8335" s="5">
        <f t="shared" ref="C8335:C8336" si="3928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929">C8335+2</f>
        <v>40736</v>
      </c>
      <c r="V8335">
        <f t="shared" si="3924"/>
        <v>12</v>
      </c>
      <c r="W8335">
        <f t="shared" si="3922"/>
        <v>7</v>
      </c>
      <c r="X8335">
        <f t="shared" si="3923"/>
        <v>2011</v>
      </c>
    </row>
    <row r="8336" spans="1:24" ht="12" customHeight="1">
      <c r="A8336" s="4">
        <v>6112</v>
      </c>
      <c r="B8336" s="4">
        <v>43298</v>
      </c>
      <c r="C8336" s="5">
        <f t="shared" si="3928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929"/>
        <v>40736</v>
      </c>
      <c r="V8336">
        <f t="shared" si="3924"/>
        <v>12</v>
      </c>
      <c r="W8336">
        <f t="shared" si="3922"/>
        <v>7</v>
      </c>
      <c r="X8336">
        <f t="shared" si="3923"/>
        <v>2011</v>
      </c>
    </row>
    <row r="8337" spans="1:24" ht="12" customHeight="1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  <c r="V8337">
        <f t="shared" si="3924"/>
        <v>29</v>
      </c>
      <c r="W8337">
        <f t="shared" si="3922"/>
        <v>6</v>
      </c>
      <c r="X8337">
        <f t="shared" si="3923"/>
        <v>2011</v>
      </c>
    </row>
    <row r="8338" spans="1:24" ht="12" customHeight="1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  <c r="V8338">
        <f t="shared" si="3924"/>
        <v>29</v>
      </c>
      <c r="W8338">
        <f t="shared" si="3922"/>
        <v>11</v>
      </c>
      <c r="X8338">
        <f t="shared" si="3923"/>
        <v>2010</v>
      </c>
    </row>
    <row r="8339" spans="1:24" ht="12" customHeight="1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  <c r="V8339">
        <f t="shared" si="3924"/>
        <v>14</v>
      </c>
      <c r="W8339">
        <f t="shared" si="3922"/>
        <v>9</v>
      </c>
      <c r="X8339">
        <f t="shared" si="3923"/>
        <v>2010</v>
      </c>
    </row>
    <row r="8340" spans="1:24" ht="12" customHeight="1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  <c r="V8340">
        <f t="shared" si="3924"/>
        <v>17</v>
      </c>
      <c r="W8340">
        <f t="shared" si="3922"/>
        <v>4</v>
      </c>
      <c r="X8340">
        <f t="shared" si="3923"/>
        <v>2010</v>
      </c>
    </row>
    <row r="8341" spans="1:24" ht="12" customHeight="1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  <c r="V8341">
        <f t="shared" si="3924"/>
        <v>14</v>
      </c>
      <c r="W8341">
        <f t="shared" si="3922"/>
        <v>8</v>
      </c>
      <c r="X8341">
        <f t="shared" si="3923"/>
        <v>2012</v>
      </c>
    </row>
    <row r="8342" spans="1:24" ht="12" customHeight="1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  <c r="V8342">
        <f t="shared" si="3924"/>
        <v>20</v>
      </c>
      <c r="W8342">
        <f t="shared" si="3922"/>
        <v>9</v>
      </c>
      <c r="X8342">
        <f t="shared" si="3923"/>
        <v>2009</v>
      </c>
    </row>
    <row r="8343" spans="1:24" ht="12" customHeight="1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  <c r="V8343">
        <f t="shared" si="3924"/>
        <v>9</v>
      </c>
      <c r="W8343">
        <f t="shared" si="3922"/>
        <v>3</v>
      </c>
      <c r="X8343">
        <f t="shared" si="3923"/>
        <v>2012</v>
      </c>
    </row>
    <row r="8344" spans="1:24" ht="12" customHeight="1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  <c r="V8344">
        <f t="shared" si="3924"/>
        <v>9</v>
      </c>
      <c r="W8344">
        <f t="shared" si="3922"/>
        <v>8</v>
      </c>
      <c r="X8344">
        <f t="shared" si="3923"/>
        <v>2010</v>
      </c>
    </row>
    <row r="8345" spans="1:24" ht="12" customHeight="1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930">C8345+2</f>
        <v>40942</v>
      </c>
      <c r="V8345">
        <f t="shared" si="3924"/>
        <v>3</v>
      </c>
      <c r="W8345">
        <f t="shared" si="3922"/>
        <v>2</v>
      </c>
      <c r="X8345">
        <f t="shared" si="3923"/>
        <v>2012</v>
      </c>
    </row>
    <row r="8346" spans="1:24" ht="12" customHeight="1">
      <c r="A8346" s="4">
        <v>7090</v>
      </c>
      <c r="B8346" s="4">
        <v>50594</v>
      </c>
      <c r="C8346" s="5">
        <f t="shared" ref="C8346:C8347" si="3931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930"/>
        <v>40317</v>
      </c>
      <c r="V8346">
        <f t="shared" si="3924"/>
        <v>19</v>
      </c>
      <c r="W8346">
        <f t="shared" si="3922"/>
        <v>5</v>
      </c>
      <c r="X8346">
        <f t="shared" si="3923"/>
        <v>2010</v>
      </c>
    </row>
    <row r="8347" spans="1:24" ht="12" customHeight="1">
      <c r="A8347" s="4">
        <v>7091</v>
      </c>
      <c r="B8347" s="4">
        <v>50594</v>
      </c>
      <c r="C8347" s="5">
        <f t="shared" si="3931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  <c r="V8347">
        <f t="shared" si="3924"/>
        <v>26</v>
      </c>
      <c r="W8347">
        <f t="shared" si="3922"/>
        <v>5</v>
      </c>
      <c r="X8347">
        <f t="shared" si="3923"/>
        <v>2010</v>
      </c>
    </row>
    <row r="8348" spans="1:24" ht="12" customHeight="1">
      <c r="A8348" s="4">
        <v>7109</v>
      </c>
      <c r="B8348" s="4">
        <v>50726</v>
      </c>
      <c r="C8348" s="5">
        <f t="shared" ref="C8348:C8349" si="3932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  <c r="V8348">
        <f t="shared" si="3924"/>
        <v>4</v>
      </c>
      <c r="W8348">
        <f t="shared" si="3922"/>
        <v>11</v>
      </c>
      <c r="X8348">
        <f t="shared" si="3923"/>
        <v>2011</v>
      </c>
    </row>
    <row r="8349" spans="1:24" ht="12" customHeight="1">
      <c r="A8349" s="4">
        <v>7110</v>
      </c>
      <c r="B8349" s="4">
        <v>50726</v>
      </c>
      <c r="C8349" s="5">
        <f t="shared" si="3932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  <c r="V8349">
        <f t="shared" si="3924"/>
        <v>31</v>
      </c>
      <c r="W8349">
        <f t="shared" si="3922"/>
        <v>10</v>
      </c>
      <c r="X8349">
        <f t="shared" si="3923"/>
        <v>2011</v>
      </c>
    </row>
    <row r="8350" spans="1:24" ht="12" customHeight="1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  <c r="V8350">
        <f t="shared" si="3924"/>
        <v>18</v>
      </c>
      <c r="W8350">
        <f t="shared" si="3922"/>
        <v>7</v>
      </c>
      <c r="X8350">
        <f t="shared" si="3923"/>
        <v>2011</v>
      </c>
    </row>
    <row r="8351" spans="1:24" ht="12" customHeight="1">
      <c r="A8351" s="4">
        <v>7206</v>
      </c>
      <c r="B8351" s="4">
        <v>51424</v>
      </c>
      <c r="C8351" s="5">
        <f t="shared" ref="C8351:C8352" si="3933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  <c r="V8351">
        <f t="shared" si="3924"/>
        <v>10</v>
      </c>
      <c r="W8351">
        <f t="shared" si="3922"/>
        <v>1</v>
      </c>
      <c r="X8351">
        <f t="shared" si="3923"/>
        <v>2012</v>
      </c>
    </row>
    <row r="8352" spans="1:24" ht="12" customHeight="1">
      <c r="A8352" s="4">
        <v>7207</v>
      </c>
      <c r="B8352" s="4">
        <v>51424</v>
      </c>
      <c r="C8352" s="5">
        <f t="shared" si="3933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  <c r="V8352">
        <f t="shared" si="3924"/>
        <v>11</v>
      </c>
      <c r="W8352">
        <f t="shared" si="3922"/>
        <v>1</v>
      </c>
      <c r="X8352">
        <f t="shared" si="3923"/>
        <v>2012</v>
      </c>
    </row>
    <row r="8353" spans="1:24" ht="12" customHeight="1">
      <c r="A8353" s="4">
        <v>7268</v>
      </c>
      <c r="B8353" s="4">
        <v>51872</v>
      </c>
      <c r="C8353" s="5">
        <f t="shared" ref="C8353:C8355" si="3934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  <c r="V8353">
        <f t="shared" si="3924"/>
        <v>24</v>
      </c>
      <c r="W8353">
        <f t="shared" si="3922"/>
        <v>4</v>
      </c>
      <c r="X8353">
        <f t="shared" si="3923"/>
        <v>2012</v>
      </c>
    </row>
    <row r="8354" spans="1:24" ht="12" customHeight="1">
      <c r="A8354" s="4">
        <v>7269</v>
      </c>
      <c r="B8354" s="4">
        <v>51872</v>
      </c>
      <c r="C8354" s="5">
        <f t="shared" si="3934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  <c r="V8354">
        <f t="shared" si="3924"/>
        <v>25</v>
      </c>
      <c r="W8354">
        <f t="shared" si="3922"/>
        <v>4</v>
      </c>
      <c r="X8354">
        <f t="shared" si="3923"/>
        <v>2012</v>
      </c>
    </row>
    <row r="8355" spans="1:24" ht="12" customHeight="1">
      <c r="A8355" s="4">
        <v>7270</v>
      </c>
      <c r="B8355" s="4">
        <v>51872</v>
      </c>
      <c r="C8355" s="5">
        <f t="shared" si="3934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  <c r="V8355">
        <f t="shared" si="3924"/>
        <v>26</v>
      </c>
      <c r="W8355">
        <f t="shared" si="3922"/>
        <v>4</v>
      </c>
      <c r="X8355">
        <f t="shared" si="3923"/>
        <v>2012</v>
      </c>
    </row>
    <row r="8356" spans="1:24" ht="12" customHeight="1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  <c r="V8356">
        <f t="shared" si="3924"/>
        <v>1</v>
      </c>
      <c r="W8356">
        <f t="shared" si="3922"/>
        <v>9</v>
      </c>
      <c r="X8356">
        <f t="shared" si="3923"/>
        <v>2012</v>
      </c>
    </row>
    <row r="8357" spans="1:24" ht="12" customHeight="1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935">C8357+1</f>
        <v>41003</v>
      </c>
      <c r="V8357">
        <f t="shared" si="3924"/>
        <v>4</v>
      </c>
      <c r="W8357">
        <f t="shared" si="3922"/>
        <v>4</v>
      </c>
      <c r="X8357">
        <f t="shared" si="3923"/>
        <v>2012</v>
      </c>
    </row>
    <row r="8358" spans="1:24" ht="12" customHeight="1">
      <c r="A8358" s="4">
        <v>7390</v>
      </c>
      <c r="B8358" s="4">
        <v>52673</v>
      </c>
      <c r="C8358" s="5">
        <f t="shared" ref="C8358:C8359" si="3936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935"/>
        <v>41038</v>
      </c>
      <c r="V8358">
        <f t="shared" si="3924"/>
        <v>9</v>
      </c>
      <c r="W8358">
        <f t="shared" si="3922"/>
        <v>5</v>
      </c>
      <c r="X8358">
        <f t="shared" si="3923"/>
        <v>2012</v>
      </c>
    </row>
    <row r="8359" spans="1:24" ht="12" customHeight="1">
      <c r="A8359" s="4">
        <v>7391</v>
      </c>
      <c r="B8359" s="4">
        <v>52673</v>
      </c>
      <c r="C8359" s="5">
        <f t="shared" si="3936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  <c r="V8359">
        <f t="shared" si="3924"/>
        <v>10</v>
      </c>
      <c r="W8359">
        <f t="shared" si="3922"/>
        <v>5</v>
      </c>
      <c r="X8359">
        <f t="shared" si="3923"/>
        <v>2012</v>
      </c>
    </row>
    <row r="8360" spans="1:24" ht="12" customHeight="1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  <c r="V8360">
        <f t="shared" si="3924"/>
        <v>3</v>
      </c>
      <c r="W8360">
        <f t="shared" si="3922"/>
        <v>3</v>
      </c>
      <c r="X8360">
        <f t="shared" si="3923"/>
        <v>2012</v>
      </c>
    </row>
    <row r="8361" spans="1:24" ht="12" customHeight="1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  <c r="V8361">
        <f t="shared" si="3924"/>
        <v>8</v>
      </c>
      <c r="W8361">
        <f t="shared" si="3922"/>
        <v>7</v>
      </c>
      <c r="X8361">
        <f t="shared" si="3923"/>
        <v>2009</v>
      </c>
    </row>
    <row r="8362" spans="1:24" ht="12" customHeight="1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937">C8362+2</f>
        <v>40364</v>
      </c>
      <c r="V8362">
        <f t="shared" si="3924"/>
        <v>5</v>
      </c>
      <c r="W8362">
        <f t="shared" si="3922"/>
        <v>7</v>
      </c>
      <c r="X8362">
        <f t="shared" si="3923"/>
        <v>2010</v>
      </c>
    </row>
    <row r="8363" spans="1:24" ht="12" customHeight="1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937"/>
        <v>40241</v>
      </c>
      <c r="V8363">
        <f t="shared" si="3924"/>
        <v>4</v>
      </c>
      <c r="W8363">
        <f t="shared" si="3922"/>
        <v>3</v>
      </c>
      <c r="X8363">
        <f t="shared" si="3923"/>
        <v>2010</v>
      </c>
    </row>
    <row r="8364" spans="1:24" ht="12" customHeight="1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  <c r="V8364">
        <f t="shared" si="3924"/>
        <v>16</v>
      </c>
      <c r="W8364">
        <f t="shared" si="3922"/>
        <v>2</v>
      </c>
      <c r="X8364">
        <f t="shared" si="3923"/>
        <v>2009</v>
      </c>
    </row>
    <row r="8365" spans="1:24" ht="12" customHeight="1">
      <c r="A8365" s="4">
        <v>7878</v>
      </c>
      <c r="B8365" s="4">
        <v>56327</v>
      </c>
      <c r="C8365" s="5">
        <f t="shared" ref="C8365:C8367" si="3938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  <c r="V8365">
        <f t="shared" si="3924"/>
        <v>12</v>
      </c>
      <c r="W8365">
        <f t="shared" si="3922"/>
        <v>1</v>
      </c>
      <c r="X8365">
        <f t="shared" si="3923"/>
        <v>2010</v>
      </c>
    </row>
    <row r="8366" spans="1:24" ht="12" customHeight="1">
      <c r="A8366" s="4">
        <v>7879</v>
      </c>
      <c r="B8366" s="4">
        <v>56327</v>
      </c>
      <c r="C8366" s="5">
        <f t="shared" si="3938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  <c r="V8366">
        <f t="shared" si="3924"/>
        <v>13</v>
      </c>
      <c r="W8366">
        <f t="shared" si="3922"/>
        <v>1</v>
      </c>
      <c r="X8366">
        <f t="shared" si="3923"/>
        <v>2010</v>
      </c>
    </row>
    <row r="8367" spans="1:24" ht="12" customHeight="1">
      <c r="A8367" s="4">
        <v>7880</v>
      </c>
      <c r="B8367" s="4">
        <v>56327</v>
      </c>
      <c r="C8367" s="5">
        <f t="shared" si="3938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939">C8367+1</f>
        <v>40190</v>
      </c>
      <c r="V8367">
        <f t="shared" si="3924"/>
        <v>12</v>
      </c>
      <c r="W8367">
        <f t="shared" si="3922"/>
        <v>1</v>
      </c>
      <c r="X8367">
        <f t="shared" si="3923"/>
        <v>2010</v>
      </c>
    </row>
    <row r="8368" spans="1:24" ht="12" customHeight="1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939"/>
        <v>40128</v>
      </c>
      <c r="V8368">
        <f t="shared" si="3924"/>
        <v>11</v>
      </c>
      <c r="W8368">
        <f t="shared" si="3922"/>
        <v>11</v>
      </c>
      <c r="X8368">
        <f t="shared" si="3923"/>
        <v>2009</v>
      </c>
    </row>
    <row r="8369" spans="1:24" ht="12" customHeight="1">
      <c r="A8369" s="4">
        <v>7991</v>
      </c>
      <c r="B8369" s="4">
        <v>57125</v>
      </c>
      <c r="C8369" s="5">
        <f t="shared" ref="C8369:C8370" si="3940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941">C8369+2</f>
        <v>40334</v>
      </c>
      <c r="V8369">
        <f t="shared" si="3924"/>
        <v>5</v>
      </c>
      <c r="W8369">
        <f t="shared" si="3922"/>
        <v>6</v>
      </c>
      <c r="X8369">
        <f t="shared" si="3923"/>
        <v>2010</v>
      </c>
    </row>
    <row r="8370" spans="1:24" ht="12" customHeight="1">
      <c r="A8370" s="4">
        <v>7992</v>
      </c>
      <c r="B8370" s="4">
        <v>57125</v>
      </c>
      <c r="C8370" s="5">
        <f t="shared" si="3940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941"/>
        <v>40334</v>
      </c>
      <c r="V8370">
        <f t="shared" si="3924"/>
        <v>5</v>
      </c>
      <c r="W8370">
        <f t="shared" si="3922"/>
        <v>6</v>
      </c>
      <c r="X8370">
        <f t="shared" si="3923"/>
        <v>2010</v>
      </c>
    </row>
    <row r="8371" spans="1:24" ht="12" customHeight="1">
      <c r="A8371" s="4">
        <v>7994</v>
      </c>
      <c r="B8371" s="4">
        <v>57152</v>
      </c>
      <c r="C8371" s="5">
        <f t="shared" ref="C8371:C8372" si="3942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  <c r="V8371">
        <f t="shared" si="3924"/>
        <v>3</v>
      </c>
      <c r="W8371">
        <f t="shared" si="3922"/>
        <v>9</v>
      </c>
      <c r="X8371">
        <f t="shared" si="3923"/>
        <v>2012</v>
      </c>
    </row>
    <row r="8372" spans="1:24" ht="12" customHeight="1">
      <c r="A8372" s="4">
        <v>7995</v>
      </c>
      <c r="B8372" s="4">
        <v>57152</v>
      </c>
      <c r="C8372" s="5">
        <f t="shared" si="3942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  <c r="V8372">
        <f t="shared" si="3924"/>
        <v>10</v>
      </c>
      <c r="W8372">
        <f t="shared" si="3922"/>
        <v>9</v>
      </c>
      <c r="X8372">
        <f t="shared" si="3923"/>
        <v>2012</v>
      </c>
    </row>
    <row r="8373" spans="1:24" ht="12" customHeight="1">
      <c r="A8373" s="4">
        <v>8006</v>
      </c>
      <c r="B8373" s="4">
        <v>57216</v>
      </c>
      <c r="C8373" s="5">
        <f t="shared" ref="C8373:C8374" si="3943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  <c r="V8373">
        <f t="shared" si="3924"/>
        <v>29</v>
      </c>
      <c r="W8373">
        <f t="shared" si="3922"/>
        <v>7</v>
      </c>
      <c r="X8373">
        <f t="shared" si="3923"/>
        <v>2010</v>
      </c>
    </row>
    <row r="8374" spans="1:24" ht="12" customHeight="1">
      <c r="A8374" s="4">
        <v>8007</v>
      </c>
      <c r="B8374" s="4">
        <v>57216</v>
      </c>
      <c r="C8374" s="5">
        <f t="shared" si="3943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  <c r="V8374">
        <f t="shared" si="3924"/>
        <v>31</v>
      </c>
      <c r="W8374">
        <f t="shared" si="3922"/>
        <v>7</v>
      </c>
      <c r="X8374">
        <f t="shared" si="3923"/>
        <v>2010</v>
      </c>
    </row>
    <row r="8375" spans="1:24" ht="12" customHeight="1">
      <c r="A8375" s="4">
        <v>8017</v>
      </c>
      <c r="B8375" s="4">
        <v>57281</v>
      </c>
      <c r="C8375" s="5">
        <f t="shared" ref="C8375:C8376" si="3944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  <c r="V8375">
        <f t="shared" si="3924"/>
        <v>20</v>
      </c>
      <c r="W8375">
        <f t="shared" si="3922"/>
        <v>4</v>
      </c>
      <c r="X8375">
        <f t="shared" si="3923"/>
        <v>2010</v>
      </c>
    </row>
    <row r="8376" spans="1:24" ht="12" customHeight="1">
      <c r="A8376" s="4">
        <v>8018</v>
      </c>
      <c r="B8376" s="4">
        <v>57281</v>
      </c>
      <c r="C8376" s="5">
        <f t="shared" si="3944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945">C8376+2</f>
        <v>40290</v>
      </c>
      <c r="V8376">
        <f t="shared" si="3924"/>
        <v>22</v>
      </c>
      <c r="W8376">
        <f t="shared" si="3922"/>
        <v>4</v>
      </c>
      <c r="X8376">
        <f t="shared" si="3923"/>
        <v>2010</v>
      </c>
    </row>
    <row r="8377" spans="1:24" ht="12" customHeight="1">
      <c r="A8377" s="4">
        <v>8102</v>
      </c>
      <c r="B8377" s="4">
        <v>57827</v>
      </c>
      <c r="C8377" s="5">
        <f t="shared" ref="C8377:C8378" si="3946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945"/>
        <v>39998</v>
      </c>
      <c r="V8377">
        <f t="shared" si="3924"/>
        <v>4</v>
      </c>
      <c r="W8377">
        <f t="shared" si="3922"/>
        <v>7</v>
      </c>
      <c r="X8377">
        <f t="shared" si="3923"/>
        <v>2009</v>
      </c>
    </row>
    <row r="8378" spans="1:24" ht="12" customHeight="1">
      <c r="A8378" s="4">
        <v>8103</v>
      </c>
      <c r="B8378" s="4">
        <v>57827</v>
      </c>
      <c r="C8378" s="5">
        <f t="shared" si="3946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947">C8378+1</f>
        <v>39997</v>
      </c>
      <c r="V8378">
        <f t="shared" si="3924"/>
        <v>3</v>
      </c>
      <c r="W8378">
        <f t="shared" si="3922"/>
        <v>7</v>
      </c>
      <c r="X8378">
        <f t="shared" si="3923"/>
        <v>2009</v>
      </c>
    </row>
    <row r="8379" spans="1:24" ht="12" customHeight="1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947"/>
        <v>41260</v>
      </c>
      <c r="V8379">
        <f t="shared" si="3924"/>
        <v>17</v>
      </c>
      <c r="W8379">
        <f t="shared" si="3922"/>
        <v>12</v>
      </c>
      <c r="X8379">
        <f t="shared" si="3923"/>
        <v>2012</v>
      </c>
    </row>
    <row r="8380" spans="1:24" ht="12" customHeight="1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  <c r="V8380">
        <f t="shared" si="3924"/>
        <v>4</v>
      </c>
      <c r="W8380">
        <f t="shared" si="3922"/>
        <v>2</v>
      </c>
      <c r="X8380">
        <f t="shared" si="3923"/>
        <v>2010</v>
      </c>
    </row>
    <row r="8381" spans="1:24" ht="12" customHeight="1">
      <c r="A8381" s="4">
        <v>805</v>
      </c>
      <c r="B8381" s="4">
        <v>5767</v>
      </c>
      <c r="C8381" s="5">
        <f t="shared" ref="C8381:C8382" si="3948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  <c r="V8381">
        <f t="shared" si="3924"/>
        <v>29</v>
      </c>
      <c r="W8381">
        <f t="shared" si="3922"/>
        <v>4</v>
      </c>
      <c r="X8381">
        <f t="shared" si="3923"/>
        <v>2012</v>
      </c>
    </row>
    <row r="8382" spans="1:24" ht="12" customHeight="1">
      <c r="A8382" s="4">
        <v>806</v>
      </c>
      <c r="B8382" s="4">
        <v>5767</v>
      </c>
      <c r="C8382" s="5">
        <f t="shared" si="3948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  <c r="V8382">
        <f t="shared" si="3924"/>
        <v>30</v>
      </c>
      <c r="W8382">
        <f t="shared" si="3922"/>
        <v>4</v>
      </c>
      <c r="X8382">
        <f t="shared" si="3923"/>
        <v>2012</v>
      </c>
    </row>
    <row r="8383" spans="1:24" ht="12" customHeight="1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  <c r="V8383">
        <f t="shared" si="3924"/>
        <v>3</v>
      </c>
      <c r="W8383">
        <f t="shared" si="3922"/>
        <v>7</v>
      </c>
      <c r="X8383">
        <f t="shared" si="3923"/>
        <v>2011</v>
      </c>
    </row>
    <row r="8384" spans="1:24" ht="12" customHeight="1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  <c r="V8384">
        <f t="shared" si="3924"/>
        <v>28</v>
      </c>
      <c r="W8384">
        <f t="shared" si="3922"/>
        <v>4</v>
      </c>
      <c r="X8384">
        <f t="shared" si="3923"/>
        <v>2009</v>
      </c>
    </row>
    <row r="8385" spans="1:24" ht="12" customHeight="1">
      <c r="A8385" s="4">
        <v>2082</v>
      </c>
      <c r="B8385" s="4">
        <v>14883</v>
      </c>
      <c r="C8385" s="5">
        <f t="shared" ref="C8385:C8386" si="3949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  <c r="V8385">
        <f t="shared" si="3924"/>
        <v>11</v>
      </c>
      <c r="W8385">
        <f t="shared" si="3922"/>
        <v>5</v>
      </c>
      <c r="X8385">
        <f t="shared" si="3923"/>
        <v>2011</v>
      </c>
    </row>
    <row r="8386" spans="1:24" ht="12" customHeight="1">
      <c r="A8386" s="4">
        <v>2083</v>
      </c>
      <c r="B8386" s="4">
        <v>14883</v>
      </c>
      <c r="C8386" s="5">
        <f t="shared" si="3949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  <c r="V8386">
        <f t="shared" si="3924"/>
        <v>15</v>
      </c>
      <c r="W8386">
        <f t="shared" si="3922"/>
        <v>5</v>
      </c>
      <c r="X8386">
        <f t="shared" si="3923"/>
        <v>2011</v>
      </c>
    </row>
    <row r="8387" spans="1:24" ht="12" customHeight="1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  <c r="V8387">
        <f t="shared" si="3924"/>
        <v>9</v>
      </c>
      <c r="W8387">
        <f t="shared" ref="W8387:W8400" si="3950">MONTH(U8387)</f>
        <v>11</v>
      </c>
      <c r="X8387">
        <f t="shared" ref="X8387:X8400" si="3951">YEAR(U8387)</f>
        <v>2010</v>
      </c>
    </row>
    <row r="8388" spans="1:24" ht="12" customHeight="1">
      <c r="A8388" s="4">
        <v>5166</v>
      </c>
      <c r="B8388" s="4">
        <v>36772</v>
      </c>
      <c r="C8388" s="5">
        <f t="shared" ref="C8388:C8389" si="3952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  <c r="V8388">
        <f t="shared" ref="V8388:V8400" si="3953">DAY(U8388)</f>
        <v>15</v>
      </c>
      <c r="W8388">
        <f t="shared" si="3950"/>
        <v>5</v>
      </c>
      <c r="X8388">
        <f t="shared" si="3951"/>
        <v>2010</v>
      </c>
    </row>
    <row r="8389" spans="1:24" ht="12" customHeight="1">
      <c r="A8389" s="4">
        <v>5167</v>
      </c>
      <c r="B8389" s="4">
        <v>36772</v>
      </c>
      <c r="C8389" s="5">
        <f t="shared" si="3952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  <c r="V8389">
        <f t="shared" si="3953"/>
        <v>17</v>
      </c>
      <c r="W8389">
        <f t="shared" si="3950"/>
        <v>5</v>
      </c>
      <c r="X8389">
        <f t="shared" si="3951"/>
        <v>2010</v>
      </c>
    </row>
    <row r="8390" spans="1:24" ht="12" customHeight="1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  <c r="V8390">
        <f t="shared" si="3953"/>
        <v>20</v>
      </c>
      <c r="W8390">
        <f t="shared" si="3950"/>
        <v>4</v>
      </c>
      <c r="X8390">
        <f t="shared" si="3951"/>
        <v>2011</v>
      </c>
    </row>
    <row r="8391" spans="1:24" ht="12" customHeight="1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954">C8391+2</f>
        <v>41166</v>
      </c>
      <c r="V8391">
        <f t="shared" si="3953"/>
        <v>14</v>
      </c>
      <c r="W8391">
        <f t="shared" si="3950"/>
        <v>9</v>
      </c>
      <c r="X8391">
        <f t="shared" si="3951"/>
        <v>2012</v>
      </c>
    </row>
    <row r="8392" spans="1:24" ht="12" customHeight="1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954"/>
        <v>40073</v>
      </c>
      <c r="V8392">
        <f t="shared" si="3953"/>
        <v>17</v>
      </c>
      <c r="W8392">
        <f t="shared" si="3950"/>
        <v>9</v>
      </c>
      <c r="X8392">
        <f t="shared" si="3951"/>
        <v>2009</v>
      </c>
    </row>
    <row r="8393" spans="1:24" ht="12" customHeight="1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954"/>
        <v>40461</v>
      </c>
      <c r="V8393">
        <f t="shared" si="3953"/>
        <v>10</v>
      </c>
      <c r="W8393">
        <f t="shared" si="3950"/>
        <v>10</v>
      </c>
      <c r="X8393">
        <f t="shared" si="3951"/>
        <v>2010</v>
      </c>
    </row>
    <row r="8394" spans="1:24" ht="12" customHeight="1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  <c r="V8394">
        <f t="shared" si="3953"/>
        <v>16</v>
      </c>
      <c r="W8394">
        <f t="shared" si="3950"/>
        <v>7</v>
      </c>
      <c r="X8394">
        <f t="shared" si="3951"/>
        <v>2012</v>
      </c>
    </row>
    <row r="8395" spans="1:24" ht="12" customHeight="1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  <c r="V8395">
        <f t="shared" si="3953"/>
        <v>31</v>
      </c>
      <c r="W8395">
        <f t="shared" si="3950"/>
        <v>7</v>
      </c>
      <c r="X8395">
        <f t="shared" si="3951"/>
        <v>2011</v>
      </c>
    </row>
    <row r="8396" spans="1:24" ht="12" customHeight="1">
      <c r="A8396" s="4">
        <v>7765</v>
      </c>
      <c r="B8396" s="4">
        <v>55558</v>
      </c>
      <c r="C8396" s="5">
        <f t="shared" ref="C8396:C8397" si="3955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  <c r="V8396">
        <f t="shared" si="3953"/>
        <v>9</v>
      </c>
      <c r="W8396">
        <f t="shared" si="3950"/>
        <v>8</v>
      </c>
      <c r="X8396">
        <f t="shared" si="3951"/>
        <v>2010</v>
      </c>
    </row>
    <row r="8397" spans="1:24" ht="12" customHeight="1">
      <c r="A8397" s="4">
        <v>7766</v>
      </c>
      <c r="B8397" s="4">
        <v>55558</v>
      </c>
      <c r="C8397" s="5">
        <f t="shared" si="3955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956">C8397+2</f>
        <v>40401</v>
      </c>
      <c r="V8397">
        <f t="shared" si="3953"/>
        <v>11</v>
      </c>
      <c r="W8397">
        <f t="shared" si="3950"/>
        <v>8</v>
      </c>
      <c r="X8397">
        <f t="shared" si="3951"/>
        <v>2010</v>
      </c>
    </row>
    <row r="8398" spans="1:24" ht="12" customHeight="1">
      <c r="A8398" s="4">
        <v>7906</v>
      </c>
      <c r="B8398" s="4">
        <v>56550</v>
      </c>
      <c r="C8398" s="5">
        <f t="shared" ref="C8398:C8399" si="3957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956"/>
        <v>40643</v>
      </c>
      <c r="V8398">
        <f t="shared" si="3953"/>
        <v>10</v>
      </c>
      <c r="W8398">
        <f t="shared" si="3950"/>
        <v>4</v>
      </c>
      <c r="X8398">
        <f t="shared" si="3951"/>
        <v>2011</v>
      </c>
    </row>
    <row r="8399" spans="1:24" ht="12" customHeight="1">
      <c r="A8399" s="4">
        <v>7907</v>
      </c>
      <c r="B8399" s="4">
        <v>56550</v>
      </c>
      <c r="C8399" s="5">
        <f t="shared" si="3957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  <c r="V8399">
        <f t="shared" si="3953"/>
        <v>9</v>
      </c>
      <c r="W8399">
        <f t="shared" si="3950"/>
        <v>4</v>
      </c>
      <c r="X8399">
        <f t="shared" si="3951"/>
        <v>2011</v>
      </c>
    </row>
    <row r="8400" spans="1:24" ht="12" customHeight="1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  <c r="V8400">
        <f t="shared" si="3953"/>
        <v>11</v>
      </c>
      <c r="W8400">
        <f t="shared" si="3950"/>
        <v>2</v>
      </c>
      <c r="X8400">
        <f t="shared" si="3951"/>
        <v>2009</v>
      </c>
    </row>
  </sheetData>
  <autoFilter ref="A1:X8400" xr:uid="{A5F0ED0D-DF81-4E9D-A49F-0BF07279183E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24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9.140625" customWidth="1"/>
    <col min="2" max="2" width="11" customWidth="1"/>
    <col min="3" max="3" width="18.140625" customWidth="1"/>
    <col min="4" max="4" width="15.85546875" customWidth="1"/>
    <col min="5" max="6" width="16.85546875" customWidth="1"/>
    <col min="7" max="7" width="11.28515625" customWidth="1"/>
    <col min="8" max="9" width="13.5703125" customWidth="1"/>
    <col min="10" max="10" width="12.28515625" customWidth="1"/>
    <col min="11" max="11" width="16.42578125" customWidth="1"/>
    <col min="12" max="12" width="18.42578125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62.85546875" customWidth="1"/>
    <col min="19" max="19" width="20.28515625" customWidth="1"/>
    <col min="20" max="20" width="23.28515625" customWidth="1"/>
    <col min="21" max="21" width="18.42578125" customWidth="1"/>
  </cols>
  <sheetData>
    <row r="1" spans="1:2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spans="1:21" ht="12" customHeight="1">
      <c r="A18" s="4">
        <v>175</v>
      </c>
      <c r="B18" s="4">
        <v>1154</v>
      </c>
      <c r="C18" s="5">
        <f t="shared" ref="C18:C19" si="8">DATE(2012,12,31)-321</f>
        <v>40953</v>
      </c>
      <c r="D18" s="4" t="s">
        <v>78</v>
      </c>
      <c r="E18" s="4">
        <v>44</v>
      </c>
      <c r="F18" s="4">
        <v>4462.2299999999996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9">C18+2</f>
        <v>40955</v>
      </c>
    </row>
    <row r="19" spans="1:21" ht="12" customHeight="1">
      <c r="A19" s="4">
        <v>176</v>
      </c>
      <c r="B19" s="4">
        <v>1154</v>
      </c>
      <c r="C19" s="5">
        <f t="shared" si="8"/>
        <v>40953</v>
      </c>
      <c r="D19" s="4" t="s">
        <v>78</v>
      </c>
      <c r="E19" s="4">
        <v>11</v>
      </c>
      <c r="F19" s="4">
        <v>663.78400000000011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9"/>
        <v>40955</v>
      </c>
    </row>
    <row r="20" spans="1:21" ht="12" customHeight="1">
      <c r="A20" s="4">
        <v>203</v>
      </c>
      <c r="B20" s="4">
        <v>1344</v>
      </c>
      <c r="C20" s="5">
        <f t="shared" ref="C20:C21" si="10">DATE(2012,12,31)-260</f>
        <v>41014</v>
      </c>
      <c r="D20" s="4" t="s">
        <v>21</v>
      </c>
      <c r="E20" s="4">
        <v>15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65.989999999999995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spans="1:21" ht="12" customHeight="1">
      <c r="A21" s="4">
        <v>204</v>
      </c>
      <c r="B21" s="4">
        <v>1344</v>
      </c>
      <c r="C21" s="5">
        <f t="shared" si="10"/>
        <v>41014</v>
      </c>
      <c r="D21" s="4" t="s">
        <v>21</v>
      </c>
      <c r="E21" s="4">
        <v>18</v>
      </c>
      <c r="F21" s="4">
        <v>2480.9205000000002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0.57999999999999996</v>
      </c>
      <c r="U21" s="5">
        <f>C21+4</f>
        <v>41018</v>
      </c>
    </row>
    <row r="22" spans="1:21" ht="12" customHeight="1">
      <c r="A22" s="4">
        <v>213</v>
      </c>
      <c r="B22" s="4">
        <v>1412</v>
      </c>
      <c r="C22" s="5">
        <f t="shared" ref="C22:C23" si="11">DATE(2012,12,31)-1025</f>
        <v>40249</v>
      </c>
      <c r="D22" s="4" t="s">
        <v>45</v>
      </c>
      <c r="E22" s="4">
        <v>13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2">C22+2</f>
        <v>40251</v>
      </c>
    </row>
    <row r="23" spans="1:21" ht="12" customHeight="1">
      <c r="A23" s="4">
        <v>214</v>
      </c>
      <c r="B23" s="4">
        <v>1412</v>
      </c>
      <c r="C23" s="5">
        <f t="shared" si="11"/>
        <v>40249</v>
      </c>
      <c r="D23" s="4" t="s">
        <v>45</v>
      </c>
      <c r="E23" s="4">
        <v>21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2"/>
        <v>40251</v>
      </c>
    </row>
    <row r="24" spans="1:21" ht="12" customHeight="1">
      <c r="A24" s="4">
        <v>229</v>
      </c>
      <c r="B24" s="4">
        <v>1539</v>
      </c>
      <c r="C24" s="5">
        <f t="shared" ref="C24:C25" si="13">DATE(2012,12,31)-663</f>
        <v>40611</v>
      </c>
      <c r="D24" s="4" t="s">
        <v>21</v>
      </c>
      <c r="E24" s="4">
        <v>33</v>
      </c>
      <c r="F24" s="4">
        <v>511.83</v>
      </c>
      <c r="G24" s="4">
        <v>0.1</v>
      </c>
      <c r="H24" s="4" t="s">
        <v>22</v>
      </c>
      <c r="I24" s="6">
        <v>-172.87950000000001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2"/>
        <v>40613</v>
      </c>
    </row>
    <row r="25" spans="1:21" ht="12" customHeight="1">
      <c r="A25" s="4">
        <v>230</v>
      </c>
      <c r="B25" s="4">
        <v>1539</v>
      </c>
      <c r="C25" s="5">
        <f t="shared" si="13"/>
        <v>40611</v>
      </c>
      <c r="D25" s="4" t="s">
        <v>21</v>
      </c>
      <c r="E25" s="4">
        <v>38</v>
      </c>
      <c r="F25" s="4">
        <v>184.99</v>
      </c>
      <c r="G25" s="4">
        <v>0.05</v>
      </c>
      <c r="H25" s="4" t="s">
        <v>22</v>
      </c>
      <c r="I25" s="6">
        <v>-144.55000000000001</v>
      </c>
      <c r="J25" s="4">
        <v>4.8899999999999997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spans="1:21" ht="12" customHeight="1">
      <c r="A26" s="4">
        <v>231</v>
      </c>
      <c r="B26" s="4">
        <v>1540</v>
      </c>
      <c r="C26" s="5">
        <f>DATE(2012,12,31)-149</f>
        <v>41125</v>
      </c>
      <c r="D26" s="4" t="s">
        <v>30</v>
      </c>
      <c r="E26" s="4">
        <v>30</v>
      </c>
      <c r="F26" s="4">
        <v>80.900000000000006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0.56000000000000005</v>
      </c>
      <c r="U26" s="5">
        <f>C26+2</f>
        <v>41127</v>
      </c>
    </row>
    <row r="27" spans="1:21" ht="12" customHeight="1">
      <c r="A27" s="4">
        <v>249</v>
      </c>
      <c r="B27" s="4">
        <v>1702</v>
      </c>
      <c r="C27" s="5">
        <f>DATE(2012,12,31)-605</f>
        <v>40669</v>
      </c>
      <c r="D27" s="4" t="s">
        <v>30</v>
      </c>
      <c r="E27" s="4">
        <v>23</v>
      </c>
      <c r="F27" s="4">
        <v>67.239999999999995</v>
      </c>
      <c r="G27" s="4">
        <v>0.06</v>
      </c>
      <c r="H27" s="4" t="s">
        <v>22</v>
      </c>
      <c r="I27" s="6">
        <v>4.9000000000000004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spans="1:21" ht="12" customHeight="1">
      <c r="A28" s="4">
        <v>250</v>
      </c>
      <c r="B28" s="4">
        <v>1761</v>
      </c>
      <c r="C28" s="5">
        <f>DATE(2012,12,31)-739</f>
        <v>40535</v>
      </c>
      <c r="D28" s="4" t="s">
        <v>30</v>
      </c>
      <c r="E28" s="4">
        <v>25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spans="1:21" ht="12" customHeight="1">
      <c r="A29" s="4">
        <v>256</v>
      </c>
      <c r="B29" s="4">
        <v>1792</v>
      </c>
      <c r="C29" s="5">
        <f>DATE(2012,12,31)-784</f>
        <v>40490</v>
      </c>
      <c r="D29" s="4" t="s">
        <v>21</v>
      </c>
      <c r="E29" s="4">
        <v>28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spans="1:21" ht="12" customHeight="1">
      <c r="A30" s="4">
        <v>330</v>
      </c>
      <c r="B30" s="4">
        <v>2275</v>
      </c>
      <c r="C30" s="5">
        <f>DATE(2012,12,31)-71</f>
        <v>41203</v>
      </c>
      <c r="D30" s="4" t="s">
        <v>45</v>
      </c>
      <c r="E30" s="4">
        <v>49</v>
      </c>
      <c r="F30" s="4">
        <v>278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0.56000000000000005</v>
      </c>
      <c r="U30" s="5">
        <f t="shared" ref="U30:U31" si="14">C30+1</f>
        <v>41204</v>
      </c>
    </row>
    <row r="31" spans="1:21" ht="12" customHeight="1">
      <c r="A31" s="4">
        <v>331</v>
      </c>
      <c r="B31" s="4">
        <v>2277</v>
      </c>
      <c r="C31" s="5">
        <f t="shared" ref="C31:C32" si="15">DATE(2012,12,31)-730</f>
        <v>40544</v>
      </c>
      <c r="D31" s="4" t="s">
        <v>45</v>
      </c>
      <c r="E31" s="4">
        <v>10</v>
      </c>
      <c r="F31" s="4">
        <v>66.540000000000006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4"/>
        <v>40545</v>
      </c>
    </row>
    <row r="32" spans="1:21" ht="12" customHeight="1">
      <c r="A32" s="4">
        <v>332</v>
      </c>
      <c r="B32" s="4">
        <v>2277</v>
      </c>
      <c r="C32" s="5">
        <f t="shared" si="15"/>
        <v>40544</v>
      </c>
      <c r="D32" s="4" t="s">
        <v>45</v>
      </c>
      <c r="E32" s="4">
        <v>21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19.989999999999998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spans="1:21" ht="12" customHeight="1">
      <c r="A33" s="4">
        <v>362</v>
      </c>
      <c r="B33" s="4">
        <v>2532</v>
      </c>
      <c r="C33" s="5">
        <f t="shared" ref="C33:C34" si="16">DATE(2012,12,31)-448</f>
        <v>40826</v>
      </c>
      <c r="D33" s="4" t="s">
        <v>30</v>
      </c>
      <c r="E33" s="4">
        <v>39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7">C33+1</f>
        <v>40827</v>
      </c>
    </row>
    <row r="34" spans="1:21" ht="12" customHeight="1">
      <c r="A34" s="4">
        <v>363</v>
      </c>
      <c r="B34" s="4">
        <v>2532</v>
      </c>
      <c r="C34" s="5">
        <f t="shared" si="16"/>
        <v>40826</v>
      </c>
      <c r="D34" s="4" t="s">
        <v>30</v>
      </c>
      <c r="E34" s="4">
        <v>24</v>
      </c>
      <c r="F34" s="4">
        <v>426.03700000000003</v>
      </c>
      <c r="G34" s="4">
        <v>0.01</v>
      </c>
      <c r="H34" s="4" t="s">
        <v>22</v>
      </c>
      <c r="I34" s="6">
        <v>-78.957999999999998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7"/>
        <v>40827</v>
      </c>
    </row>
    <row r="35" spans="1:21" ht="12" customHeight="1">
      <c r="A35" s="4">
        <v>381</v>
      </c>
      <c r="B35" s="4">
        <v>2631</v>
      </c>
      <c r="C35" s="5">
        <f>DATE(2012,12,31)-830</f>
        <v>40444</v>
      </c>
      <c r="D35" s="4" t="s">
        <v>21</v>
      </c>
      <c r="E35" s="4">
        <v>27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0.55000000000000004</v>
      </c>
      <c r="U35" s="5">
        <f>C35+2</f>
        <v>40446</v>
      </c>
    </row>
    <row r="36" spans="1:21" ht="12" customHeight="1">
      <c r="A36" s="4">
        <v>406</v>
      </c>
      <c r="B36" s="4">
        <v>2757</v>
      </c>
      <c r="C36" s="5">
        <f>DATE(2012,12,31)-531</f>
        <v>40743</v>
      </c>
      <c r="D36" s="4" t="s">
        <v>78</v>
      </c>
      <c r="E36" s="4">
        <v>39</v>
      </c>
      <c r="F36" s="4">
        <v>3554.46</v>
      </c>
      <c r="G36" s="4">
        <v>7.0000000000000007E-2</v>
      </c>
      <c r="H36" s="4" t="s">
        <v>31</v>
      </c>
      <c r="I36" s="6">
        <v>-1766.01</v>
      </c>
      <c r="J36" s="4">
        <v>95.95</v>
      </c>
      <c r="K36" s="4">
        <v>74.349999999999994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0.56999999999999995</v>
      </c>
      <c r="U36" s="5">
        <f>C36+0</f>
        <v>40743</v>
      </c>
    </row>
    <row r="37" spans="1:21" ht="12" customHeight="1">
      <c r="A37" s="4">
        <v>440</v>
      </c>
      <c r="B37" s="4">
        <v>2976</v>
      </c>
      <c r="C37" s="5">
        <f>DATE(2012,12,31)-753</f>
        <v>40521</v>
      </c>
      <c r="D37" s="4" t="s">
        <v>45</v>
      </c>
      <c r="E37" s="4">
        <v>30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8">C37+2</f>
        <v>40523</v>
      </c>
    </row>
    <row r="38" spans="1:21" ht="12" customHeight="1">
      <c r="A38" s="4">
        <v>471</v>
      </c>
      <c r="B38" s="4">
        <v>3232</v>
      </c>
      <c r="C38" s="5">
        <f>DATE(2012,12,31)-84</f>
        <v>41190</v>
      </c>
      <c r="D38" s="4" t="s">
        <v>78</v>
      </c>
      <c r="E38" s="4">
        <v>5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8"/>
        <v>41192</v>
      </c>
    </row>
    <row r="39" spans="1:21" ht="12" customHeight="1">
      <c r="A39" s="4">
        <v>513</v>
      </c>
      <c r="B39" s="4">
        <v>3524</v>
      </c>
      <c r="C39" s="5">
        <f>DATE(2012,12,31)-243</f>
        <v>41031</v>
      </c>
      <c r="D39" s="4" t="s">
        <v>30</v>
      </c>
      <c r="E39" s="4">
        <v>21</v>
      </c>
      <c r="F39" s="4">
        <v>427.32</v>
      </c>
      <c r="G39" s="4">
        <v>0</v>
      </c>
      <c r="H39" s="4" t="s">
        <v>22</v>
      </c>
      <c r="I39" s="6">
        <v>52.35</v>
      </c>
      <c r="J39" s="4">
        <v>18.97</v>
      </c>
      <c r="K39" s="4">
        <v>9.0299999999999994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spans="1:21" ht="12" customHeight="1">
      <c r="A40" s="4">
        <v>577</v>
      </c>
      <c r="B40" s="4">
        <v>3908</v>
      </c>
      <c r="C40" s="5">
        <f>DATE(2012,12,31)-1029</f>
        <v>40245</v>
      </c>
      <c r="D40" s="4" t="s">
        <v>63</v>
      </c>
      <c r="E40" s="4">
        <v>8</v>
      </c>
      <c r="F40" s="4">
        <v>820.28399999999999</v>
      </c>
      <c r="G40" s="4">
        <v>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0.56999999999999995</v>
      </c>
      <c r="U40" s="5">
        <f>C40+0</f>
        <v>40245</v>
      </c>
    </row>
    <row r="41" spans="1:21" ht="12" customHeight="1">
      <c r="A41" s="4">
        <v>606</v>
      </c>
      <c r="B41" s="4">
        <v>4132</v>
      </c>
      <c r="C41" s="5">
        <f>DATE(2012,12,31)-583</f>
        <v>40691</v>
      </c>
      <c r="D41" s="4" t="s">
        <v>45</v>
      </c>
      <c r="E41" s="4">
        <v>5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19">C41+2</f>
        <v>40693</v>
      </c>
    </row>
    <row r="42" spans="1:21" ht="12" customHeight="1">
      <c r="A42" s="4">
        <v>656</v>
      </c>
      <c r="B42" s="4">
        <v>4612</v>
      </c>
      <c r="C42" s="5">
        <f>DATE(2012,12,31)-834</f>
        <v>40440</v>
      </c>
      <c r="D42" s="4" t="s">
        <v>63</v>
      </c>
      <c r="E42" s="4">
        <v>9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4.4800000000000004</v>
      </c>
      <c r="K42" s="4">
        <v>49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19"/>
        <v>40442</v>
      </c>
    </row>
    <row r="43" spans="1:21" ht="12" customHeight="1">
      <c r="A43" s="4">
        <v>669</v>
      </c>
      <c r="B43" s="4">
        <v>4676</v>
      </c>
      <c r="C43" s="5">
        <f t="shared" ref="C43:C46" si="20">DATE(2012,12,31)-488</f>
        <v>40786</v>
      </c>
      <c r="D43" s="4" t="s">
        <v>30</v>
      </c>
      <c r="E43" s="4">
        <v>11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0.57999999999999996</v>
      </c>
      <c r="U43" s="5">
        <f>C43+1</f>
        <v>40787</v>
      </c>
    </row>
    <row r="44" spans="1:21" ht="12" customHeight="1">
      <c r="A44" s="4">
        <v>670</v>
      </c>
      <c r="B44" s="4">
        <v>4676</v>
      </c>
      <c r="C44" s="5">
        <f t="shared" si="20"/>
        <v>40786</v>
      </c>
      <c r="D44" s="4" t="s">
        <v>30</v>
      </c>
      <c r="E44" s="4">
        <v>50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1">C44+2</f>
        <v>40788</v>
      </c>
    </row>
    <row r="45" spans="1:21" ht="12" customHeight="1">
      <c r="A45" s="4">
        <v>671</v>
      </c>
      <c r="B45" s="4">
        <v>4676</v>
      </c>
      <c r="C45" s="5">
        <f t="shared" si="20"/>
        <v>40786</v>
      </c>
      <c r="D45" s="4" t="s">
        <v>30</v>
      </c>
      <c r="E45" s="4">
        <v>3</v>
      </c>
      <c r="F45" s="4">
        <v>49.59</v>
      </c>
      <c r="G45" s="4">
        <v>7.0000000000000007E-2</v>
      </c>
      <c r="H45" s="4" t="s">
        <v>56</v>
      </c>
      <c r="I45" s="6">
        <v>-8.3800000000000008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1"/>
        <v>40788</v>
      </c>
    </row>
    <row r="46" spans="1:21" ht="12" customHeight="1">
      <c r="A46" s="4">
        <v>672</v>
      </c>
      <c r="B46" s="4">
        <v>4676</v>
      </c>
      <c r="C46" s="5">
        <f t="shared" si="20"/>
        <v>40786</v>
      </c>
      <c r="D46" s="4" t="s">
        <v>30</v>
      </c>
      <c r="E46" s="4">
        <v>30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0.57999999999999996</v>
      </c>
      <c r="U46" s="5">
        <f>C46+1</f>
        <v>40787</v>
      </c>
    </row>
    <row r="47" spans="1:21" ht="12" customHeight="1">
      <c r="A47" s="4">
        <v>734</v>
      </c>
      <c r="B47" s="4">
        <v>5284</v>
      </c>
      <c r="C47" s="5">
        <f>DATE(2012,12,31)-542</f>
        <v>40732</v>
      </c>
      <c r="D47" s="4" t="s">
        <v>45</v>
      </c>
      <c r="E47" s="4">
        <v>7</v>
      </c>
      <c r="F47" s="4">
        <v>59.38</v>
      </c>
      <c r="G47" s="4">
        <v>0.1</v>
      </c>
      <c r="H47" s="4" t="s">
        <v>22</v>
      </c>
      <c r="I47" s="6">
        <v>-3.0474999999999999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spans="1:21" ht="12" customHeight="1">
      <c r="A48" s="4">
        <v>755</v>
      </c>
      <c r="B48" s="4">
        <v>5409</v>
      </c>
      <c r="C48" s="5">
        <f>DATE(2012,12,31)-358</f>
        <v>40916</v>
      </c>
      <c r="D48" s="4" t="s">
        <v>21</v>
      </c>
      <c r="E48" s="4">
        <v>11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spans="1:21" ht="12" customHeight="1">
      <c r="A49" s="4">
        <v>769</v>
      </c>
      <c r="B49" s="4">
        <v>5506</v>
      </c>
      <c r="C49" s="5">
        <f>DATE(2012,12,31)-785</f>
        <v>40489</v>
      </c>
      <c r="D49" s="4" t="s">
        <v>78</v>
      </c>
      <c r="E49" s="4">
        <v>22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spans="1:21" ht="12" customHeight="1">
      <c r="A50" s="4">
        <v>782</v>
      </c>
      <c r="B50" s="4">
        <v>5569</v>
      </c>
      <c r="C50" s="5">
        <f>DATE(2012,12,31)-977</f>
        <v>40297</v>
      </c>
      <c r="D50" s="4" t="s">
        <v>45</v>
      </c>
      <c r="E50" s="4">
        <v>12</v>
      </c>
      <c r="F50" s="4">
        <v>118.97</v>
      </c>
      <c r="G50" s="4">
        <v>0.09</v>
      </c>
      <c r="H50" s="4" t="s">
        <v>22</v>
      </c>
      <c r="I50" s="6">
        <v>-5.9999999999995168E-2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0.55000000000000004</v>
      </c>
      <c r="U50" s="5">
        <f>C50+2</f>
        <v>40299</v>
      </c>
    </row>
    <row r="51" spans="1:21" ht="12" customHeight="1">
      <c r="A51" s="4">
        <v>786</v>
      </c>
      <c r="B51" s="4">
        <v>5607</v>
      </c>
      <c r="C51" s="5">
        <f>DATE(2012,12,31)-366</f>
        <v>40908</v>
      </c>
      <c r="D51" s="4" t="s">
        <v>45</v>
      </c>
      <c r="E51" s="4">
        <v>8</v>
      </c>
      <c r="F51" s="4">
        <v>61.871500000000005</v>
      </c>
      <c r="G51" s="4">
        <v>0</v>
      </c>
      <c r="H51" s="4" t="s">
        <v>22</v>
      </c>
      <c r="I51" s="6">
        <v>-50.325000000000003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spans="1:21" ht="12" customHeight="1">
      <c r="A52" s="4">
        <v>821</v>
      </c>
      <c r="B52" s="4">
        <v>5925</v>
      </c>
      <c r="C52" s="5">
        <f t="shared" ref="C52:C53" si="22">DATE(2012,12,31)-415</f>
        <v>40859</v>
      </c>
      <c r="D52" s="4" t="s">
        <v>21</v>
      </c>
      <c r="E52" s="4">
        <v>44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3">C52+7</f>
        <v>40866</v>
      </c>
    </row>
    <row r="53" spans="1:21" ht="12" customHeight="1">
      <c r="A53" s="4">
        <v>822</v>
      </c>
      <c r="B53" s="4">
        <v>5925</v>
      </c>
      <c r="C53" s="5">
        <f t="shared" si="22"/>
        <v>40859</v>
      </c>
      <c r="D53" s="4" t="s">
        <v>21</v>
      </c>
      <c r="E53" s="4">
        <v>25</v>
      </c>
      <c r="F53" s="4">
        <v>1733.3625</v>
      </c>
      <c r="G53" s="4">
        <v>7.0000000000000007E-2</v>
      </c>
      <c r="H53" s="4" t="s">
        <v>22</v>
      </c>
      <c r="I53" s="6">
        <v>-267.01400000000001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3"/>
        <v>40866</v>
      </c>
    </row>
    <row r="54" spans="1:21" ht="12" customHeight="1">
      <c r="A54" s="4">
        <v>839</v>
      </c>
      <c r="B54" s="4">
        <v>6016</v>
      </c>
      <c r="C54" s="5">
        <f>DATE(2012,12,31)-346</f>
        <v>40928</v>
      </c>
      <c r="D54" s="4" t="s">
        <v>30</v>
      </c>
      <c r="E54" s="4">
        <v>19</v>
      </c>
      <c r="F54" s="4">
        <v>208.28</v>
      </c>
      <c r="G54" s="4">
        <v>7.0000000000000007E-2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spans="1:21" ht="12" customHeight="1">
      <c r="A55" s="4">
        <v>863</v>
      </c>
      <c r="B55" s="4">
        <v>6182</v>
      </c>
      <c r="C55" s="5">
        <f t="shared" ref="C55:C56" si="24">DATE(2012,12,31)-163</f>
        <v>41111</v>
      </c>
      <c r="D55" s="4" t="s">
        <v>21</v>
      </c>
      <c r="E55" s="4">
        <v>40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spans="1:21" ht="12" customHeight="1">
      <c r="A56" s="4">
        <v>864</v>
      </c>
      <c r="B56" s="4">
        <v>6182</v>
      </c>
      <c r="C56" s="5">
        <f t="shared" si="24"/>
        <v>41111</v>
      </c>
      <c r="D56" s="4" t="s">
        <v>21</v>
      </c>
      <c r="E56" s="4">
        <v>18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spans="1:21" ht="12" customHeight="1">
      <c r="A57" s="4">
        <v>911</v>
      </c>
      <c r="B57" s="4">
        <v>6535</v>
      </c>
      <c r="C57" s="5">
        <f>DATE(2012,12,31)-202</f>
        <v>41072</v>
      </c>
      <c r="D57" s="4" t="s">
        <v>78</v>
      </c>
      <c r="E57" s="4">
        <v>11</v>
      </c>
      <c r="F57" s="4">
        <v>312.36</v>
      </c>
      <c r="G57" s="4">
        <v>7.0000000000000007E-2</v>
      </c>
      <c r="H57" s="4" t="s">
        <v>56</v>
      </c>
      <c r="I57" s="6">
        <v>-19.329999999999998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0.56999999999999995</v>
      </c>
      <c r="U57" s="5">
        <f>C57+3</f>
        <v>41075</v>
      </c>
    </row>
    <row r="58" spans="1:21" ht="12" customHeight="1">
      <c r="A58" s="4">
        <v>956</v>
      </c>
      <c r="B58" s="4">
        <v>6916</v>
      </c>
      <c r="C58" s="5">
        <f>DATE(2012,12,31)-941</f>
        <v>40333</v>
      </c>
      <c r="D58" s="4" t="s">
        <v>21</v>
      </c>
      <c r="E58" s="4">
        <v>40</v>
      </c>
      <c r="F58" s="4">
        <v>436.17</v>
      </c>
      <c r="G58" s="4">
        <v>0.08</v>
      </c>
      <c r="H58" s="4" t="s">
        <v>56</v>
      </c>
      <c r="I58" s="6">
        <v>-141.27000000000001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spans="1:21" ht="12" customHeight="1">
      <c r="A59" s="4">
        <v>963</v>
      </c>
      <c r="B59" s="4">
        <v>6980</v>
      </c>
      <c r="C59" s="5">
        <f>DATE(2012,12,31)-1047</f>
        <v>40227</v>
      </c>
      <c r="D59" s="4" t="s">
        <v>45</v>
      </c>
      <c r="E59" s="4">
        <v>18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spans="1:21" ht="12" customHeight="1">
      <c r="A60" s="4">
        <v>964</v>
      </c>
      <c r="B60" s="4">
        <v>6982</v>
      </c>
      <c r="C60" s="5">
        <f t="shared" ref="C60:C62" si="25">DATE(2012,12,31)-411</f>
        <v>40863</v>
      </c>
      <c r="D60" s="4" t="s">
        <v>45</v>
      </c>
      <c r="E60" s="4">
        <v>32</v>
      </c>
      <c r="F60" s="4">
        <v>1311.25</v>
      </c>
      <c r="G60" s="4">
        <v>0</v>
      </c>
      <c r="H60" s="4" t="s">
        <v>56</v>
      </c>
      <c r="I60" s="6">
        <v>407.44</v>
      </c>
      <c r="J60" s="4">
        <v>39.479999999999997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6">C60+2</f>
        <v>40865</v>
      </c>
    </row>
    <row r="61" spans="1:21" ht="12" customHeight="1">
      <c r="A61" s="4">
        <v>965</v>
      </c>
      <c r="B61" s="4">
        <v>6982</v>
      </c>
      <c r="C61" s="5">
        <f t="shared" si="25"/>
        <v>40863</v>
      </c>
      <c r="D61" s="4" t="s">
        <v>45</v>
      </c>
      <c r="E61" s="4">
        <v>5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6"/>
        <v>40865</v>
      </c>
    </row>
    <row r="62" spans="1:21" ht="12" customHeight="1">
      <c r="A62" s="4">
        <v>966</v>
      </c>
      <c r="B62" s="4">
        <v>6982</v>
      </c>
      <c r="C62" s="5">
        <f t="shared" si="25"/>
        <v>40863</v>
      </c>
      <c r="D62" s="4" t="s">
        <v>45</v>
      </c>
      <c r="E62" s="4">
        <v>41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6"/>
        <v>40865</v>
      </c>
    </row>
    <row r="63" spans="1:21" ht="12" customHeight="1">
      <c r="A63" s="4">
        <v>988</v>
      </c>
      <c r="B63" s="4">
        <v>7110</v>
      </c>
      <c r="C63" s="5">
        <f>DATE(2012,12,31)-512</f>
        <v>40762</v>
      </c>
      <c r="D63" s="4" t="s">
        <v>21</v>
      </c>
      <c r="E63" s="4">
        <v>22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spans="1:21" ht="12" customHeight="1">
      <c r="A64" s="4">
        <v>1017</v>
      </c>
      <c r="B64" s="4">
        <v>7430</v>
      </c>
      <c r="C64" s="5">
        <f>DATE(2012,12,31)-937</f>
        <v>40337</v>
      </c>
      <c r="D64" s="4" t="s">
        <v>63</v>
      </c>
      <c r="E64" s="4">
        <v>50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7">C64+1</f>
        <v>40338</v>
      </c>
    </row>
    <row r="65" spans="1:21" ht="12" customHeight="1">
      <c r="A65" s="4">
        <v>1154</v>
      </c>
      <c r="B65" s="4">
        <v>8391</v>
      </c>
      <c r="C65" s="5">
        <f>DATE(2012,12,31)-491</f>
        <v>40783</v>
      </c>
      <c r="D65" s="4" t="s">
        <v>30</v>
      </c>
      <c r="E65" s="4">
        <v>4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0.56000000000000005</v>
      </c>
      <c r="U65" s="5">
        <f t="shared" si="27"/>
        <v>40784</v>
      </c>
    </row>
    <row r="66" spans="1:21" ht="12" customHeight="1">
      <c r="A66" s="4">
        <v>1156</v>
      </c>
      <c r="B66" s="4">
        <v>8419</v>
      </c>
      <c r="C66" s="5">
        <f t="shared" ref="C66:C67" si="28">DATE(2012,12,31)-459</f>
        <v>40815</v>
      </c>
      <c r="D66" s="4" t="s">
        <v>78</v>
      </c>
      <c r="E66" s="4">
        <v>19</v>
      </c>
      <c r="F66" s="4">
        <v>368.04</v>
      </c>
      <c r="G66" s="4">
        <v>7.0000000000000007E-2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spans="1:21" ht="12" customHeight="1">
      <c r="A67" s="4">
        <v>1157</v>
      </c>
      <c r="B67" s="4">
        <v>8419</v>
      </c>
      <c r="C67" s="5">
        <f t="shared" si="28"/>
        <v>40815</v>
      </c>
      <c r="D67" s="4" t="s">
        <v>78</v>
      </c>
      <c r="E67" s="4">
        <v>24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spans="1:21" ht="12" customHeight="1">
      <c r="A68" s="4">
        <v>1205</v>
      </c>
      <c r="B68" s="4">
        <v>8833</v>
      </c>
      <c r="C68" s="5">
        <f>DATE(2012,12,31)-241</f>
        <v>41033</v>
      </c>
      <c r="D68" s="4" t="s">
        <v>21</v>
      </c>
      <c r="E68" s="4">
        <v>40</v>
      </c>
      <c r="F68" s="4">
        <v>3338.98</v>
      </c>
      <c r="G68" s="4">
        <v>0</v>
      </c>
      <c r="H68" s="4" t="s">
        <v>22</v>
      </c>
      <c r="I68" s="6">
        <v>-846.73</v>
      </c>
      <c r="J68" s="4">
        <v>80.98</v>
      </c>
      <c r="K68" s="4">
        <v>35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spans="1:21" ht="12" customHeight="1">
      <c r="A69" s="4">
        <v>1226</v>
      </c>
      <c r="B69" s="4">
        <v>8995</v>
      </c>
      <c r="C69" s="5">
        <f t="shared" ref="C69:C73" si="29">DATE(2012,12,31)-594</f>
        <v>40680</v>
      </c>
      <c r="D69" s="4" t="s">
        <v>30</v>
      </c>
      <c r="E69" s="4">
        <v>5</v>
      </c>
      <c r="F69" s="4">
        <v>24.16</v>
      </c>
      <c r="G69" s="4">
        <v>0.08</v>
      </c>
      <c r="H69" s="4" t="s">
        <v>56</v>
      </c>
      <c r="I69" s="6">
        <v>8.0495000000000001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0">C69+1</f>
        <v>40681</v>
      </c>
    </row>
    <row r="70" spans="1:21" ht="12" customHeight="1">
      <c r="A70" s="4">
        <v>1227</v>
      </c>
      <c r="B70" s="4">
        <v>8995</v>
      </c>
      <c r="C70" s="5">
        <f t="shared" si="29"/>
        <v>40680</v>
      </c>
      <c r="D70" s="4" t="s">
        <v>30</v>
      </c>
      <c r="E70" s="4">
        <v>41</v>
      </c>
      <c r="F70" s="4">
        <v>270.83999999999997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0"/>
        <v>40681</v>
      </c>
    </row>
    <row r="71" spans="1:21" ht="12" customHeight="1">
      <c r="A71" s="4">
        <v>1228</v>
      </c>
      <c r="B71" s="4">
        <v>8995</v>
      </c>
      <c r="C71" s="5">
        <f t="shared" si="29"/>
        <v>40680</v>
      </c>
      <c r="D71" s="4" t="s">
        <v>30</v>
      </c>
      <c r="E71" s="4">
        <v>35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0"/>
        <v>40681</v>
      </c>
    </row>
    <row r="72" spans="1:21" ht="12" customHeight="1">
      <c r="A72" s="4">
        <v>1229</v>
      </c>
      <c r="B72" s="4">
        <v>8995</v>
      </c>
      <c r="C72" s="5">
        <f t="shared" si="29"/>
        <v>40680</v>
      </c>
      <c r="D72" s="4" t="s">
        <v>30</v>
      </c>
      <c r="E72" s="4">
        <v>42</v>
      </c>
      <c r="F72" s="4">
        <v>266.36</v>
      </c>
      <c r="G72" s="4">
        <v>7.0000000000000007E-2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0"/>
        <v>40681</v>
      </c>
    </row>
    <row r="73" spans="1:21" ht="12" customHeight="1">
      <c r="A73" s="4">
        <v>1230</v>
      </c>
      <c r="B73" s="4">
        <v>8995</v>
      </c>
      <c r="C73" s="5">
        <f t="shared" si="29"/>
        <v>40680</v>
      </c>
      <c r="D73" s="4" t="s">
        <v>30</v>
      </c>
      <c r="E73" s="4">
        <v>46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1">C73+2</f>
        <v>40682</v>
      </c>
    </row>
    <row r="74" spans="1:21" ht="12" customHeight="1">
      <c r="A74" s="4">
        <v>1259</v>
      </c>
      <c r="B74" s="4">
        <v>9127</v>
      </c>
      <c r="C74" s="5">
        <f>DATE(2012,12,31)-448</f>
        <v>40826</v>
      </c>
      <c r="D74" s="4" t="s">
        <v>45</v>
      </c>
      <c r="E74" s="4">
        <v>7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1"/>
        <v>40828</v>
      </c>
    </row>
    <row r="75" spans="1:21" ht="12" customHeight="1">
      <c r="A75" s="4">
        <v>1299</v>
      </c>
      <c r="B75" s="4">
        <v>9509</v>
      </c>
      <c r="C75" s="5">
        <f t="shared" ref="C75:C77" si="32">DATE(2012,12,31)-85</f>
        <v>41189</v>
      </c>
      <c r="D75" s="4" t="s">
        <v>45</v>
      </c>
      <c r="E75" s="4">
        <v>36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0.56999999999999995</v>
      </c>
      <c r="U75" s="5">
        <f t="shared" ref="U75:U76" si="33">C75+1</f>
        <v>41190</v>
      </c>
    </row>
    <row r="76" spans="1:21" ht="12" customHeight="1">
      <c r="A76" s="4">
        <v>1300</v>
      </c>
      <c r="B76" s="4">
        <v>9509</v>
      </c>
      <c r="C76" s="5">
        <f t="shared" si="32"/>
        <v>41189</v>
      </c>
      <c r="D76" s="4" t="s">
        <v>45</v>
      </c>
      <c r="E76" s="4">
        <v>5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3"/>
        <v>41190</v>
      </c>
    </row>
    <row r="77" spans="1:21" ht="12" customHeight="1">
      <c r="A77" s="4">
        <v>1301</v>
      </c>
      <c r="B77" s="4">
        <v>9509</v>
      </c>
      <c r="C77" s="5">
        <f t="shared" si="32"/>
        <v>41189</v>
      </c>
      <c r="D77" s="4" t="s">
        <v>45</v>
      </c>
      <c r="E77" s="4">
        <v>32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spans="1:21" ht="12" customHeight="1">
      <c r="A78" s="4">
        <v>1337</v>
      </c>
      <c r="B78" s="4">
        <v>9763</v>
      </c>
      <c r="C78" s="5">
        <f>DATE(2012,12,31)-506</f>
        <v>40768</v>
      </c>
      <c r="D78" s="4" t="s">
        <v>63</v>
      </c>
      <c r="E78" s="4">
        <v>44</v>
      </c>
      <c r="F78" s="4">
        <v>176.26</v>
      </c>
      <c r="G78" s="4">
        <v>7.0000000000000007E-2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spans="1:21" ht="12" customHeight="1">
      <c r="A79" s="4">
        <v>1370</v>
      </c>
      <c r="B79" s="4">
        <v>9927</v>
      </c>
      <c r="C79" s="5">
        <f t="shared" ref="C79:C81" si="34">DATE(2012,12,31)-503</f>
        <v>40771</v>
      </c>
      <c r="D79" s="4" t="s">
        <v>30</v>
      </c>
      <c r="E79" s="4">
        <v>32</v>
      </c>
      <c r="F79" s="4">
        <v>4655.07</v>
      </c>
      <c r="G79" s="4">
        <v>0</v>
      </c>
      <c r="H79" s="4" t="s">
        <v>31</v>
      </c>
      <c r="I79" s="6">
        <v>-270.63</v>
      </c>
      <c r="J79" s="4">
        <v>140.97999999999999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5">C79+1</f>
        <v>40772</v>
      </c>
    </row>
    <row r="80" spans="1:21" ht="12" customHeight="1">
      <c r="A80" s="4">
        <v>1371</v>
      </c>
      <c r="B80" s="4">
        <v>9927</v>
      </c>
      <c r="C80" s="5">
        <f t="shared" si="34"/>
        <v>40771</v>
      </c>
      <c r="D80" s="4" t="s">
        <v>30</v>
      </c>
      <c r="E80" s="4">
        <v>44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18.059999999999999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0.56999999999999995</v>
      </c>
      <c r="U80" s="5">
        <f t="shared" si="35"/>
        <v>40772</v>
      </c>
    </row>
    <row r="81" spans="1:21" ht="12" customHeight="1">
      <c r="A81" s="4">
        <v>1372</v>
      </c>
      <c r="B81" s="4">
        <v>9927</v>
      </c>
      <c r="C81" s="5">
        <f t="shared" si="34"/>
        <v>40771</v>
      </c>
      <c r="D81" s="4" t="s">
        <v>30</v>
      </c>
      <c r="E81" s="4">
        <v>34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5"/>
        <v>40772</v>
      </c>
    </row>
    <row r="82" spans="1:21" ht="12" customHeight="1">
      <c r="A82" s="4">
        <v>1457</v>
      </c>
      <c r="B82" s="4">
        <v>10499</v>
      </c>
      <c r="C82" s="5">
        <f>DATE(2012,12,31)-776</f>
        <v>40498</v>
      </c>
      <c r="D82" s="4" t="s">
        <v>45</v>
      </c>
      <c r="E82" s="4">
        <v>29</v>
      </c>
      <c r="F82" s="4">
        <v>6250.9360000000006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5"/>
        <v>40499</v>
      </c>
    </row>
    <row r="83" spans="1:21" ht="12" customHeight="1">
      <c r="A83" s="4">
        <v>1462</v>
      </c>
      <c r="B83" s="4">
        <v>10535</v>
      </c>
      <c r="C83" s="5">
        <f t="shared" ref="C83:C84" si="36">DATE(2012,12,31)-584</f>
        <v>40690</v>
      </c>
      <c r="D83" s="4" t="s">
        <v>21</v>
      </c>
      <c r="E83" s="4">
        <v>25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33.979999999999997</v>
      </c>
      <c r="K83" s="4">
        <v>19.989999999999998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0.55000000000000004</v>
      </c>
      <c r="U83" s="5">
        <f>C83+2</f>
        <v>40692</v>
      </c>
    </row>
    <row r="84" spans="1:21" ht="12" customHeight="1">
      <c r="A84" s="4">
        <v>1463</v>
      </c>
      <c r="B84" s="4">
        <v>10535</v>
      </c>
      <c r="C84" s="5">
        <f t="shared" si="36"/>
        <v>40690</v>
      </c>
      <c r="D84" s="4" t="s">
        <v>21</v>
      </c>
      <c r="E84" s="4">
        <v>46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0.56000000000000005</v>
      </c>
      <c r="U84" s="5">
        <f>C84+7</f>
        <v>40697</v>
      </c>
    </row>
    <row r="85" spans="1:21" ht="12" customHeight="1">
      <c r="A85" s="4">
        <v>1495</v>
      </c>
      <c r="B85" s="4">
        <v>10789</v>
      </c>
      <c r="C85" s="5">
        <f>DATE(2012,12,31)-861</f>
        <v>40413</v>
      </c>
      <c r="D85" s="4" t="s">
        <v>45</v>
      </c>
      <c r="E85" s="4">
        <v>15</v>
      </c>
      <c r="F85" s="4">
        <v>308.54000000000002</v>
      </c>
      <c r="G85" s="4">
        <v>0</v>
      </c>
      <c r="H85" s="4" t="s">
        <v>56</v>
      </c>
      <c r="I85" s="6">
        <v>76.42</v>
      </c>
      <c r="J85" s="4">
        <v>19.84</v>
      </c>
      <c r="K85" s="4">
        <v>4.0999999999999996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spans="1:21" ht="12" customHeight="1">
      <c r="A86" s="4">
        <v>1496</v>
      </c>
      <c r="B86" s="4">
        <v>10791</v>
      </c>
      <c r="C86" s="5">
        <f>DATE(2012,12,31)-500</f>
        <v>40774</v>
      </c>
      <c r="D86" s="4" t="s">
        <v>45</v>
      </c>
      <c r="E86" s="4">
        <v>20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7">C86+2</f>
        <v>40776</v>
      </c>
    </row>
    <row r="87" spans="1:21" ht="12" customHeight="1">
      <c r="A87" s="4">
        <v>1513</v>
      </c>
      <c r="B87" s="4">
        <v>10945</v>
      </c>
      <c r="C87" s="5">
        <f>DATE(2012,12,31)-363</f>
        <v>40911</v>
      </c>
      <c r="D87" s="4" t="s">
        <v>63</v>
      </c>
      <c r="E87" s="4">
        <v>14</v>
      </c>
      <c r="F87" s="4">
        <v>1170.0250000000001</v>
      </c>
      <c r="G87" s="4">
        <v>0.04</v>
      </c>
      <c r="H87" s="4" t="s">
        <v>22</v>
      </c>
      <c r="I87" s="6">
        <v>4.2210000000000107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0.56999999999999995</v>
      </c>
      <c r="U87" s="5">
        <f t="shared" si="37"/>
        <v>40913</v>
      </c>
    </row>
    <row r="88" spans="1:21" ht="12" customHeight="1">
      <c r="A88" s="4">
        <v>1544</v>
      </c>
      <c r="B88" s="4">
        <v>11137</v>
      </c>
      <c r="C88" s="5">
        <f>DATE(2012,12,31)-32</f>
        <v>41242</v>
      </c>
      <c r="D88" s="4" t="s">
        <v>30</v>
      </c>
      <c r="E88" s="4">
        <v>48</v>
      </c>
      <c r="F88" s="4">
        <v>5188.8599999999997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8">C88+1</f>
        <v>41243</v>
      </c>
    </row>
    <row r="89" spans="1:21" ht="12" customHeight="1">
      <c r="A89" s="4">
        <v>1551</v>
      </c>
      <c r="B89" s="4">
        <v>11202</v>
      </c>
      <c r="C89" s="5">
        <f>DATE(2012,12,31)-289</f>
        <v>40985</v>
      </c>
      <c r="D89" s="4" t="s">
        <v>63</v>
      </c>
      <c r="E89" s="4">
        <v>8</v>
      </c>
      <c r="F89" s="4">
        <v>339.81</v>
      </c>
      <c r="G89" s="4">
        <v>0.05</v>
      </c>
      <c r="H89" s="4" t="s">
        <v>22</v>
      </c>
      <c r="I89" s="6">
        <v>79.585499999999996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8"/>
        <v>40986</v>
      </c>
    </row>
    <row r="90" spans="1:21" ht="12" customHeight="1">
      <c r="A90" s="4">
        <v>1589</v>
      </c>
      <c r="B90" s="4">
        <v>11456</v>
      </c>
      <c r="C90" s="5">
        <f>DATE(2012,12,31)-994</f>
        <v>40280</v>
      </c>
      <c r="D90" s="4" t="s">
        <v>21</v>
      </c>
      <c r="E90" s="4">
        <v>15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spans="1:21" ht="12" customHeight="1">
      <c r="A91" s="4">
        <v>1590</v>
      </c>
      <c r="B91" s="4">
        <v>11460</v>
      </c>
      <c r="C91" s="5">
        <f>DATE(2012,12,31)-860</f>
        <v>40414</v>
      </c>
      <c r="D91" s="4" t="s">
        <v>30</v>
      </c>
      <c r="E91" s="4">
        <v>30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spans="1:21" ht="12" customHeight="1">
      <c r="A92" s="4">
        <v>1594</v>
      </c>
      <c r="B92" s="4">
        <v>11495</v>
      </c>
      <c r="C92" s="5">
        <f>DATE(2012,12,31)-546</f>
        <v>40728</v>
      </c>
      <c r="D92" s="4" t="s">
        <v>30</v>
      </c>
      <c r="E92" s="4">
        <v>6</v>
      </c>
      <c r="F92" s="4">
        <v>965.69</v>
      </c>
      <c r="G92" s="4">
        <v>0</v>
      </c>
      <c r="H92" s="4" t="s">
        <v>31</v>
      </c>
      <c r="I92" s="6">
        <v>-144.19800000000001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spans="1:21" ht="12" customHeight="1">
      <c r="A93" s="4">
        <v>1654</v>
      </c>
      <c r="B93" s="4">
        <v>11911</v>
      </c>
      <c r="C93" s="5">
        <f>DATE(2012,12,31)-782</f>
        <v>40492</v>
      </c>
      <c r="D93" s="4" t="s">
        <v>78</v>
      </c>
      <c r="E93" s="4">
        <v>25</v>
      </c>
      <c r="F93" s="4">
        <v>397.84</v>
      </c>
      <c r="G93" s="4">
        <v>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spans="1:21" ht="12" customHeight="1">
      <c r="A94" s="4">
        <v>1655</v>
      </c>
      <c r="B94" s="4">
        <v>11941</v>
      </c>
      <c r="C94" s="5">
        <f t="shared" ref="C94:C95" si="39">DATE(2012,12,31)-921</f>
        <v>40353</v>
      </c>
      <c r="D94" s="4" t="s">
        <v>78</v>
      </c>
      <c r="E94" s="4">
        <v>4</v>
      </c>
      <c r="F94" s="4">
        <v>73.069999999999993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0">C94+1</f>
        <v>40354</v>
      </c>
    </row>
    <row r="95" spans="1:21" ht="12" customHeight="1">
      <c r="A95" s="4">
        <v>1656</v>
      </c>
      <c r="B95" s="4">
        <v>11941</v>
      </c>
      <c r="C95" s="5">
        <f t="shared" si="39"/>
        <v>40353</v>
      </c>
      <c r="D95" s="4" t="s">
        <v>78</v>
      </c>
      <c r="E95" s="4">
        <v>26</v>
      </c>
      <c r="F95" s="4">
        <v>4679.1000000000004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0"/>
        <v>40354</v>
      </c>
    </row>
    <row r="96" spans="1:21" ht="12" customHeight="1">
      <c r="A96" s="4">
        <v>1675</v>
      </c>
      <c r="B96" s="4">
        <v>12096</v>
      </c>
      <c r="C96" s="5">
        <f t="shared" ref="C96:C97" si="41">DATE(2012,12,31)-103</f>
        <v>41171</v>
      </c>
      <c r="D96" s="4" t="s">
        <v>63</v>
      </c>
      <c r="E96" s="4">
        <v>46</v>
      </c>
      <c r="F96" s="4">
        <v>8009.5924999999988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spans="1:21" ht="12" customHeight="1">
      <c r="A97" s="4">
        <v>1676</v>
      </c>
      <c r="B97" s="4">
        <v>12096</v>
      </c>
      <c r="C97" s="5">
        <f t="shared" si="41"/>
        <v>41171</v>
      </c>
      <c r="D97" s="4" t="s">
        <v>63</v>
      </c>
      <c r="E97" s="4">
        <v>23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spans="1:21" ht="12" customHeight="1">
      <c r="A98" s="4">
        <v>1710</v>
      </c>
      <c r="B98" s="4">
        <v>12289</v>
      </c>
      <c r="C98" s="5">
        <f>DATE(2012,12,31)-373</f>
        <v>40901</v>
      </c>
      <c r="D98" s="4" t="s">
        <v>21</v>
      </c>
      <c r="E98" s="4">
        <v>25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spans="1:21" ht="12" customHeight="1">
      <c r="A99" s="4">
        <v>1718</v>
      </c>
      <c r="B99" s="4">
        <v>12352</v>
      </c>
      <c r="C99" s="5">
        <f>DATE(2012,12,31)-283</f>
        <v>40991</v>
      </c>
      <c r="D99" s="4" t="s">
        <v>63</v>
      </c>
      <c r="E99" s="4">
        <v>5</v>
      </c>
      <c r="F99" s="4">
        <v>36.86</v>
      </c>
      <c r="G99" s="4">
        <v>7.0000000000000007E-2</v>
      </c>
      <c r="H99" s="4" t="s">
        <v>22</v>
      </c>
      <c r="I99" s="6">
        <v>-32.820999999999998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spans="1:21" ht="12" customHeight="1">
      <c r="A100" s="4">
        <v>1727</v>
      </c>
      <c r="B100" s="4">
        <v>12419</v>
      </c>
      <c r="C100" s="5">
        <f>DATE(2012,12,31)-443</f>
        <v>40831</v>
      </c>
      <c r="D100" s="4" t="s">
        <v>78</v>
      </c>
      <c r="E100" s="4">
        <v>12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spans="1:21" ht="12" customHeight="1">
      <c r="A101" s="4">
        <v>1745</v>
      </c>
      <c r="B101" s="4">
        <v>12485</v>
      </c>
      <c r="C101" s="5">
        <f>DATE(2012,12,31)-877</f>
        <v>40397</v>
      </c>
      <c r="D101" s="4" t="s">
        <v>78</v>
      </c>
      <c r="E101" s="4">
        <v>24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spans="1:21" ht="12" customHeight="1">
      <c r="A102" s="4">
        <v>1770</v>
      </c>
      <c r="B102" s="4">
        <v>12704</v>
      </c>
      <c r="C102" s="5">
        <f t="shared" ref="C102:C103" si="42">DATE(2012,12,31)-1056</f>
        <v>40218</v>
      </c>
      <c r="D102" s="4" t="s">
        <v>21</v>
      </c>
      <c r="E102" s="4">
        <v>44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spans="1:21" ht="12" customHeight="1">
      <c r="A103" s="4">
        <v>1771</v>
      </c>
      <c r="B103" s="4">
        <v>12704</v>
      </c>
      <c r="C103" s="5">
        <f t="shared" si="42"/>
        <v>40218</v>
      </c>
      <c r="D103" s="4" t="s">
        <v>21</v>
      </c>
      <c r="E103" s="4">
        <v>28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spans="1:21" ht="12" customHeight="1">
      <c r="A104" s="4">
        <v>1806</v>
      </c>
      <c r="B104" s="4">
        <v>12929</v>
      </c>
      <c r="C104" s="5">
        <f t="shared" ref="C104:C105" si="43">DATE(2012,12,31)-854</f>
        <v>40420</v>
      </c>
      <c r="D104" s="4" t="s">
        <v>78</v>
      </c>
      <c r="E104" s="4">
        <v>19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4">C104+1</f>
        <v>40421</v>
      </c>
    </row>
    <row r="105" spans="1:21" ht="12" customHeight="1">
      <c r="A105" s="4">
        <v>1807</v>
      </c>
      <c r="B105" s="4">
        <v>12929</v>
      </c>
      <c r="C105" s="5">
        <f t="shared" si="43"/>
        <v>40420</v>
      </c>
      <c r="D105" s="4" t="s">
        <v>78</v>
      </c>
      <c r="E105" s="4">
        <v>20</v>
      </c>
      <c r="F105" s="4">
        <v>95.3</v>
      </c>
      <c r="G105" s="4">
        <v>0</v>
      </c>
      <c r="H105" s="4" t="s">
        <v>22</v>
      </c>
      <c r="I105" s="6">
        <v>29.68</v>
      </c>
      <c r="J105" s="4">
        <v>4.4800000000000004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4"/>
        <v>40421</v>
      </c>
    </row>
    <row r="106" spans="1:21" ht="12" customHeight="1">
      <c r="A106" s="4">
        <v>1855</v>
      </c>
      <c r="B106" s="4">
        <v>13346</v>
      </c>
      <c r="C106" s="5">
        <f>DATE(2012,12,31)-46</f>
        <v>41228</v>
      </c>
      <c r="D106" s="4" t="s">
        <v>21</v>
      </c>
      <c r="E106" s="4">
        <v>44</v>
      </c>
      <c r="F106" s="4">
        <v>268.33999999999997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8.8800000000000008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spans="1:21" ht="12" customHeight="1">
      <c r="A107" s="4">
        <v>1913</v>
      </c>
      <c r="B107" s="4">
        <v>13702</v>
      </c>
      <c r="C107" s="5">
        <f>DATE(2012,12,31)-478</f>
        <v>40796</v>
      </c>
      <c r="D107" s="4" t="s">
        <v>21</v>
      </c>
      <c r="E107" s="4">
        <v>6</v>
      </c>
      <c r="F107" s="4">
        <v>209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spans="1:21" ht="12" customHeight="1">
      <c r="A108" s="4">
        <v>1928</v>
      </c>
      <c r="B108" s="4">
        <v>13795</v>
      </c>
      <c r="C108" s="5">
        <f t="shared" ref="C108:C110" si="45">DATE(2012,12,31)-631</f>
        <v>40643</v>
      </c>
      <c r="D108" s="4" t="s">
        <v>45</v>
      </c>
      <c r="E108" s="4">
        <v>30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6">C108+3</f>
        <v>40646</v>
      </c>
    </row>
    <row r="109" spans="1:21" ht="12" customHeight="1">
      <c r="A109" s="4">
        <v>1929</v>
      </c>
      <c r="B109" s="4">
        <v>13795</v>
      </c>
      <c r="C109" s="5">
        <f t="shared" si="45"/>
        <v>40643</v>
      </c>
      <c r="D109" s="4" t="s">
        <v>45</v>
      </c>
      <c r="E109" s="4">
        <v>23</v>
      </c>
      <c r="F109" s="4">
        <v>275.16000000000003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6"/>
        <v>40646</v>
      </c>
    </row>
    <row r="110" spans="1:21" ht="12" customHeight="1">
      <c r="A110" s="4">
        <v>1930</v>
      </c>
      <c r="B110" s="4">
        <v>13795</v>
      </c>
      <c r="C110" s="5">
        <f t="shared" si="45"/>
        <v>40643</v>
      </c>
      <c r="D110" s="4" t="s">
        <v>45</v>
      </c>
      <c r="E110" s="4">
        <v>37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spans="1:21" ht="12" customHeight="1">
      <c r="A111" s="4">
        <v>1978</v>
      </c>
      <c r="B111" s="4">
        <v>14116</v>
      </c>
      <c r="C111" s="5">
        <f t="shared" ref="C111:C112" si="47">DATE(2012,12,31)-449</f>
        <v>40825</v>
      </c>
      <c r="D111" s="4" t="s">
        <v>30</v>
      </c>
      <c r="E111" s="4">
        <v>1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spans="1:21" ht="12" customHeight="1">
      <c r="A112" s="4">
        <v>1979</v>
      </c>
      <c r="B112" s="4">
        <v>14116</v>
      </c>
      <c r="C112" s="5">
        <f t="shared" si="47"/>
        <v>40825</v>
      </c>
      <c r="D112" s="4" t="s">
        <v>30</v>
      </c>
      <c r="E112" s="4">
        <v>42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spans="1:21" ht="12" customHeight="1">
      <c r="A113" s="4">
        <v>2013</v>
      </c>
      <c r="B113" s="4">
        <v>14372</v>
      </c>
      <c r="C113" s="5">
        <f>DATE(2012,12,31)-69</f>
        <v>41205</v>
      </c>
      <c r="D113" s="4" t="s">
        <v>78</v>
      </c>
      <c r="E113" s="4">
        <v>34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spans="1:21" ht="12" customHeight="1">
      <c r="A114" s="4">
        <v>2058</v>
      </c>
      <c r="B114" s="4">
        <v>14726</v>
      </c>
      <c r="C114" s="5">
        <f>DATE(2012,12,31)-358</f>
        <v>40916</v>
      </c>
      <c r="D114" s="4" t="s">
        <v>21</v>
      </c>
      <c r="E114" s="4">
        <v>15</v>
      </c>
      <c r="F114" s="4">
        <v>310.87</v>
      </c>
      <c r="G114" s="4">
        <v>7.0000000000000007E-2</v>
      </c>
      <c r="H114" s="4" t="s">
        <v>22</v>
      </c>
      <c r="I114" s="6">
        <v>-21.48</v>
      </c>
      <c r="J114" s="4">
        <v>20.95</v>
      </c>
      <c r="K114" s="4">
        <v>4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spans="1:21" ht="12" customHeight="1">
      <c r="A115" s="4">
        <v>2070</v>
      </c>
      <c r="B115" s="4">
        <v>14819</v>
      </c>
      <c r="C115" s="5">
        <f t="shared" ref="C115:C116" si="48">DATE(2012,12,31)-1071</f>
        <v>40203</v>
      </c>
      <c r="D115" s="4" t="s">
        <v>45</v>
      </c>
      <c r="E115" s="4">
        <v>48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0.55000000000000004</v>
      </c>
      <c r="U115" s="5">
        <f>C115+2</f>
        <v>40205</v>
      </c>
    </row>
    <row r="116" spans="1:21" ht="12" customHeight="1">
      <c r="A116" s="4">
        <v>2071</v>
      </c>
      <c r="B116" s="4">
        <v>14819</v>
      </c>
      <c r="C116" s="5">
        <f t="shared" si="48"/>
        <v>40203</v>
      </c>
      <c r="D116" s="4" t="s">
        <v>45</v>
      </c>
      <c r="E116" s="4">
        <v>27</v>
      </c>
      <c r="F116" s="4">
        <v>1584.1</v>
      </c>
      <c r="G116" s="4">
        <v>7.0000000000000007E-2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spans="1:21" ht="12" customHeight="1">
      <c r="A117" s="4">
        <v>2114</v>
      </c>
      <c r="B117" s="4">
        <v>15106</v>
      </c>
      <c r="C117" s="5">
        <f t="shared" ref="C117:C119" si="49">DATE(2012,12,31)-704</f>
        <v>40570</v>
      </c>
      <c r="D117" s="4" t="s">
        <v>45</v>
      </c>
      <c r="E117" s="4">
        <v>42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spans="1:21" ht="12" customHeight="1">
      <c r="A118" s="4">
        <v>2115</v>
      </c>
      <c r="B118" s="4">
        <v>15106</v>
      </c>
      <c r="C118" s="5">
        <f t="shared" si="49"/>
        <v>40570</v>
      </c>
      <c r="D118" s="4" t="s">
        <v>45</v>
      </c>
      <c r="E118" s="4">
        <v>39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145.44999999999999</v>
      </c>
      <c r="K118" s="4">
        <v>17.850000000000001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0.56000000000000005</v>
      </c>
      <c r="U118" s="5">
        <f>C118+0</f>
        <v>40570</v>
      </c>
    </row>
    <row r="119" spans="1:21" ht="12" customHeight="1">
      <c r="A119" s="4">
        <v>2116</v>
      </c>
      <c r="B119" s="4">
        <v>15106</v>
      </c>
      <c r="C119" s="5">
        <f t="shared" si="49"/>
        <v>40570</v>
      </c>
      <c r="D119" s="4" t="s">
        <v>45</v>
      </c>
      <c r="E119" s="4">
        <v>35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1.1200000000000001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0.57999999999999996</v>
      </c>
      <c r="U119" s="5">
        <f t="shared" ref="U119:U120" si="50">C119+2</f>
        <v>40572</v>
      </c>
    </row>
    <row r="120" spans="1:21" ht="12" customHeight="1">
      <c r="A120" s="4">
        <v>2129</v>
      </c>
      <c r="B120" s="4">
        <v>15205</v>
      </c>
      <c r="C120" s="5">
        <f t="shared" ref="C120:C121" si="51">DATE(2012,12,31)-655</f>
        <v>40619</v>
      </c>
      <c r="D120" s="4" t="s">
        <v>78</v>
      </c>
      <c r="E120" s="4">
        <v>18</v>
      </c>
      <c r="F120" s="4">
        <v>4605.3599999999997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0.55000000000000004</v>
      </c>
      <c r="U120" s="5">
        <f t="shared" si="50"/>
        <v>40621</v>
      </c>
    </row>
    <row r="121" spans="1:21" ht="12" customHeight="1">
      <c r="A121" s="4">
        <v>2130</v>
      </c>
      <c r="B121" s="4">
        <v>15205</v>
      </c>
      <c r="C121" s="5">
        <f t="shared" si="51"/>
        <v>40619</v>
      </c>
      <c r="D121" s="4" t="s">
        <v>78</v>
      </c>
      <c r="E121" s="4">
        <v>42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39.979999999999997</v>
      </c>
      <c r="K121" s="4">
        <v>9.1999999999999993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spans="1:21" ht="12" customHeight="1">
      <c r="A122" s="4">
        <v>2161</v>
      </c>
      <c r="B122" s="4">
        <v>15591</v>
      </c>
      <c r="C122" s="5">
        <f>DATE(2012,12,31)-208</f>
        <v>41066</v>
      </c>
      <c r="D122" s="4" t="s">
        <v>78</v>
      </c>
      <c r="E122" s="4">
        <v>31</v>
      </c>
      <c r="F122" s="4">
        <v>426.34</v>
      </c>
      <c r="G122" s="4">
        <v>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2">C122+2</f>
        <v>41068</v>
      </c>
    </row>
    <row r="123" spans="1:21" ht="12" customHeight="1">
      <c r="A123" s="4">
        <v>2206</v>
      </c>
      <c r="B123" s="4">
        <v>15907</v>
      </c>
      <c r="C123" s="5">
        <f t="shared" ref="C123:C125" si="53">DATE(2012,12,31)-630</f>
        <v>40644</v>
      </c>
      <c r="D123" s="4" t="s">
        <v>30</v>
      </c>
      <c r="E123" s="4">
        <v>36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2"/>
        <v>40646</v>
      </c>
    </row>
    <row r="124" spans="1:21" ht="12" customHeight="1">
      <c r="A124" s="4">
        <v>2207</v>
      </c>
      <c r="B124" s="4">
        <v>15907</v>
      </c>
      <c r="C124" s="5">
        <f t="shared" si="53"/>
        <v>40644</v>
      </c>
      <c r="D124" s="4" t="s">
        <v>30</v>
      </c>
      <c r="E124" s="4">
        <v>36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spans="1:21" ht="12" customHeight="1">
      <c r="A125" s="4">
        <v>2208</v>
      </c>
      <c r="B125" s="4">
        <v>15907</v>
      </c>
      <c r="C125" s="5">
        <f t="shared" si="53"/>
        <v>40644</v>
      </c>
      <c r="D125" s="4" t="s">
        <v>30</v>
      </c>
      <c r="E125" s="4">
        <v>4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spans="1:21" ht="12" customHeight="1">
      <c r="A126" s="4">
        <v>2209</v>
      </c>
      <c r="B126" s="4">
        <v>15937</v>
      </c>
      <c r="C126" s="5">
        <f t="shared" ref="C126:C127" si="54">DATE(2012,12,31)-55</f>
        <v>41219</v>
      </c>
      <c r="D126" s="4" t="s">
        <v>21</v>
      </c>
      <c r="E126" s="4">
        <v>32</v>
      </c>
      <c r="F126" s="4">
        <v>311.44</v>
      </c>
      <c r="G126" s="4">
        <v>0.04</v>
      </c>
      <c r="H126" s="4" t="s">
        <v>22</v>
      </c>
      <c r="I126" s="6">
        <v>74.069999999999993</v>
      </c>
      <c r="J126" s="4">
        <v>9.7799999999999994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spans="1:21" ht="12" customHeight="1">
      <c r="A127" s="4">
        <v>2210</v>
      </c>
      <c r="B127" s="4">
        <v>15937</v>
      </c>
      <c r="C127" s="5">
        <f t="shared" si="54"/>
        <v>41219</v>
      </c>
      <c r="D127" s="4" t="s">
        <v>21</v>
      </c>
      <c r="E127" s="4">
        <v>17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0.55000000000000004</v>
      </c>
      <c r="U127" s="5">
        <f>C127+9</f>
        <v>41228</v>
      </c>
    </row>
    <row r="128" spans="1:21" ht="12" customHeight="1">
      <c r="A128" s="4">
        <v>2221</v>
      </c>
      <c r="B128" s="4">
        <v>16039</v>
      </c>
      <c r="C128" s="5">
        <f>DATE(2012,12,31)-229</f>
        <v>41045</v>
      </c>
      <c r="D128" s="4" t="s">
        <v>30</v>
      </c>
      <c r="E128" s="4">
        <v>3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spans="1:21" ht="12" customHeight="1">
      <c r="A129" s="4">
        <v>2246</v>
      </c>
      <c r="B129" s="4">
        <v>16193</v>
      </c>
      <c r="C129" s="5">
        <f t="shared" ref="C129:C130" si="55">DATE(2012,12,31)-266</f>
        <v>41008</v>
      </c>
      <c r="D129" s="4" t="s">
        <v>45</v>
      </c>
      <c r="E129" s="4">
        <v>8</v>
      </c>
      <c r="F129" s="4">
        <v>300.2</v>
      </c>
      <c r="G129" s="4">
        <v>0</v>
      </c>
      <c r="H129" s="4" t="s">
        <v>22</v>
      </c>
      <c r="I129" s="6">
        <v>6.4100000000000108</v>
      </c>
      <c r="J129" s="4">
        <v>34.76</v>
      </c>
      <c r="K129" s="4">
        <v>8.2200000000000006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0.56999999999999995</v>
      </c>
      <c r="U129" s="5">
        <f t="shared" ref="U129:U133" si="56">C129+2</f>
        <v>41010</v>
      </c>
    </row>
    <row r="130" spans="1:21" ht="12" customHeight="1">
      <c r="A130" s="4">
        <v>2247</v>
      </c>
      <c r="B130" s="4">
        <v>16193</v>
      </c>
      <c r="C130" s="5">
        <f t="shared" si="55"/>
        <v>41008</v>
      </c>
      <c r="D130" s="4" t="s">
        <v>45</v>
      </c>
      <c r="E130" s="4">
        <v>29</v>
      </c>
      <c r="F130" s="4">
        <v>1364.8025</v>
      </c>
      <c r="G130" s="4">
        <v>7.0000000000000007E-2</v>
      </c>
      <c r="H130" s="4" t="s">
        <v>22</v>
      </c>
      <c r="I130" s="6">
        <v>-183.678</v>
      </c>
      <c r="J130" s="4">
        <v>55.99</v>
      </c>
      <c r="K130" s="4">
        <v>5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6"/>
        <v>41010</v>
      </c>
    </row>
    <row r="131" spans="1:21" ht="12" customHeight="1">
      <c r="A131" s="4">
        <v>2281</v>
      </c>
      <c r="B131" s="4">
        <v>16423</v>
      </c>
      <c r="C131" s="5">
        <f>DATE(2012,12,31)-148</f>
        <v>41126</v>
      </c>
      <c r="D131" s="4" t="s">
        <v>63</v>
      </c>
      <c r="E131" s="4">
        <v>19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6"/>
        <v>41128</v>
      </c>
    </row>
    <row r="132" spans="1:21" ht="12" customHeight="1">
      <c r="A132" s="4">
        <v>2294</v>
      </c>
      <c r="B132" s="4">
        <v>16545</v>
      </c>
      <c r="C132" s="5">
        <f t="shared" ref="C132:C133" si="57">DATE(2012,12,31)-967</f>
        <v>40307</v>
      </c>
      <c r="D132" s="4" t="s">
        <v>45</v>
      </c>
      <c r="E132" s="4">
        <v>10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0.56000000000000005</v>
      </c>
      <c r="U132" s="5">
        <f t="shared" si="56"/>
        <v>40309</v>
      </c>
    </row>
    <row r="133" spans="1:21" ht="12" customHeight="1">
      <c r="A133" s="4">
        <v>2295</v>
      </c>
      <c r="B133" s="4">
        <v>16545</v>
      </c>
      <c r="C133" s="5">
        <f t="shared" si="57"/>
        <v>40307</v>
      </c>
      <c r="D133" s="4" t="s">
        <v>45</v>
      </c>
      <c r="E133" s="4">
        <v>1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6"/>
        <v>40309</v>
      </c>
    </row>
    <row r="134" spans="1:21" ht="12" customHeight="1">
      <c r="A134" s="4">
        <v>2316</v>
      </c>
      <c r="B134" s="4">
        <v>16706</v>
      </c>
      <c r="C134" s="5">
        <f t="shared" ref="C134:C136" si="58">DATE(2012,12,31)-187</f>
        <v>41087</v>
      </c>
      <c r="D134" s="4" t="s">
        <v>30</v>
      </c>
      <c r="E134" s="4">
        <v>47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34.200000000000003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59">C134+1</f>
        <v>41088</v>
      </c>
    </row>
    <row r="135" spans="1:21" ht="12" customHeight="1">
      <c r="A135" s="4">
        <v>2317</v>
      </c>
      <c r="B135" s="4">
        <v>16706</v>
      </c>
      <c r="C135" s="5">
        <f t="shared" si="58"/>
        <v>41087</v>
      </c>
      <c r="D135" s="4" t="s">
        <v>30</v>
      </c>
      <c r="E135" s="4">
        <v>6</v>
      </c>
      <c r="F135" s="4">
        <v>18.37</v>
      </c>
      <c r="G135" s="4">
        <v>0.01</v>
      </c>
      <c r="H135" s="4" t="s">
        <v>22</v>
      </c>
      <c r="I135" s="6">
        <v>-4.0599999999999996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0.57999999999999996</v>
      </c>
      <c r="U135" s="5">
        <f t="shared" si="59"/>
        <v>41088</v>
      </c>
    </row>
    <row r="136" spans="1:21" ht="12" customHeight="1">
      <c r="A136" s="4">
        <v>2318</v>
      </c>
      <c r="B136" s="4">
        <v>16706</v>
      </c>
      <c r="C136" s="5">
        <f t="shared" si="58"/>
        <v>41087</v>
      </c>
      <c r="D136" s="4" t="s">
        <v>30</v>
      </c>
      <c r="E136" s="4">
        <v>49</v>
      </c>
      <c r="F136" s="4">
        <v>6175.777</v>
      </c>
      <c r="G136" s="4">
        <v>7.0000000000000007E-2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0.55000000000000004</v>
      </c>
      <c r="U136" s="5">
        <f>C136+2</f>
        <v>41089</v>
      </c>
    </row>
    <row r="137" spans="1:21" ht="12" customHeight="1">
      <c r="A137" s="4">
        <v>2323</v>
      </c>
      <c r="B137" s="4">
        <v>16741</v>
      </c>
      <c r="C137" s="5">
        <f>DATE(2012,12,31)-823</f>
        <v>40451</v>
      </c>
      <c r="D137" s="4" t="s">
        <v>63</v>
      </c>
      <c r="E137" s="4">
        <v>6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0">C137+1</f>
        <v>40452</v>
      </c>
    </row>
    <row r="138" spans="1:21" ht="12" customHeight="1">
      <c r="A138" s="4">
        <v>2346</v>
      </c>
      <c r="B138" s="4">
        <v>16932</v>
      </c>
      <c r="C138" s="5">
        <f t="shared" ref="C138:C139" si="61">DATE(2012,12,31)-991</f>
        <v>40283</v>
      </c>
      <c r="D138" s="4" t="s">
        <v>78</v>
      </c>
      <c r="E138" s="4">
        <v>25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0"/>
        <v>40284</v>
      </c>
    </row>
    <row r="139" spans="1:21" ht="12" customHeight="1">
      <c r="A139" s="4">
        <v>2347</v>
      </c>
      <c r="B139" s="4">
        <v>16932</v>
      </c>
      <c r="C139" s="5">
        <f t="shared" si="61"/>
        <v>40283</v>
      </c>
      <c r="D139" s="4" t="s">
        <v>78</v>
      </c>
      <c r="E139" s="4">
        <v>20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spans="1:21" ht="12" customHeight="1">
      <c r="A140" s="4">
        <v>2383</v>
      </c>
      <c r="B140" s="4">
        <v>17283</v>
      </c>
      <c r="C140" s="5">
        <f>DATE(2012,12,31)-474</f>
        <v>40800</v>
      </c>
      <c r="D140" s="4" t="s">
        <v>45</v>
      </c>
      <c r="E140" s="4">
        <v>4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2">C140+1</f>
        <v>40801</v>
      </c>
    </row>
    <row r="141" spans="1:21" ht="12" customHeight="1">
      <c r="A141" s="4">
        <v>2384</v>
      </c>
      <c r="B141" s="4">
        <v>17286</v>
      </c>
      <c r="C141" s="5">
        <f>DATE(2012,12,31)-832</f>
        <v>40442</v>
      </c>
      <c r="D141" s="4" t="s">
        <v>30</v>
      </c>
      <c r="E141" s="4">
        <v>7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2"/>
        <v>40443</v>
      </c>
    </row>
    <row r="142" spans="1:21" ht="12" customHeight="1">
      <c r="A142" s="4">
        <v>2402</v>
      </c>
      <c r="B142" s="4">
        <v>17409</v>
      </c>
      <c r="C142" s="5">
        <f>DATE(2012,12,31)-867</f>
        <v>40407</v>
      </c>
      <c r="D142" s="4" t="s">
        <v>45</v>
      </c>
      <c r="E142" s="4">
        <v>31</v>
      </c>
      <c r="F142" s="4">
        <v>633.55999999999995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3">C142+2</f>
        <v>40409</v>
      </c>
    </row>
    <row r="143" spans="1:21" ht="12" customHeight="1">
      <c r="A143" s="4">
        <v>2487</v>
      </c>
      <c r="B143" s="4">
        <v>18113</v>
      </c>
      <c r="C143" s="5">
        <f>DATE(2012,12,31)-125</f>
        <v>41149</v>
      </c>
      <c r="D143" s="4" t="s">
        <v>45</v>
      </c>
      <c r="E143" s="4">
        <v>27</v>
      </c>
      <c r="F143" s="4">
        <v>3316.08</v>
      </c>
      <c r="G143" s="4">
        <v>0.08</v>
      </c>
      <c r="H143" s="4" t="s">
        <v>31</v>
      </c>
      <c r="I143" s="6">
        <v>-514.32000000000005</v>
      </c>
      <c r="J143" s="4">
        <v>130.97999999999999</v>
      </c>
      <c r="K143" s="4">
        <v>30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3"/>
        <v>41151</v>
      </c>
    </row>
    <row r="144" spans="1:21" ht="12" customHeight="1">
      <c r="A144" s="4">
        <v>2489</v>
      </c>
      <c r="B144" s="4">
        <v>18144</v>
      </c>
      <c r="C144" s="5">
        <f t="shared" ref="C144:C146" si="64">DATE(2012,12,31)-573</f>
        <v>40701</v>
      </c>
      <c r="D144" s="4" t="s">
        <v>78</v>
      </c>
      <c r="E144" s="4">
        <v>48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3"/>
        <v>40703</v>
      </c>
    </row>
    <row r="145" spans="1:21" ht="12" customHeight="1">
      <c r="A145" s="4">
        <v>2490</v>
      </c>
      <c r="B145" s="4">
        <v>18144</v>
      </c>
      <c r="C145" s="5">
        <f t="shared" si="64"/>
        <v>40701</v>
      </c>
      <c r="D145" s="4" t="s">
        <v>78</v>
      </c>
      <c r="E145" s="4">
        <v>8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0.57999999999999996</v>
      </c>
      <c r="U145" s="5">
        <f t="shared" si="63"/>
        <v>40703</v>
      </c>
    </row>
    <row r="146" spans="1:21" ht="12" customHeight="1">
      <c r="A146" s="4">
        <v>2491</v>
      </c>
      <c r="B146" s="4">
        <v>18144</v>
      </c>
      <c r="C146" s="5">
        <f t="shared" si="64"/>
        <v>40701</v>
      </c>
      <c r="D146" s="4" t="s">
        <v>78</v>
      </c>
      <c r="E146" s="4">
        <v>41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3"/>
        <v>40703</v>
      </c>
    </row>
    <row r="147" spans="1:21" ht="12" customHeight="1">
      <c r="A147" s="4">
        <v>2615</v>
      </c>
      <c r="B147" s="4">
        <v>18887</v>
      </c>
      <c r="C147" s="5">
        <f>DATE(2012,12,31)-757</f>
        <v>40517</v>
      </c>
      <c r="D147" s="4" t="s">
        <v>45</v>
      </c>
      <c r="E147" s="4">
        <v>9</v>
      </c>
      <c r="F147" s="4">
        <v>173.417</v>
      </c>
      <c r="G147" s="4">
        <v>0</v>
      </c>
      <c r="H147" s="4" t="s">
        <v>22</v>
      </c>
      <c r="I147" s="6">
        <v>18.234000000000002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3"/>
        <v>40519</v>
      </c>
    </row>
    <row r="148" spans="1:21" ht="12" customHeight="1">
      <c r="A148" s="4">
        <v>2643</v>
      </c>
      <c r="B148" s="4">
        <v>19138</v>
      </c>
      <c r="C148" s="5">
        <f>DATE(2012,12,31)-483</f>
        <v>40791</v>
      </c>
      <c r="D148" s="4" t="s">
        <v>21</v>
      </c>
      <c r="E148" s="4">
        <v>30</v>
      </c>
      <c r="F148" s="4">
        <v>387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0.56999999999999995</v>
      </c>
      <c r="U148" s="5">
        <f>C148+5</f>
        <v>40796</v>
      </c>
    </row>
    <row r="149" spans="1:21" ht="12" customHeight="1">
      <c r="A149" s="4">
        <v>2727</v>
      </c>
      <c r="B149" s="4">
        <v>19686</v>
      </c>
      <c r="C149" s="5">
        <f t="shared" ref="C149:C150" si="65">DATE(2012,12,31)-869</f>
        <v>40405</v>
      </c>
      <c r="D149" s="4" t="s">
        <v>63</v>
      </c>
      <c r="E149" s="4">
        <v>2</v>
      </c>
      <c r="F149" s="4">
        <v>42.31</v>
      </c>
      <c r="G149" s="4">
        <v>0.06</v>
      </c>
      <c r="H149" s="4" t="s">
        <v>22</v>
      </c>
      <c r="I149" s="6">
        <v>-53.078699999999998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spans="1:21" ht="12" customHeight="1">
      <c r="A150" s="4">
        <v>2728</v>
      </c>
      <c r="B150" s="4">
        <v>19686</v>
      </c>
      <c r="C150" s="5">
        <f t="shared" si="65"/>
        <v>40405</v>
      </c>
      <c r="D150" s="4" t="s">
        <v>63</v>
      </c>
      <c r="E150" s="4">
        <v>11</v>
      </c>
      <c r="F150" s="4">
        <v>152.66999999999999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4.9800000000000004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6">C150+2</f>
        <v>40407</v>
      </c>
    </row>
    <row r="151" spans="1:21" ht="12" customHeight="1">
      <c r="A151" s="4">
        <v>2782</v>
      </c>
      <c r="B151" s="4">
        <v>20071</v>
      </c>
      <c r="C151" s="5">
        <f>DATE(2012,12,31)-471</f>
        <v>40803</v>
      </c>
      <c r="D151" s="4" t="s">
        <v>63</v>
      </c>
      <c r="E151" s="4">
        <v>31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6"/>
        <v>40805</v>
      </c>
    </row>
    <row r="152" spans="1:21" ht="12" customHeight="1">
      <c r="A152" s="4">
        <v>2796</v>
      </c>
      <c r="B152" s="4">
        <v>20160</v>
      </c>
      <c r="C152" s="5">
        <f>DATE(2012,12,31)-436</f>
        <v>40838</v>
      </c>
      <c r="D152" s="4" t="s">
        <v>21</v>
      </c>
      <c r="E152" s="4">
        <v>42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6"/>
        <v>40840</v>
      </c>
    </row>
    <row r="153" spans="1:21" ht="12" customHeight="1">
      <c r="A153" s="4">
        <v>2935</v>
      </c>
      <c r="B153" s="4">
        <v>21285</v>
      </c>
      <c r="C153" s="5">
        <f t="shared" ref="C153:C154" si="67">DATE(2012,12,31)-912</f>
        <v>40362</v>
      </c>
      <c r="D153" s="4" t="s">
        <v>63</v>
      </c>
      <c r="E153" s="4">
        <v>32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spans="1:21" ht="12" customHeight="1">
      <c r="A154" s="4">
        <v>2936</v>
      </c>
      <c r="B154" s="4">
        <v>21285</v>
      </c>
      <c r="C154" s="5">
        <f t="shared" si="67"/>
        <v>40362</v>
      </c>
      <c r="D154" s="4" t="s">
        <v>63</v>
      </c>
      <c r="E154" s="4">
        <v>47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8">C154+2</f>
        <v>40364</v>
      </c>
    </row>
    <row r="155" spans="1:21" ht="12" customHeight="1">
      <c r="A155" s="4">
        <v>2999</v>
      </c>
      <c r="B155" s="4">
        <v>21607</v>
      </c>
      <c r="C155" s="5">
        <f>DATE(2012,12,31)-291</f>
        <v>40983</v>
      </c>
      <c r="D155" s="4" t="s">
        <v>45</v>
      </c>
      <c r="E155" s="4">
        <v>17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36.549999999999997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8"/>
        <v>40985</v>
      </c>
    </row>
    <row r="156" spans="1:21" ht="12" customHeight="1">
      <c r="A156" s="4">
        <v>3052</v>
      </c>
      <c r="B156" s="4">
        <v>21889</v>
      </c>
      <c r="C156" s="5">
        <f t="shared" ref="C156:C157" si="69">DATE(2012,12,31)-1005</f>
        <v>40269</v>
      </c>
      <c r="D156" s="4" t="s">
        <v>21</v>
      </c>
      <c r="E156" s="4">
        <v>21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19.989999999999998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0.55000000000000004</v>
      </c>
      <c r="U156" s="5">
        <f>C156+7</f>
        <v>40276</v>
      </c>
    </row>
    <row r="157" spans="1:21" ht="12" customHeight="1">
      <c r="A157" s="4">
        <v>3053</v>
      </c>
      <c r="B157" s="4">
        <v>21889</v>
      </c>
      <c r="C157" s="5">
        <f t="shared" si="69"/>
        <v>40269</v>
      </c>
      <c r="D157" s="4" t="s">
        <v>21</v>
      </c>
      <c r="E157" s="4">
        <v>16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spans="1:21" ht="12" customHeight="1">
      <c r="A158" s="4">
        <v>3089</v>
      </c>
      <c r="B158" s="4">
        <v>22151</v>
      </c>
      <c r="C158" s="5">
        <f>DATE(2012,12,31)-884</f>
        <v>40390</v>
      </c>
      <c r="D158" s="4" t="s">
        <v>30</v>
      </c>
      <c r="E158" s="4">
        <v>49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0.55000000000000004</v>
      </c>
      <c r="U158" s="5">
        <f>C158+0</f>
        <v>40390</v>
      </c>
    </row>
    <row r="159" spans="1:21" ht="12" customHeight="1">
      <c r="A159" s="4">
        <v>3135</v>
      </c>
      <c r="B159" s="4">
        <v>22469</v>
      </c>
      <c r="C159" s="5">
        <f>DATE(2012,12,31)-812</f>
        <v>40462</v>
      </c>
      <c r="D159" s="4" t="s">
        <v>30</v>
      </c>
      <c r="E159" s="4">
        <v>44</v>
      </c>
      <c r="F159" s="4">
        <v>275.91000000000003</v>
      </c>
      <c r="G159" s="4">
        <v>0.1</v>
      </c>
      <c r="H159" s="4" t="s">
        <v>22</v>
      </c>
      <c r="I159" s="6">
        <v>-162.37100000000001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spans="1:21" ht="12" customHeight="1">
      <c r="A160" s="4">
        <v>3138</v>
      </c>
      <c r="B160" s="4">
        <v>22501</v>
      </c>
      <c r="C160" s="5">
        <f>DATE(2012,12,31)-958</f>
        <v>40316</v>
      </c>
      <c r="D160" s="4" t="s">
        <v>30</v>
      </c>
      <c r="E160" s="4">
        <v>2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spans="1:21" ht="12" customHeight="1">
      <c r="A161" s="4">
        <v>3140</v>
      </c>
      <c r="B161" s="4">
        <v>22532</v>
      </c>
      <c r="C161" s="5">
        <f>DATE(2012,12,31)-692</f>
        <v>40582</v>
      </c>
      <c r="D161" s="4" t="s">
        <v>78</v>
      </c>
      <c r="E161" s="4">
        <v>13</v>
      </c>
      <c r="F161" s="4">
        <v>121.66</v>
      </c>
      <c r="G161" s="4">
        <v>0.03</v>
      </c>
      <c r="H161" s="4" t="s">
        <v>22</v>
      </c>
      <c r="I161" s="6">
        <v>-11.798999999999999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spans="1:21" ht="12" customHeight="1">
      <c r="A162" s="4">
        <v>3244</v>
      </c>
      <c r="B162" s="4">
        <v>23264</v>
      </c>
      <c r="C162" s="5">
        <f t="shared" ref="C162:C163" si="70">DATE(2012,12,31)-755</f>
        <v>40519</v>
      </c>
      <c r="D162" s="4" t="s">
        <v>78</v>
      </c>
      <c r="E162" s="4">
        <v>16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1">C162+2</f>
        <v>40521</v>
      </c>
    </row>
    <row r="163" spans="1:21" ht="12" customHeight="1">
      <c r="A163" s="4">
        <v>3245</v>
      </c>
      <c r="B163" s="4">
        <v>23264</v>
      </c>
      <c r="C163" s="5">
        <f t="shared" si="70"/>
        <v>40519</v>
      </c>
      <c r="D163" s="4" t="s">
        <v>78</v>
      </c>
      <c r="E163" s="4">
        <v>27</v>
      </c>
      <c r="F163" s="4">
        <v>78.47</v>
      </c>
      <c r="G163" s="4">
        <v>0.06</v>
      </c>
      <c r="H163" s="4" t="s">
        <v>22</v>
      </c>
      <c r="I163" s="6">
        <v>17.989999999999998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1"/>
        <v>40521</v>
      </c>
    </row>
    <row r="164" spans="1:21" ht="12" customHeight="1">
      <c r="A164" s="4">
        <v>3300</v>
      </c>
      <c r="B164" s="4">
        <v>23584</v>
      </c>
      <c r="C164" s="5">
        <f>DATE(2012,12,31)-294</f>
        <v>40980</v>
      </c>
      <c r="D164" s="4" t="s">
        <v>78</v>
      </c>
      <c r="E164" s="4">
        <v>14</v>
      </c>
      <c r="F164" s="4">
        <v>2671.21</v>
      </c>
      <c r="G164" s="4">
        <v>0.06</v>
      </c>
      <c r="H164" s="4" t="s">
        <v>31</v>
      </c>
      <c r="I164" s="6">
        <v>636.17999999999995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1"/>
        <v>40982</v>
      </c>
    </row>
    <row r="165" spans="1:21" ht="12" customHeight="1">
      <c r="A165" s="4">
        <v>3355</v>
      </c>
      <c r="B165" s="4">
        <v>24007</v>
      </c>
      <c r="C165" s="5">
        <f t="shared" ref="C165:C167" si="72">DATE(2012,12,31)-858</f>
        <v>40416</v>
      </c>
      <c r="D165" s="4" t="s">
        <v>21</v>
      </c>
      <c r="E165" s="4">
        <v>26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3">C165+7</f>
        <v>40423</v>
      </c>
    </row>
    <row r="166" spans="1:21" ht="12" customHeight="1">
      <c r="A166" s="4">
        <v>3356</v>
      </c>
      <c r="B166" s="4">
        <v>24007</v>
      </c>
      <c r="C166" s="5">
        <f t="shared" si="72"/>
        <v>40416</v>
      </c>
      <c r="D166" s="4" t="s">
        <v>21</v>
      </c>
      <c r="E166" s="4">
        <v>28</v>
      </c>
      <c r="F166" s="4">
        <v>317.85000000000002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3"/>
        <v>40423</v>
      </c>
    </row>
    <row r="167" spans="1:21" ht="12" customHeight="1">
      <c r="A167" s="4">
        <v>3357</v>
      </c>
      <c r="B167" s="4">
        <v>24007</v>
      </c>
      <c r="C167" s="5">
        <f t="shared" si="72"/>
        <v>40416</v>
      </c>
      <c r="D167" s="4" t="s">
        <v>21</v>
      </c>
      <c r="E167" s="4">
        <v>42</v>
      </c>
      <c r="F167" s="4">
        <v>163.08000000000001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spans="1:21" ht="12" customHeight="1">
      <c r="A168" s="4">
        <v>3359</v>
      </c>
      <c r="B168" s="4">
        <v>24038</v>
      </c>
      <c r="C168" s="5">
        <f>DATE(2012,12,31)-560</f>
        <v>40714</v>
      </c>
      <c r="D168" s="4" t="s">
        <v>30</v>
      </c>
      <c r="E168" s="4">
        <v>38</v>
      </c>
      <c r="F168" s="4">
        <v>103.07</v>
      </c>
      <c r="G168" s="4">
        <v>0.1</v>
      </c>
      <c r="H168" s="4" t="s">
        <v>22</v>
      </c>
      <c r="I168" s="6">
        <v>-0.94999999999999929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spans="1:21" ht="12" customHeight="1">
      <c r="A169" s="4">
        <v>3371</v>
      </c>
      <c r="B169" s="4">
        <v>24097</v>
      </c>
      <c r="C169" s="5">
        <f t="shared" ref="C169:C171" si="74">DATE(2012,12,31)-880</f>
        <v>40394</v>
      </c>
      <c r="D169" s="4" t="s">
        <v>30</v>
      </c>
      <c r="E169" s="4">
        <v>1</v>
      </c>
      <c r="F169" s="4">
        <v>17.190000000000001</v>
      </c>
      <c r="G169" s="4">
        <v>0</v>
      </c>
      <c r="H169" s="4" t="s">
        <v>22</v>
      </c>
      <c r="I169" s="6">
        <v>-35.340000000000003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spans="1:21" ht="12" customHeight="1">
      <c r="A170" s="4">
        <v>3372</v>
      </c>
      <c r="B170" s="4">
        <v>24097</v>
      </c>
      <c r="C170" s="5">
        <f t="shared" si="74"/>
        <v>40394</v>
      </c>
      <c r="D170" s="4" t="s">
        <v>30</v>
      </c>
      <c r="E170" s="4">
        <v>27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19.989999999999998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5">C170+2</f>
        <v>40396</v>
      </c>
    </row>
    <row r="171" spans="1:21" ht="12" customHeight="1">
      <c r="A171" s="4">
        <v>3373</v>
      </c>
      <c r="B171" s="4">
        <v>24097</v>
      </c>
      <c r="C171" s="5">
        <f t="shared" si="74"/>
        <v>40394</v>
      </c>
      <c r="D171" s="4" t="s">
        <v>30</v>
      </c>
      <c r="E171" s="4">
        <v>2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4.9800000000000004</v>
      </c>
      <c r="K171" s="4">
        <v>4.8600000000000003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5"/>
        <v>40396</v>
      </c>
    </row>
    <row r="172" spans="1:21" ht="12" customHeight="1">
      <c r="A172" s="4">
        <v>3380</v>
      </c>
      <c r="B172" s="4">
        <v>24128</v>
      </c>
      <c r="C172" s="5">
        <f t="shared" ref="C172:C173" si="76">DATE(2012,12,31)-769</f>
        <v>40505</v>
      </c>
      <c r="D172" s="4" t="s">
        <v>30</v>
      </c>
      <c r="E172" s="4">
        <v>13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5"/>
        <v>40507</v>
      </c>
    </row>
    <row r="173" spans="1:21" ht="12" customHeight="1">
      <c r="A173" s="4">
        <v>3381</v>
      </c>
      <c r="B173" s="4">
        <v>24128</v>
      </c>
      <c r="C173" s="5">
        <f t="shared" si="76"/>
        <v>40505</v>
      </c>
      <c r="D173" s="4" t="s">
        <v>30</v>
      </c>
      <c r="E173" s="4">
        <v>43</v>
      </c>
      <c r="F173" s="4">
        <v>6583.9129999999996</v>
      </c>
      <c r="G173" s="4">
        <v>0.09</v>
      </c>
      <c r="H173" s="4" t="s">
        <v>22</v>
      </c>
      <c r="I173" s="6">
        <v>1459.7909999999999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5"/>
        <v>40507</v>
      </c>
    </row>
    <row r="174" spans="1:21" ht="12" customHeight="1">
      <c r="A174" s="4">
        <v>3418</v>
      </c>
      <c r="B174" s="4">
        <v>24387</v>
      </c>
      <c r="C174" s="5">
        <f t="shared" ref="C174:C175" si="77">DATE(2012,12,31)-509</f>
        <v>40765</v>
      </c>
      <c r="D174" s="4" t="s">
        <v>78</v>
      </c>
      <c r="E174" s="4">
        <v>23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0.56999999999999995</v>
      </c>
      <c r="U174" s="5">
        <f>C174+1</f>
        <v>40766</v>
      </c>
    </row>
    <row r="175" spans="1:21" ht="12" customHeight="1">
      <c r="A175" s="4">
        <v>3419</v>
      </c>
      <c r="B175" s="4">
        <v>24387</v>
      </c>
      <c r="C175" s="5">
        <f t="shared" si="77"/>
        <v>40765</v>
      </c>
      <c r="D175" s="4" t="s">
        <v>78</v>
      </c>
      <c r="E175" s="4">
        <v>17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spans="1:21" ht="12" customHeight="1">
      <c r="A176" s="4">
        <v>3434</v>
      </c>
      <c r="B176" s="4">
        <v>24515</v>
      </c>
      <c r="C176" s="5">
        <f>DATE(2012,12,31)-970</f>
        <v>40304</v>
      </c>
      <c r="D176" s="4" t="s">
        <v>78</v>
      </c>
      <c r="E176" s="4">
        <v>41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spans="1:21" ht="12" customHeight="1">
      <c r="A177" s="4">
        <v>3478</v>
      </c>
      <c r="B177" s="4">
        <v>24743</v>
      </c>
      <c r="C177" s="5">
        <f t="shared" ref="C177:C178" si="78">DATE(2012,12,31)-186</f>
        <v>41088</v>
      </c>
      <c r="D177" s="4" t="s">
        <v>21</v>
      </c>
      <c r="E177" s="4">
        <v>47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spans="1:21" ht="12" customHeight="1">
      <c r="A178" s="4">
        <v>3479</v>
      </c>
      <c r="B178" s="4">
        <v>24743</v>
      </c>
      <c r="C178" s="5">
        <f t="shared" si="78"/>
        <v>41088</v>
      </c>
      <c r="D178" s="4" t="s">
        <v>21</v>
      </c>
      <c r="E178" s="4">
        <v>26</v>
      </c>
      <c r="F178" s="4">
        <v>3758.77</v>
      </c>
      <c r="G178" s="4">
        <v>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0.56999999999999995</v>
      </c>
      <c r="U178" s="5">
        <f>C178+5</f>
        <v>41093</v>
      </c>
    </row>
    <row r="179" spans="1:21" ht="12" customHeight="1">
      <c r="A179" s="4">
        <v>3493</v>
      </c>
      <c r="B179" s="4">
        <v>24871</v>
      </c>
      <c r="C179" s="5">
        <f>DATE(2012,12,31)-649</f>
        <v>40625</v>
      </c>
      <c r="D179" s="4" t="s">
        <v>63</v>
      </c>
      <c r="E179" s="4">
        <v>6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spans="1:21" ht="12" customHeight="1">
      <c r="A180" s="4">
        <v>3552</v>
      </c>
      <c r="B180" s="4">
        <v>25318</v>
      </c>
      <c r="C180" s="5">
        <f>DATE(2012,12,31)-408</f>
        <v>40866</v>
      </c>
      <c r="D180" s="4" t="s">
        <v>78</v>
      </c>
      <c r="E180" s="4">
        <v>22</v>
      </c>
      <c r="F180" s="4">
        <v>440.92</v>
      </c>
      <c r="G180" s="4">
        <v>0.05</v>
      </c>
      <c r="H180" s="4" t="s">
        <v>56</v>
      </c>
      <c r="I180" s="6">
        <v>-65.180000000000007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spans="1:21" ht="12" customHeight="1">
      <c r="A181" s="4">
        <v>3560</v>
      </c>
      <c r="B181" s="4">
        <v>25377</v>
      </c>
      <c r="C181" s="5">
        <f>DATE(2012,12,31)-35</f>
        <v>41239</v>
      </c>
      <c r="D181" s="4" t="s">
        <v>21</v>
      </c>
      <c r="E181" s="4">
        <v>3</v>
      </c>
      <c r="F181" s="4">
        <v>4343.51</v>
      </c>
      <c r="G181" s="4">
        <v>0.09</v>
      </c>
      <c r="H181" s="4" t="s">
        <v>31</v>
      </c>
      <c r="I181" s="6">
        <v>-3755.0331000000001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0.56999999999999995</v>
      </c>
      <c r="U181" s="5">
        <f>C181+7</f>
        <v>41246</v>
      </c>
    </row>
    <row r="182" spans="1:21" ht="12" customHeight="1">
      <c r="A182" s="4">
        <v>3591</v>
      </c>
      <c r="B182" s="4">
        <v>25634</v>
      </c>
      <c r="C182" s="5">
        <f t="shared" ref="C182:C183" si="79">DATE(2012,12,31)-886</f>
        <v>40388</v>
      </c>
      <c r="D182" s="4" t="s">
        <v>45</v>
      </c>
      <c r="E182" s="4">
        <v>29</v>
      </c>
      <c r="F182" s="4">
        <v>593.32000000000005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spans="1:21" ht="12" customHeight="1">
      <c r="A183" s="4">
        <v>3592</v>
      </c>
      <c r="B183" s="4">
        <v>25634</v>
      </c>
      <c r="C183" s="5">
        <f t="shared" si="79"/>
        <v>40388</v>
      </c>
      <c r="D183" s="4" t="s">
        <v>45</v>
      </c>
      <c r="E183" s="4">
        <v>26</v>
      </c>
      <c r="F183" s="4">
        <v>626.07000000000005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spans="1:21" ht="12" customHeight="1">
      <c r="A184" s="4">
        <v>3602</v>
      </c>
      <c r="B184" s="4">
        <v>25733</v>
      </c>
      <c r="C184" s="5">
        <f>DATE(2012,12,31)-233</f>
        <v>41041</v>
      </c>
      <c r="D184" s="4" t="s">
        <v>21</v>
      </c>
      <c r="E184" s="4">
        <v>24</v>
      </c>
      <c r="F184" s="4">
        <v>557.23</v>
      </c>
      <c r="G184" s="4">
        <v>0.09</v>
      </c>
      <c r="H184" s="4" t="s">
        <v>22</v>
      </c>
      <c r="I184" s="6">
        <v>-42.987000000000002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spans="1:21" ht="12" customHeight="1">
      <c r="A185" s="4">
        <v>3604</v>
      </c>
      <c r="B185" s="4">
        <v>25767</v>
      </c>
      <c r="C185" s="5">
        <f t="shared" ref="C185:C186" si="80">DATE(2012,12,31)-303</f>
        <v>40971</v>
      </c>
      <c r="D185" s="4" t="s">
        <v>30</v>
      </c>
      <c r="E185" s="4">
        <v>7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39.479999999999997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spans="1:21" ht="12" customHeight="1">
      <c r="A186" s="4">
        <v>3605</v>
      </c>
      <c r="B186" s="4">
        <v>25767</v>
      </c>
      <c r="C186" s="5">
        <f t="shared" si="80"/>
        <v>40971</v>
      </c>
      <c r="D186" s="4" t="s">
        <v>30</v>
      </c>
      <c r="E186" s="4">
        <v>15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1">C186+1</f>
        <v>40972</v>
      </c>
    </row>
    <row r="187" spans="1:21" ht="12" customHeight="1">
      <c r="A187" s="4">
        <v>3641</v>
      </c>
      <c r="B187" s="4">
        <v>26023</v>
      </c>
      <c r="C187" s="5">
        <f>DATE(2012,12,31)-864</f>
        <v>40410</v>
      </c>
      <c r="D187" s="4" t="s">
        <v>30</v>
      </c>
      <c r="E187" s="4">
        <v>49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2.4700000000000002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1"/>
        <v>40411</v>
      </c>
    </row>
    <row r="188" spans="1:21" ht="12" customHeight="1">
      <c r="A188" s="4">
        <v>3643</v>
      </c>
      <c r="B188" s="4">
        <v>26051</v>
      </c>
      <c r="C188" s="5">
        <f t="shared" ref="C188:C189" si="82">DATE(2012,12,31)-918</f>
        <v>40356</v>
      </c>
      <c r="D188" s="4" t="s">
        <v>45</v>
      </c>
      <c r="E188" s="4">
        <v>22</v>
      </c>
      <c r="F188" s="4">
        <v>795.74</v>
      </c>
      <c r="G188" s="4">
        <v>0</v>
      </c>
      <c r="H188" s="4" t="s">
        <v>31</v>
      </c>
      <c r="I188" s="6">
        <v>-127.39</v>
      </c>
      <c r="J188" s="4">
        <v>33.94</v>
      </c>
      <c r="K188" s="4">
        <v>19.190000000000001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0.57999999999999996</v>
      </c>
      <c r="U188" s="5">
        <f>C188+2</f>
        <v>40358</v>
      </c>
    </row>
    <row r="189" spans="1:21" ht="12" customHeight="1">
      <c r="A189" s="4">
        <v>3644</v>
      </c>
      <c r="B189" s="4">
        <v>26051</v>
      </c>
      <c r="C189" s="5">
        <f t="shared" si="82"/>
        <v>40356</v>
      </c>
      <c r="D189" s="4" t="s">
        <v>45</v>
      </c>
      <c r="E189" s="4">
        <v>31</v>
      </c>
      <c r="F189" s="4">
        <v>251.75</v>
      </c>
      <c r="G189" s="4">
        <v>7.0000000000000007E-2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3">C189+1</f>
        <v>40357</v>
      </c>
    </row>
    <row r="190" spans="1:21" ht="12" customHeight="1">
      <c r="A190" s="4">
        <v>3649</v>
      </c>
      <c r="B190" s="4">
        <v>26116</v>
      </c>
      <c r="C190" s="5">
        <f>DATE(2012,12,31)-63</f>
        <v>41211</v>
      </c>
      <c r="D190" s="4" t="s">
        <v>78</v>
      </c>
      <c r="E190" s="4">
        <v>36</v>
      </c>
      <c r="F190" s="4">
        <v>697.41</v>
      </c>
      <c r="G190" s="4">
        <v>0.04</v>
      </c>
      <c r="H190" s="4" t="s">
        <v>22</v>
      </c>
      <c r="I190" s="6">
        <v>81.709999999999994</v>
      </c>
      <c r="J190" s="4">
        <v>18.97</v>
      </c>
      <c r="K190" s="4">
        <v>9.0299999999999994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3"/>
        <v>41212</v>
      </c>
    </row>
    <row r="191" spans="1:21" ht="12" customHeight="1">
      <c r="A191" s="4">
        <v>3658</v>
      </c>
      <c r="B191" s="4">
        <v>26182</v>
      </c>
      <c r="C191" s="5">
        <f>DATE(2012,12,31)-1080</f>
        <v>40194</v>
      </c>
      <c r="D191" s="4" t="s">
        <v>45</v>
      </c>
      <c r="E191" s="4">
        <v>30</v>
      </c>
      <c r="F191" s="4">
        <v>4684.8999999999996</v>
      </c>
      <c r="G191" s="4">
        <v>0.01</v>
      </c>
      <c r="H191" s="4" t="s">
        <v>31</v>
      </c>
      <c r="I191" s="6">
        <v>-549.27</v>
      </c>
      <c r="J191" s="4">
        <v>150.97999999999999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spans="1:21" ht="12" customHeight="1">
      <c r="A192" s="4">
        <v>3666</v>
      </c>
      <c r="B192" s="4">
        <v>26272</v>
      </c>
      <c r="C192" s="5">
        <f>DATE(2012,12,31)-185</f>
        <v>41089</v>
      </c>
      <c r="D192" s="4" t="s">
        <v>21</v>
      </c>
      <c r="E192" s="4">
        <v>6</v>
      </c>
      <c r="F192" s="4">
        <v>905.94</v>
      </c>
      <c r="G192" s="4">
        <v>0.04</v>
      </c>
      <c r="H192" s="4" t="s">
        <v>56</v>
      </c>
      <c r="I192" s="6">
        <v>-4.1900000000000004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0.56999999999999995</v>
      </c>
      <c r="U192" s="5">
        <f>C192+9</f>
        <v>41098</v>
      </c>
    </row>
    <row r="193" spans="1:21" ht="12" customHeight="1">
      <c r="A193" s="4">
        <v>3688</v>
      </c>
      <c r="B193" s="4">
        <v>26370</v>
      </c>
      <c r="C193" s="5">
        <f t="shared" ref="C193:C194" si="84">DATE(2012,12,31)-511</f>
        <v>40763</v>
      </c>
      <c r="D193" s="4" t="s">
        <v>45</v>
      </c>
      <c r="E193" s="4">
        <v>12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5">C193+2</f>
        <v>40765</v>
      </c>
    </row>
    <row r="194" spans="1:21" ht="12" customHeight="1">
      <c r="A194" s="4">
        <v>3689</v>
      </c>
      <c r="B194" s="4">
        <v>26370</v>
      </c>
      <c r="C194" s="5">
        <f t="shared" si="84"/>
        <v>40763</v>
      </c>
      <c r="D194" s="4" t="s">
        <v>45</v>
      </c>
      <c r="E194" s="4">
        <v>20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5"/>
        <v>40765</v>
      </c>
    </row>
    <row r="195" spans="1:21" ht="12" customHeight="1">
      <c r="A195" s="4">
        <v>3711</v>
      </c>
      <c r="B195" s="4">
        <v>26499</v>
      </c>
      <c r="C195" s="5">
        <f>DATE(2012,12,31)-1044</f>
        <v>40230</v>
      </c>
      <c r="D195" s="4" t="s">
        <v>63</v>
      </c>
      <c r="E195" s="4">
        <v>11</v>
      </c>
      <c r="F195" s="4">
        <v>32.4</v>
      </c>
      <c r="G195" s="4">
        <v>0.05</v>
      </c>
      <c r="H195" s="4" t="s">
        <v>22</v>
      </c>
      <c r="I195" s="6">
        <v>8.7799999999999994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spans="1:21" ht="12" customHeight="1">
      <c r="A196" s="4">
        <v>3716</v>
      </c>
      <c r="B196" s="4">
        <v>26531</v>
      </c>
      <c r="C196" s="5">
        <f>DATE(2012,12,31)-560</f>
        <v>40714</v>
      </c>
      <c r="D196" s="4" t="s">
        <v>63</v>
      </c>
      <c r="E196" s="4">
        <v>26</v>
      </c>
      <c r="F196" s="4">
        <v>4688.9484999999995</v>
      </c>
      <c r="G196" s="4">
        <v>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0.56000000000000005</v>
      </c>
      <c r="U196" s="5">
        <f t="shared" ref="U196:U198" si="86">C196+2</f>
        <v>40716</v>
      </c>
    </row>
    <row r="197" spans="1:21" ht="12" customHeight="1">
      <c r="A197" s="4">
        <v>3805</v>
      </c>
      <c r="B197" s="4">
        <v>27109</v>
      </c>
      <c r="C197" s="5">
        <f>DATE(2012,12,31)-327</f>
        <v>40947</v>
      </c>
      <c r="D197" s="4" t="s">
        <v>78</v>
      </c>
      <c r="E197" s="4">
        <v>48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6"/>
        <v>40949</v>
      </c>
    </row>
    <row r="198" spans="1:21" ht="12" customHeight="1">
      <c r="A198" s="4">
        <v>3821</v>
      </c>
      <c r="B198" s="4">
        <v>27264</v>
      </c>
      <c r="C198" s="5">
        <f>DATE(2012,12,31)-576</f>
        <v>40698</v>
      </c>
      <c r="D198" s="4" t="s">
        <v>21</v>
      </c>
      <c r="E198" s="4">
        <v>3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19.989999999999998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6"/>
        <v>40700</v>
      </c>
    </row>
    <row r="199" spans="1:21" ht="12" customHeight="1">
      <c r="A199" s="4">
        <v>3841</v>
      </c>
      <c r="B199" s="4">
        <v>27392</v>
      </c>
      <c r="C199" s="5">
        <f>DATE(2012,12,31)-304</f>
        <v>40970</v>
      </c>
      <c r="D199" s="4" t="s">
        <v>21</v>
      </c>
      <c r="E199" s="4">
        <v>37</v>
      </c>
      <c r="F199" s="4">
        <v>5753.85</v>
      </c>
      <c r="G199" s="4">
        <v>0</v>
      </c>
      <c r="H199" s="4" t="s">
        <v>22</v>
      </c>
      <c r="I199" s="6">
        <v>2509.52</v>
      </c>
      <c r="J199" s="4">
        <v>150.97999999999999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spans="1:21" ht="12" customHeight="1">
      <c r="A200" s="4">
        <v>3860</v>
      </c>
      <c r="B200" s="4">
        <v>27553</v>
      </c>
      <c r="C200" s="5">
        <f t="shared" ref="C200:C201" si="87">DATE(2012,12,31)-507</f>
        <v>40767</v>
      </c>
      <c r="D200" s="4" t="s">
        <v>63</v>
      </c>
      <c r="E200" s="4">
        <v>48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8">C200+2</f>
        <v>40769</v>
      </c>
    </row>
    <row r="201" spans="1:21" ht="12" customHeight="1">
      <c r="A201" s="4">
        <v>3861</v>
      </c>
      <c r="B201" s="4">
        <v>27553</v>
      </c>
      <c r="C201" s="5">
        <f t="shared" si="87"/>
        <v>40767</v>
      </c>
      <c r="D201" s="4" t="s">
        <v>63</v>
      </c>
      <c r="E201" s="4">
        <v>16</v>
      </c>
      <c r="F201" s="4">
        <v>2631.107</v>
      </c>
      <c r="G201" s="4">
        <v>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0.56999999999999995</v>
      </c>
      <c r="U201" s="5">
        <f t="shared" si="88"/>
        <v>40769</v>
      </c>
    </row>
    <row r="202" spans="1:21" ht="12" customHeight="1">
      <c r="A202" s="4">
        <v>3873</v>
      </c>
      <c r="B202" s="4">
        <v>27680</v>
      </c>
      <c r="C202" s="5">
        <f t="shared" ref="C202:C203" si="89">DATE(2012,12,31)-1070</f>
        <v>40204</v>
      </c>
      <c r="D202" s="4" t="s">
        <v>78</v>
      </c>
      <c r="E202" s="4">
        <v>32</v>
      </c>
      <c r="F202" s="4">
        <v>324.39999999999998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0">C202+1</f>
        <v>40205</v>
      </c>
    </row>
    <row r="203" spans="1:21" ht="12" customHeight="1">
      <c r="A203" s="4">
        <v>3874</v>
      </c>
      <c r="B203" s="4">
        <v>27680</v>
      </c>
      <c r="C203" s="5">
        <f t="shared" si="89"/>
        <v>40204</v>
      </c>
      <c r="D203" s="4" t="s">
        <v>78</v>
      </c>
      <c r="E203" s="4">
        <v>19</v>
      </c>
      <c r="F203" s="4">
        <v>137.02000000000001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0"/>
        <v>40205</v>
      </c>
    </row>
    <row r="204" spans="1:21" ht="12" customHeight="1">
      <c r="A204" s="4">
        <v>3891</v>
      </c>
      <c r="B204" s="4">
        <v>27778</v>
      </c>
      <c r="C204" s="5">
        <f t="shared" ref="C204:C205" si="91">DATE(2012,12,31)-486</f>
        <v>40788</v>
      </c>
      <c r="D204" s="4" t="s">
        <v>78</v>
      </c>
      <c r="E204" s="4">
        <v>1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2">C204+2</f>
        <v>40790</v>
      </c>
    </row>
    <row r="205" spans="1:21" ht="12" customHeight="1">
      <c r="A205" s="4">
        <v>3892</v>
      </c>
      <c r="B205" s="4">
        <v>27778</v>
      </c>
      <c r="C205" s="5">
        <f t="shared" si="91"/>
        <v>40788</v>
      </c>
      <c r="D205" s="4" t="s">
        <v>78</v>
      </c>
      <c r="E205" s="4">
        <v>34</v>
      </c>
      <c r="F205" s="4">
        <v>4805.92</v>
      </c>
      <c r="G205" s="4">
        <v>7.0000000000000007E-2</v>
      </c>
      <c r="H205" s="4" t="s">
        <v>31</v>
      </c>
      <c r="I205" s="6">
        <v>-393.96</v>
      </c>
      <c r="J205" s="4">
        <v>140.97999999999999</v>
      </c>
      <c r="K205" s="4">
        <v>36.090000000000003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2"/>
        <v>40790</v>
      </c>
    </row>
    <row r="206" spans="1:21" ht="12" customHeight="1">
      <c r="A206" s="4">
        <v>3914</v>
      </c>
      <c r="B206" s="4">
        <v>27909</v>
      </c>
      <c r="C206" s="5">
        <f t="shared" ref="C206:C207" si="93">DATE(2012,12,31)-328</f>
        <v>40946</v>
      </c>
      <c r="D206" s="4" t="s">
        <v>78</v>
      </c>
      <c r="E206" s="4">
        <v>1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2"/>
        <v>40948</v>
      </c>
    </row>
    <row r="207" spans="1:21" ht="12" customHeight="1">
      <c r="A207" s="4">
        <v>3915</v>
      </c>
      <c r="B207" s="4">
        <v>27909</v>
      </c>
      <c r="C207" s="5">
        <f t="shared" si="93"/>
        <v>40946</v>
      </c>
      <c r="D207" s="4" t="s">
        <v>78</v>
      </c>
      <c r="E207" s="4">
        <v>47</v>
      </c>
      <c r="F207" s="4">
        <v>58.53</v>
      </c>
      <c r="G207" s="4">
        <v>7.0000000000000007E-2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spans="1:21" ht="12" customHeight="1">
      <c r="A208" s="4">
        <v>3929</v>
      </c>
      <c r="B208" s="4">
        <v>28003</v>
      </c>
      <c r="C208" s="5">
        <f>DATE(2012,12,31)-653</f>
        <v>40621</v>
      </c>
      <c r="D208" s="4" t="s">
        <v>78</v>
      </c>
      <c r="E208" s="4">
        <v>31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4.9800000000000004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4">C208+2</f>
        <v>40623</v>
      </c>
    </row>
    <row r="209" spans="1:21" ht="12" customHeight="1">
      <c r="A209" s="4">
        <v>3936</v>
      </c>
      <c r="B209" s="4">
        <v>28035</v>
      </c>
      <c r="C209" s="5">
        <f>DATE(2012,12,31)-603</f>
        <v>40671</v>
      </c>
      <c r="D209" s="4" t="s">
        <v>45</v>
      </c>
      <c r="E209" s="4">
        <v>19</v>
      </c>
      <c r="F209" s="4">
        <v>376.21</v>
      </c>
      <c r="G209" s="4">
        <v>0.03</v>
      </c>
      <c r="H209" s="4" t="s">
        <v>22</v>
      </c>
      <c r="I209" s="6">
        <v>89.555999999999997</v>
      </c>
      <c r="J209" s="4">
        <v>18.989999999999998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4"/>
        <v>40673</v>
      </c>
    </row>
    <row r="210" spans="1:21" ht="12" customHeight="1">
      <c r="A210" s="4">
        <v>3952</v>
      </c>
      <c r="B210" s="4">
        <v>28165</v>
      </c>
      <c r="C210" s="5">
        <f>DATE(2012,12,31)-175</f>
        <v>41099</v>
      </c>
      <c r="D210" s="4" t="s">
        <v>45</v>
      </c>
      <c r="E210" s="4">
        <v>2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4"/>
        <v>41101</v>
      </c>
    </row>
    <row r="211" spans="1:21" ht="12" customHeight="1">
      <c r="A211" s="4">
        <v>3963</v>
      </c>
      <c r="B211" s="4">
        <v>28289</v>
      </c>
      <c r="C211" s="5">
        <f>DATE(2012,12,31)-1082</f>
        <v>40192</v>
      </c>
      <c r="D211" s="4" t="s">
        <v>30</v>
      </c>
      <c r="E211" s="4">
        <v>31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4.9800000000000004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spans="1:21" ht="12" customHeight="1">
      <c r="A212" s="4">
        <v>4050</v>
      </c>
      <c r="B212" s="4">
        <v>28870</v>
      </c>
      <c r="C212" s="5">
        <f>DATE(2012,12,31)-417</f>
        <v>40857</v>
      </c>
      <c r="D212" s="4" t="s">
        <v>30</v>
      </c>
      <c r="E212" s="4">
        <v>35</v>
      </c>
      <c r="F212" s="4">
        <v>3310.9454999999998</v>
      </c>
      <c r="G212" s="4">
        <v>0.05</v>
      </c>
      <c r="H212" s="4" t="s">
        <v>22</v>
      </c>
      <c r="I212" s="6">
        <v>822.40199999999993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0.56999999999999995</v>
      </c>
      <c r="U212" s="5">
        <f>C212+3</f>
        <v>40860</v>
      </c>
    </row>
    <row r="213" spans="1:21" ht="12" customHeight="1">
      <c r="A213" s="4">
        <v>4051</v>
      </c>
      <c r="B213" s="4">
        <v>28871</v>
      </c>
      <c r="C213" s="5">
        <f>DATE(2012,12,31)-260</f>
        <v>41014</v>
      </c>
      <c r="D213" s="4" t="s">
        <v>30</v>
      </c>
      <c r="E213" s="4">
        <v>10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5.0199999999999996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spans="1:21" ht="12" customHeight="1">
      <c r="A214" s="4">
        <v>4075</v>
      </c>
      <c r="B214" s="4">
        <v>29030</v>
      </c>
      <c r="C214" s="5">
        <f>DATE(2012,12,31)-364</f>
        <v>40910</v>
      </c>
      <c r="D214" s="4" t="s">
        <v>63</v>
      </c>
      <c r="E214" s="4">
        <v>10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4.0999999999999996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5">C214+1</f>
        <v>40911</v>
      </c>
    </row>
    <row r="215" spans="1:21" ht="12" customHeight="1">
      <c r="A215" s="4">
        <v>4082</v>
      </c>
      <c r="B215" s="4">
        <v>29095</v>
      </c>
      <c r="C215" s="5">
        <f>DATE(2012,12,31)-664</f>
        <v>40610</v>
      </c>
      <c r="D215" s="4" t="s">
        <v>45</v>
      </c>
      <c r="E215" s="4">
        <v>40</v>
      </c>
      <c r="F215" s="4">
        <v>291.67</v>
      </c>
      <c r="G215" s="4">
        <v>0.01</v>
      </c>
      <c r="H215" s="4" t="s">
        <v>22</v>
      </c>
      <c r="I215" s="6">
        <v>54.459499999999991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5"/>
        <v>40611</v>
      </c>
    </row>
    <row r="216" spans="1:21" ht="12" customHeight="1">
      <c r="A216" s="4">
        <v>4164</v>
      </c>
      <c r="B216" s="4">
        <v>29510</v>
      </c>
      <c r="C216" s="5">
        <f>DATE(2012,12,31)-626</f>
        <v>40648</v>
      </c>
      <c r="D216" s="4" t="s">
        <v>78</v>
      </c>
      <c r="E216" s="4">
        <v>22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spans="1:21" ht="12" customHeight="1">
      <c r="A217" s="4">
        <v>4193</v>
      </c>
      <c r="B217" s="4">
        <v>29795</v>
      </c>
      <c r="C217" s="5">
        <f t="shared" ref="C217:C218" si="96">DATE(2012,12,31)-402</f>
        <v>40872</v>
      </c>
      <c r="D217" s="4" t="s">
        <v>30</v>
      </c>
      <c r="E217" s="4">
        <v>49</v>
      </c>
      <c r="F217" s="4">
        <v>19325.2</v>
      </c>
      <c r="G217" s="4">
        <v>0.05</v>
      </c>
      <c r="H217" s="4" t="s">
        <v>22</v>
      </c>
      <c r="I217" s="6">
        <v>8793.5390000000007</v>
      </c>
      <c r="J217" s="4">
        <v>387.99</v>
      </c>
      <c r="K217" s="4">
        <v>19.989999999999998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7">C217+1</f>
        <v>40873</v>
      </c>
    </row>
    <row r="218" spans="1:21" ht="12" customHeight="1">
      <c r="A218" s="4">
        <v>4194</v>
      </c>
      <c r="B218" s="4">
        <v>29795</v>
      </c>
      <c r="C218" s="5">
        <f t="shared" si="96"/>
        <v>40872</v>
      </c>
      <c r="D218" s="4" t="s">
        <v>30</v>
      </c>
      <c r="E218" s="4">
        <v>48</v>
      </c>
      <c r="F218" s="4">
        <v>8380.2199999999993</v>
      </c>
      <c r="G218" s="4">
        <v>0</v>
      </c>
      <c r="H218" s="4" t="s">
        <v>31</v>
      </c>
      <c r="I218" s="6">
        <v>813.83</v>
      </c>
      <c r="J218" s="4">
        <v>160.97999999999999</v>
      </c>
      <c r="K218" s="4">
        <v>35.020000000000003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7"/>
        <v>40873</v>
      </c>
    </row>
    <row r="219" spans="1:21" ht="12" customHeight="1">
      <c r="A219" s="4">
        <v>4202</v>
      </c>
      <c r="B219" s="4">
        <v>29861</v>
      </c>
      <c r="C219" s="5">
        <f>DATE(2012,12,31)-250</f>
        <v>41024</v>
      </c>
      <c r="D219" s="4" t="s">
        <v>78</v>
      </c>
      <c r="E219" s="4">
        <v>11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7"/>
        <v>41025</v>
      </c>
    </row>
    <row r="220" spans="1:21" ht="12" customHeight="1">
      <c r="A220" s="4">
        <v>4305</v>
      </c>
      <c r="B220" s="4">
        <v>30658</v>
      </c>
      <c r="C220" s="5">
        <f t="shared" ref="C220:C221" si="98">DATE(2012,12,31)-646</f>
        <v>40628</v>
      </c>
      <c r="D220" s="4" t="s">
        <v>63</v>
      </c>
      <c r="E220" s="4">
        <v>35</v>
      </c>
      <c r="F220" s="4">
        <v>17387.650000000001</v>
      </c>
      <c r="G220" s="4">
        <v>0.08</v>
      </c>
      <c r="H220" s="4" t="s">
        <v>22</v>
      </c>
      <c r="I220" s="6">
        <v>6907.6130000000003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7"/>
        <v>40629</v>
      </c>
    </row>
    <row r="221" spans="1:21" ht="12" customHeight="1">
      <c r="A221" s="4">
        <v>4306</v>
      </c>
      <c r="B221" s="4">
        <v>30658</v>
      </c>
      <c r="C221" s="5">
        <f t="shared" si="98"/>
        <v>40628</v>
      </c>
      <c r="D221" s="4" t="s">
        <v>63</v>
      </c>
      <c r="E221" s="4">
        <v>44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138.13999999999999</v>
      </c>
      <c r="K221" s="4">
        <v>35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spans="1:21" ht="12" customHeight="1">
      <c r="A222" s="4">
        <v>4346</v>
      </c>
      <c r="B222" s="4">
        <v>30947</v>
      </c>
      <c r="C222" s="5">
        <f t="shared" ref="C222:C223" si="99">DATE(2012,12,31)-901</f>
        <v>40373</v>
      </c>
      <c r="D222" s="4" t="s">
        <v>21</v>
      </c>
      <c r="E222" s="4">
        <v>17</v>
      </c>
      <c r="F222" s="4">
        <v>691.59</v>
      </c>
      <c r="G222" s="4">
        <v>0.03</v>
      </c>
      <c r="H222" s="4" t="s">
        <v>22</v>
      </c>
      <c r="I222" s="6">
        <v>261.23899999999998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0">C222+4</f>
        <v>40377</v>
      </c>
    </row>
    <row r="223" spans="1:21" ht="12" customHeight="1">
      <c r="A223" s="4">
        <v>4347</v>
      </c>
      <c r="B223" s="4">
        <v>30947</v>
      </c>
      <c r="C223" s="5">
        <f t="shared" si="99"/>
        <v>40373</v>
      </c>
      <c r="D223" s="4" t="s">
        <v>21</v>
      </c>
      <c r="E223" s="4">
        <v>45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0"/>
        <v>40377</v>
      </c>
    </row>
    <row r="224" spans="1:21" ht="12" customHeight="1">
      <c r="A224" s="4">
        <v>4362</v>
      </c>
      <c r="B224" s="4">
        <v>31077</v>
      </c>
      <c r="C224" s="5">
        <f>DATE(2012,12,31)-800</f>
        <v>40474</v>
      </c>
      <c r="D224" s="4" t="s">
        <v>45</v>
      </c>
      <c r="E224" s="4">
        <v>36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65.989999999999995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0.55000000000000004</v>
      </c>
      <c r="U224" s="5">
        <f>C224+2</f>
        <v>40476</v>
      </c>
    </row>
    <row r="225" spans="1:21" ht="12" customHeight="1">
      <c r="A225" s="4">
        <v>4372</v>
      </c>
      <c r="B225" s="4">
        <v>31169</v>
      </c>
      <c r="C225" s="5">
        <f>DATE(2012,12,31)-571</f>
        <v>40703</v>
      </c>
      <c r="D225" s="4" t="s">
        <v>21</v>
      </c>
      <c r="E225" s="4">
        <v>6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0.56999999999999995</v>
      </c>
      <c r="U225" s="5">
        <f>C225+4</f>
        <v>40707</v>
      </c>
    </row>
    <row r="226" spans="1:21" ht="12" customHeight="1">
      <c r="A226" s="4">
        <v>4390</v>
      </c>
      <c r="B226" s="4">
        <v>31270</v>
      </c>
      <c r="C226" s="5">
        <f t="shared" ref="C226:C228" si="101">DATE(2012,12,31)-38</f>
        <v>41236</v>
      </c>
      <c r="D226" s="4" t="s">
        <v>63</v>
      </c>
      <c r="E226" s="4">
        <v>21</v>
      </c>
      <c r="F226" s="4">
        <v>6806.66</v>
      </c>
      <c r="G226" s="4">
        <v>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0.56999999999999995</v>
      </c>
      <c r="U226" s="5">
        <f>C226+1</f>
        <v>41237</v>
      </c>
    </row>
    <row r="227" spans="1:21" ht="12" customHeight="1">
      <c r="A227" s="4">
        <v>4391</v>
      </c>
      <c r="B227" s="4">
        <v>31270</v>
      </c>
      <c r="C227" s="5">
        <f t="shared" si="101"/>
        <v>41236</v>
      </c>
      <c r="D227" s="4" t="s">
        <v>63</v>
      </c>
      <c r="E227" s="4">
        <v>3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0.56000000000000005</v>
      </c>
      <c r="U227" s="5">
        <f t="shared" ref="U227:U228" si="102">C227+2</f>
        <v>41238</v>
      </c>
    </row>
    <row r="228" spans="1:21" ht="12" customHeight="1">
      <c r="A228" s="4">
        <v>4392</v>
      </c>
      <c r="B228" s="4">
        <v>31270</v>
      </c>
      <c r="C228" s="5">
        <f t="shared" si="101"/>
        <v>41236</v>
      </c>
      <c r="D228" s="4" t="s">
        <v>63</v>
      </c>
      <c r="E228" s="4">
        <v>5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2"/>
        <v>41238</v>
      </c>
    </row>
    <row r="229" spans="1:21" ht="12" customHeight="1">
      <c r="A229" s="4">
        <v>4404</v>
      </c>
      <c r="B229" s="4">
        <v>31393</v>
      </c>
      <c r="C229" s="5">
        <f t="shared" ref="C229:C230" si="103">DATE(2012,12,31)-234</f>
        <v>41040</v>
      </c>
      <c r="D229" s="4" t="s">
        <v>78</v>
      </c>
      <c r="E229" s="4">
        <v>4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19.940000000000001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0.56999999999999995</v>
      </c>
      <c r="U229" s="5">
        <f>C229+1</f>
        <v>41041</v>
      </c>
    </row>
    <row r="230" spans="1:21" ht="12" customHeight="1">
      <c r="A230" s="4">
        <v>4405</v>
      </c>
      <c r="B230" s="4">
        <v>31393</v>
      </c>
      <c r="C230" s="5">
        <f t="shared" si="103"/>
        <v>41040</v>
      </c>
      <c r="D230" s="4" t="s">
        <v>78</v>
      </c>
      <c r="E230" s="4">
        <v>31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4">C230+2</f>
        <v>41042</v>
      </c>
    </row>
    <row r="231" spans="1:21" ht="12" customHeight="1">
      <c r="A231" s="4">
        <v>4411</v>
      </c>
      <c r="B231" s="4">
        <v>31492</v>
      </c>
      <c r="C231" s="5">
        <f t="shared" ref="C231:C233" si="105">DATE(2012,12,31)-808</f>
        <v>40466</v>
      </c>
      <c r="D231" s="4" t="s">
        <v>78</v>
      </c>
      <c r="E231" s="4">
        <v>26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4.9800000000000004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0.57999999999999996</v>
      </c>
      <c r="U231" s="5">
        <f t="shared" si="104"/>
        <v>40468</v>
      </c>
    </row>
    <row r="232" spans="1:21" ht="12" customHeight="1">
      <c r="A232" s="4">
        <v>4412</v>
      </c>
      <c r="B232" s="4">
        <v>31492</v>
      </c>
      <c r="C232" s="5">
        <f t="shared" si="105"/>
        <v>40466</v>
      </c>
      <c r="D232" s="4" t="s">
        <v>78</v>
      </c>
      <c r="E232" s="4">
        <v>34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spans="1:21" ht="12" customHeight="1">
      <c r="A233" s="4">
        <v>4413</v>
      </c>
      <c r="B233" s="4">
        <v>31492</v>
      </c>
      <c r="C233" s="5">
        <f t="shared" si="105"/>
        <v>40466</v>
      </c>
      <c r="D233" s="4" t="s">
        <v>78</v>
      </c>
      <c r="E233" s="4">
        <v>23</v>
      </c>
      <c r="F233" s="4">
        <v>2149.0300000000002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19.989999999999998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spans="1:21" ht="12" customHeight="1">
      <c r="A234" s="4">
        <v>4429</v>
      </c>
      <c r="B234" s="4">
        <v>31558</v>
      </c>
      <c r="C234" s="5">
        <f t="shared" ref="C234:C235" si="106">DATE(2012,12,31)-527</f>
        <v>40747</v>
      </c>
      <c r="D234" s="4" t="s">
        <v>21</v>
      </c>
      <c r="E234" s="4">
        <v>12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300.64999999999998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spans="1:21" ht="12" customHeight="1">
      <c r="A235" s="4">
        <v>4430</v>
      </c>
      <c r="B235" s="4">
        <v>31558</v>
      </c>
      <c r="C235" s="5">
        <f t="shared" si="106"/>
        <v>40747</v>
      </c>
      <c r="D235" s="4" t="s">
        <v>21</v>
      </c>
      <c r="E235" s="4">
        <v>42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0.55000000000000004</v>
      </c>
      <c r="U235" s="5">
        <f t="shared" ref="U235:U236" si="107">C235+0</f>
        <v>40747</v>
      </c>
    </row>
    <row r="236" spans="1:21" ht="12" customHeight="1">
      <c r="A236" s="4">
        <v>4437</v>
      </c>
      <c r="B236" s="4">
        <v>31618</v>
      </c>
      <c r="C236" s="5">
        <f>DATE(2012,12,31)-539</f>
        <v>40735</v>
      </c>
      <c r="D236" s="4" t="s">
        <v>78</v>
      </c>
      <c r="E236" s="4">
        <v>14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7"/>
        <v>40735</v>
      </c>
    </row>
    <row r="237" spans="1:21" ht="12" customHeight="1">
      <c r="A237" s="4">
        <v>4446</v>
      </c>
      <c r="B237" s="4">
        <v>31684</v>
      </c>
      <c r="C237" s="5">
        <f t="shared" ref="C237:C238" si="108">DATE(2012,12,31)-106</f>
        <v>41168</v>
      </c>
      <c r="D237" s="4" t="s">
        <v>78</v>
      </c>
      <c r="E237" s="4">
        <v>15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spans="1:21" ht="12" customHeight="1">
      <c r="A238" s="4">
        <v>4447</v>
      </c>
      <c r="B238" s="4">
        <v>31684</v>
      </c>
      <c r="C238" s="5">
        <f t="shared" si="108"/>
        <v>41168</v>
      </c>
      <c r="D238" s="4" t="s">
        <v>78</v>
      </c>
      <c r="E238" s="4">
        <v>28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09">C238+2</f>
        <v>41170</v>
      </c>
    </row>
    <row r="239" spans="1:21" ht="12" customHeight="1">
      <c r="A239" s="4">
        <v>4524</v>
      </c>
      <c r="B239" s="4">
        <v>32193</v>
      </c>
      <c r="C239" s="5">
        <f t="shared" ref="C239:C240" si="110">DATE(2012,12,31)-803</f>
        <v>40471</v>
      </c>
      <c r="D239" s="4" t="s">
        <v>21</v>
      </c>
      <c r="E239" s="4">
        <v>4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09"/>
        <v>40473</v>
      </c>
    </row>
    <row r="240" spans="1:21" ht="12" customHeight="1">
      <c r="A240" s="4">
        <v>4525</v>
      </c>
      <c r="B240" s="4">
        <v>32193</v>
      </c>
      <c r="C240" s="5">
        <f t="shared" si="110"/>
        <v>40471</v>
      </c>
      <c r="D240" s="4" t="s">
        <v>21</v>
      </c>
      <c r="E240" s="4">
        <v>27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spans="1:21" ht="12" customHeight="1">
      <c r="A241" s="4">
        <v>4532</v>
      </c>
      <c r="B241" s="4">
        <v>32229</v>
      </c>
      <c r="C241" s="5">
        <f t="shared" ref="C241:C242" si="111">DATE(2012,12,31)-854</f>
        <v>40420</v>
      </c>
      <c r="D241" s="4" t="s">
        <v>30</v>
      </c>
      <c r="E241" s="4">
        <v>8</v>
      </c>
      <c r="F241" s="4">
        <v>1219.19</v>
      </c>
      <c r="G241" s="4">
        <v>0.02</v>
      </c>
      <c r="H241" s="4" t="s">
        <v>22</v>
      </c>
      <c r="I241" s="6">
        <v>44.369999999999948</v>
      </c>
      <c r="J241" s="4">
        <v>150.97999999999999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spans="1:21" ht="12" customHeight="1">
      <c r="A242" s="4">
        <v>4533</v>
      </c>
      <c r="B242" s="4">
        <v>32229</v>
      </c>
      <c r="C242" s="5">
        <f t="shared" si="111"/>
        <v>40420</v>
      </c>
      <c r="D242" s="4" t="s">
        <v>30</v>
      </c>
      <c r="E242" s="4">
        <v>15</v>
      </c>
      <c r="F242" s="4">
        <v>28.68</v>
      </c>
      <c r="G242" s="4">
        <v>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0.56000000000000005</v>
      </c>
      <c r="U242" s="5">
        <f>C242+1</f>
        <v>40421</v>
      </c>
    </row>
    <row r="243" spans="1:21" ht="12" customHeight="1">
      <c r="A243" s="4">
        <v>4599</v>
      </c>
      <c r="B243" s="4">
        <v>32743</v>
      </c>
      <c r="C243" s="5">
        <f>DATE(2012,12,31)-969</f>
        <v>40305</v>
      </c>
      <c r="D243" s="4" t="s">
        <v>78</v>
      </c>
      <c r="E243" s="4">
        <v>19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0.56000000000000005</v>
      </c>
      <c r="U243" s="5">
        <f>C243+2</f>
        <v>40307</v>
      </c>
    </row>
    <row r="244" spans="1:21" ht="12" customHeight="1">
      <c r="A244" s="4">
        <v>4607</v>
      </c>
      <c r="B244" s="4">
        <v>32806</v>
      </c>
      <c r="C244" s="5">
        <f>DATE(2012,12,31)-559</f>
        <v>40715</v>
      </c>
      <c r="D244" s="4" t="s">
        <v>78</v>
      </c>
      <c r="E244" s="4">
        <v>8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20.239999999999998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spans="1:21" ht="12" customHeight="1">
      <c r="A245" s="4">
        <v>4651</v>
      </c>
      <c r="B245" s="4">
        <v>33123</v>
      </c>
      <c r="C245" s="5">
        <f>DATE(2012,12,31)-768</f>
        <v>40506</v>
      </c>
      <c r="D245" s="4" t="s">
        <v>63</v>
      </c>
      <c r="E245" s="4">
        <v>41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150.97999999999999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2">C245+2</f>
        <v>40508</v>
      </c>
    </row>
    <row r="246" spans="1:21" ht="12" customHeight="1">
      <c r="A246" s="4">
        <v>4656</v>
      </c>
      <c r="B246" s="4">
        <v>33159</v>
      </c>
      <c r="C246" s="5">
        <f>DATE(2012,12,31)-248</f>
        <v>41026</v>
      </c>
      <c r="D246" s="4" t="s">
        <v>63</v>
      </c>
      <c r="E246" s="4">
        <v>3</v>
      </c>
      <c r="F246" s="4">
        <v>56.695</v>
      </c>
      <c r="G246" s="4">
        <v>0.01</v>
      </c>
      <c r="H246" s="4" t="s">
        <v>22</v>
      </c>
      <c r="I246" s="6">
        <v>-70.971999999999994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2"/>
        <v>41028</v>
      </c>
    </row>
    <row r="247" spans="1:21" ht="12" customHeight="1">
      <c r="A247" s="4">
        <v>4659</v>
      </c>
      <c r="B247" s="4">
        <v>33186</v>
      </c>
      <c r="C247" s="5">
        <f>DATE(2012,12,31)-125</f>
        <v>41149</v>
      </c>
      <c r="D247" s="4" t="s">
        <v>21</v>
      </c>
      <c r="E247" s="4">
        <v>24</v>
      </c>
      <c r="F247" s="4">
        <v>1350.5309999999999</v>
      </c>
      <c r="G247" s="4">
        <v>0.01</v>
      </c>
      <c r="H247" s="4" t="s">
        <v>22</v>
      </c>
      <c r="I247" s="6">
        <v>221.184</v>
      </c>
      <c r="J247" s="4">
        <v>65.989999999999995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0.56000000000000005</v>
      </c>
      <c r="U247" s="5">
        <f t="shared" si="112"/>
        <v>41151</v>
      </c>
    </row>
    <row r="248" spans="1:21" ht="12" customHeight="1">
      <c r="A248" s="4">
        <v>4687</v>
      </c>
      <c r="B248" s="4">
        <v>33377</v>
      </c>
      <c r="C248" s="5">
        <f t="shared" ref="C248:C249" si="113">DATE(2012,12,31)-519</f>
        <v>40755</v>
      </c>
      <c r="D248" s="4" t="s">
        <v>30</v>
      </c>
      <c r="E248" s="4">
        <v>20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2"/>
        <v>40757</v>
      </c>
    </row>
    <row r="249" spans="1:21" ht="12" customHeight="1">
      <c r="A249" s="4">
        <v>4688</v>
      </c>
      <c r="B249" s="4">
        <v>33377</v>
      </c>
      <c r="C249" s="5">
        <f t="shared" si="113"/>
        <v>40755</v>
      </c>
      <c r="D249" s="4" t="s">
        <v>30</v>
      </c>
      <c r="E249" s="4">
        <v>19</v>
      </c>
      <c r="F249" s="4">
        <v>327.14999999999998</v>
      </c>
      <c r="G249" s="4">
        <v>0.04</v>
      </c>
      <c r="H249" s="4" t="s">
        <v>22</v>
      </c>
      <c r="I249" s="6">
        <v>47.3</v>
      </c>
      <c r="J249" s="4">
        <v>17.239999999999998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0.56000000000000005</v>
      </c>
      <c r="U249" s="5">
        <f t="shared" ref="U249:U250" si="114">C249+1</f>
        <v>40756</v>
      </c>
    </row>
    <row r="250" spans="1:21" ht="12" customHeight="1">
      <c r="A250" s="4">
        <v>4691</v>
      </c>
      <c r="B250" s="4">
        <v>33444</v>
      </c>
      <c r="C250" s="5">
        <f t="shared" ref="C250:C251" si="115">DATE(2012,12,31)-86</f>
        <v>41188</v>
      </c>
      <c r="D250" s="4" t="s">
        <v>63</v>
      </c>
      <c r="E250" s="4">
        <v>11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0.57999999999999996</v>
      </c>
      <c r="U250" s="5">
        <f t="shared" si="114"/>
        <v>41189</v>
      </c>
    </row>
    <row r="251" spans="1:21" ht="12" customHeight="1">
      <c r="A251" s="4">
        <v>4692</v>
      </c>
      <c r="B251" s="4">
        <v>33444</v>
      </c>
      <c r="C251" s="5">
        <f t="shared" si="115"/>
        <v>41188</v>
      </c>
      <c r="D251" s="4" t="s">
        <v>63</v>
      </c>
      <c r="E251" s="4">
        <v>8</v>
      </c>
      <c r="F251" s="4">
        <v>127.8</v>
      </c>
      <c r="G251" s="4">
        <v>7.0000000000000007E-2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0.56999999999999995</v>
      </c>
      <c r="U251" s="5">
        <f>C251+2</f>
        <v>41190</v>
      </c>
    </row>
    <row r="252" spans="1:21" ht="12" customHeight="1">
      <c r="A252" s="4">
        <v>4738</v>
      </c>
      <c r="B252" s="4">
        <v>33703</v>
      </c>
      <c r="C252" s="5">
        <f t="shared" ref="C252:C254" si="116">DATE(2012,12,31)-1059</f>
        <v>40215</v>
      </c>
      <c r="D252" s="4" t="s">
        <v>45</v>
      </c>
      <c r="E252" s="4">
        <v>4</v>
      </c>
      <c r="F252" s="4">
        <v>242.36</v>
      </c>
      <c r="G252" s="4">
        <v>0.08</v>
      </c>
      <c r="H252" s="4" t="s">
        <v>22</v>
      </c>
      <c r="I252" s="6">
        <v>-131.47999999999999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7">C252+1</f>
        <v>40216</v>
      </c>
    </row>
    <row r="253" spans="1:21" ht="12" customHeight="1">
      <c r="A253" s="4">
        <v>4739</v>
      </c>
      <c r="B253" s="4">
        <v>33703</v>
      </c>
      <c r="C253" s="5">
        <f t="shared" si="116"/>
        <v>40215</v>
      </c>
      <c r="D253" s="4" t="s">
        <v>45</v>
      </c>
      <c r="E253" s="4">
        <v>25</v>
      </c>
      <c r="F253" s="4">
        <v>802.19</v>
      </c>
      <c r="G253" s="4">
        <v>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7"/>
        <v>40216</v>
      </c>
    </row>
    <row r="254" spans="1:21" ht="12" customHeight="1">
      <c r="A254" s="4">
        <v>4740</v>
      </c>
      <c r="B254" s="4">
        <v>33703</v>
      </c>
      <c r="C254" s="5">
        <f t="shared" si="116"/>
        <v>40215</v>
      </c>
      <c r="D254" s="4" t="s">
        <v>45</v>
      </c>
      <c r="E254" s="4">
        <v>4</v>
      </c>
      <c r="F254" s="4">
        <v>63.52</v>
      </c>
      <c r="G254" s="4">
        <v>0.08</v>
      </c>
      <c r="H254" s="4" t="s">
        <v>56</v>
      </c>
      <c r="I254" s="6">
        <v>-8.4700000000000006</v>
      </c>
      <c r="J254" s="4">
        <v>12.21</v>
      </c>
      <c r="K254" s="4">
        <v>4.8099999999999996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0.57999999999999996</v>
      </c>
      <c r="U254" s="5">
        <f>C254+2</f>
        <v>40217</v>
      </c>
    </row>
    <row r="255" spans="1:21" ht="12" customHeight="1">
      <c r="A255" s="4">
        <v>4746</v>
      </c>
      <c r="B255" s="4">
        <v>33734</v>
      </c>
      <c r="C255" s="5">
        <f>DATE(2012,12,31)-441</f>
        <v>40833</v>
      </c>
      <c r="D255" s="4" t="s">
        <v>45</v>
      </c>
      <c r="E255" s="4">
        <v>13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4.8600000000000003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spans="1:21" ht="12" customHeight="1">
      <c r="A256" s="4">
        <v>4772</v>
      </c>
      <c r="B256" s="4">
        <v>33894</v>
      </c>
      <c r="C256" s="5">
        <f t="shared" ref="C256:C259" si="118">DATE(2012,12,31)-931</f>
        <v>40343</v>
      </c>
      <c r="D256" s="4" t="s">
        <v>78</v>
      </c>
      <c r="E256" s="4">
        <v>14</v>
      </c>
      <c r="F256" s="4">
        <v>140.66</v>
      </c>
      <c r="G256" s="4">
        <v>0</v>
      </c>
      <c r="H256" s="4" t="s">
        <v>22</v>
      </c>
      <c r="I256" s="6">
        <v>11.34</v>
      </c>
      <c r="J256" s="4">
        <v>9.27</v>
      </c>
      <c r="K256" s="4">
        <v>4.3899999999999997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spans="1:21" ht="12" customHeight="1">
      <c r="A257" s="4">
        <v>4773</v>
      </c>
      <c r="B257" s="4">
        <v>33894</v>
      </c>
      <c r="C257" s="5">
        <f t="shared" si="118"/>
        <v>40343</v>
      </c>
      <c r="D257" s="4" t="s">
        <v>78</v>
      </c>
      <c r="E257" s="4">
        <v>5</v>
      </c>
      <c r="F257" s="4">
        <v>42.89</v>
      </c>
      <c r="G257" s="4">
        <v>0.02</v>
      </c>
      <c r="H257" s="4" t="s">
        <v>22</v>
      </c>
      <c r="I257" s="6">
        <v>-32.479999999999997</v>
      </c>
      <c r="J257" s="4">
        <v>6.84</v>
      </c>
      <c r="K257" s="4">
        <v>8.3699999999999992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0.57999999999999996</v>
      </c>
      <c r="U257" s="5">
        <f>C257+1</f>
        <v>40344</v>
      </c>
    </row>
    <row r="258" spans="1:21" ht="12" customHeight="1">
      <c r="A258" s="4">
        <v>4774</v>
      </c>
      <c r="B258" s="4">
        <v>33894</v>
      </c>
      <c r="C258" s="5">
        <f t="shared" si="118"/>
        <v>40343</v>
      </c>
      <c r="D258" s="4" t="s">
        <v>78</v>
      </c>
      <c r="E258" s="4">
        <v>48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4.9800000000000004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19">C258+2</f>
        <v>40345</v>
      </c>
    </row>
    <row r="259" spans="1:21" ht="12" customHeight="1">
      <c r="A259" s="4">
        <v>4775</v>
      </c>
      <c r="B259" s="4">
        <v>33894</v>
      </c>
      <c r="C259" s="5">
        <f t="shared" si="118"/>
        <v>40343</v>
      </c>
      <c r="D259" s="4" t="s">
        <v>78</v>
      </c>
      <c r="E259" s="4">
        <v>13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32.979999999999997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19"/>
        <v>40345</v>
      </c>
    </row>
    <row r="260" spans="1:21" ht="12" customHeight="1">
      <c r="A260" s="4">
        <v>4777</v>
      </c>
      <c r="B260" s="4">
        <v>33922</v>
      </c>
      <c r="C260" s="5">
        <f>DATE(2012,12,31)-1038</f>
        <v>40236</v>
      </c>
      <c r="D260" s="4" t="s">
        <v>45</v>
      </c>
      <c r="E260" s="4">
        <v>31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spans="1:21" ht="12" customHeight="1">
      <c r="A261" s="4">
        <v>4812</v>
      </c>
      <c r="B261" s="4">
        <v>34215</v>
      </c>
      <c r="C261" s="5">
        <f>DATE(2012,12,31)-597</f>
        <v>40677</v>
      </c>
      <c r="D261" s="4" t="s">
        <v>30</v>
      </c>
      <c r="E261" s="4">
        <v>6</v>
      </c>
      <c r="F261" s="4">
        <v>35.65</v>
      </c>
      <c r="G261" s="4">
        <v>0.02</v>
      </c>
      <c r="H261" s="4" t="s">
        <v>22</v>
      </c>
      <c r="I261" s="6">
        <v>-5.9225000000000003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0">C261+1</f>
        <v>40678</v>
      </c>
    </row>
    <row r="262" spans="1:21" ht="12" customHeight="1">
      <c r="A262" s="4">
        <v>4820</v>
      </c>
      <c r="B262" s="4">
        <v>34246</v>
      </c>
      <c r="C262" s="5">
        <f t="shared" ref="C262:C264" si="121">DATE(2012,12,31)-816</f>
        <v>40458</v>
      </c>
      <c r="D262" s="4" t="s">
        <v>78</v>
      </c>
      <c r="E262" s="4">
        <v>49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4.0599999999999996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0"/>
        <v>40459</v>
      </c>
    </row>
    <row r="263" spans="1:21" ht="12" customHeight="1">
      <c r="A263" s="4">
        <v>4821</v>
      </c>
      <c r="B263" s="4">
        <v>34246</v>
      </c>
      <c r="C263" s="5">
        <f t="shared" si="121"/>
        <v>40458</v>
      </c>
      <c r="D263" s="4" t="s">
        <v>78</v>
      </c>
      <c r="E263" s="4">
        <v>18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19.989999999999998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0"/>
        <v>40459</v>
      </c>
    </row>
    <row r="264" spans="1:21" ht="12" customHeight="1">
      <c r="A264" s="4">
        <v>4822</v>
      </c>
      <c r="B264" s="4">
        <v>34246</v>
      </c>
      <c r="C264" s="5">
        <f t="shared" si="121"/>
        <v>40458</v>
      </c>
      <c r="D264" s="4" t="s">
        <v>78</v>
      </c>
      <c r="E264" s="4">
        <v>27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2">C264+2</f>
        <v>40460</v>
      </c>
    </row>
    <row r="265" spans="1:21" ht="12" customHeight="1">
      <c r="A265" s="4">
        <v>4929</v>
      </c>
      <c r="B265" s="4">
        <v>35047</v>
      </c>
      <c r="C265" s="5">
        <f>DATE(2012,12,31)-936</f>
        <v>40338</v>
      </c>
      <c r="D265" s="4" t="s">
        <v>63</v>
      </c>
      <c r="E265" s="4">
        <v>31</v>
      </c>
      <c r="F265" s="4">
        <v>148.16999999999999</v>
      </c>
      <c r="G265" s="4">
        <v>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2"/>
        <v>40340</v>
      </c>
    </row>
    <row r="266" spans="1:21" ht="12" customHeight="1">
      <c r="A266" s="4">
        <v>4957</v>
      </c>
      <c r="B266" s="4">
        <v>35266</v>
      </c>
      <c r="C266" s="5">
        <f t="shared" ref="C266:C267" si="123">DATE(2012,12,31)-721</f>
        <v>40553</v>
      </c>
      <c r="D266" s="4" t="s">
        <v>45</v>
      </c>
      <c r="E266" s="4">
        <v>39</v>
      </c>
      <c r="F266" s="4">
        <v>217.25</v>
      </c>
      <c r="G266" s="4">
        <v>7.0000000000000007E-2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0.55000000000000004</v>
      </c>
      <c r="U266" s="5">
        <f>C266+0</f>
        <v>40553</v>
      </c>
    </row>
    <row r="267" spans="1:21" ht="12" customHeight="1">
      <c r="A267" s="4">
        <v>4958</v>
      </c>
      <c r="B267" s="4">
        <v>35266</v>
      </c>
      <c r="C267" s="5">
        <f t="shared" si="123"/>
        <v>40553</v>
      </c>
      <c r="D267" s="4" t="s">
        <v>45</v>
      </c>
      <c r="E267" s="4">
        <v>28</v>
      </c>
      <c r="F267" s="4">
        <v>5993.74</v>
      </c>
      <c r="G267" s="4">
        <v>7.0000000000000007E-2</v>
      </c>
      <c r="H267" s="4" t="s">
        <v>31</v>
      </c>
      <c r="I267" s="6">
        <v>-998.93700000000013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4">C267+2</f>
        <v>40555</v>
      </c>
    </row>
    <row r="268" spans="1:21" ht="12" customHeight="1">
      <c r="A268" s="4">
        <v>5048</v>
      </c>
      <c r="B268" s="4">
        <v>36001</v>
      </c>
      <c r="C268" s="5">
        <f t="shared" ref="C268:C269" si="125">DATE(2012,12,31)-644</f>
        <v>40630</v>
      </c>
      <c r="D268" s="4" t="s">
        <v>21</v>
      </c>
      <c r="E268" s="4">
        <v>45</v>
      </c>
      <c r="F268" s="4">
        <v>1038.82</v>
      </c>
      <c r="G268" s="4">
        <v>0.05</v>
      </c>
      <c r="H268" s="4" t="s">
        <v>22</v>
      </c>
      <c r="I268" s="6">
        <v>-78.361000000000004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4"/>
        <v>40632</v>
      </c>
    </row>
    <row r="269" spans="1:21" ht="12" customHeight="1">
      <c r="A269" s="4">
        <v>5049</v>
      </c>
      <c r="B269" s="4">
        <v>36001</v>
      </c>
      <c r="C269" s="5">
        <f t="shared" si="125"/>
        <v>40630</v>
      </c>
      <c r="D269" s="4" t="s">
        <v>21</v>
      </c>
      <c r="E269" s="4">
        <v>47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4.9800000000000004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spans="1:21" ht="12" customHeight="1">
      <c r="A270" s="4">
        <v>5074</v>
      </c>
      <c r="B270" s="4">
        <v>36134</v>
      </c>
      <c r="C270" s="5">
        <f>DATE(2012,12,31)-770</f>
        <v>40504</v>
      </c>
      <c r="D270" s="4" t="s">
        <v>21</v>
      </c>
      <c r="E270" s="4">
        <v>6</v>
      </c>
      <c r="F270" s="4">
        <v>826.97349999999994</v>
      </c>
      <c r="G270" s="4">
        <v>0.01</v>
      </c>
      <c r="H270" s="4" t="s">
        <v>22</v>
      </c>
      <c r="I270" s="6">
        <v>-413.32499999999999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0.55000000000000004</v>
      </c>
      <c r="U270" s="5">
        <f>C270+0</f>
        <v>40504</v>
      </c>
    </row>
    <row r="271" spans="1:21" ht="12" customHeight="1">
      <c r="A271" s="4">
        <v>5075</v>
      </c>
      <c r="B271" s="4">
        <v>36135</v>
      </c>
      <c r="C271" s="5">
        <f>DATE(2012,12,31)-581</f>
        <v>40693</v>
      </c>
      <c r="D271" s="4" t="s">
        <v>45</v>
      </c>
      <c r="E271" s="4">
        <v>33</v>
      </c>
      <c r="F271" s="4">
        <v>999.22599999999989</v>
      </c>
      <c r="G271" s="4">
        <v>0.02</v>
      </c>
      <c r="H271" s="4" t="s">
        <v>22</v>
      </c>
      <c r="I271" s="6">
        <v>381.16800000000001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6">C271+1</f>
        <v>40694</v>
      </c>
    </row>
    <row r="272" spans="1:21" ht="12" customHeight="1">
      <c r="A272" s="4">
        <v>5138</v>
      </c>
      <c r="B272" s="4">
        <v>36644</v>
      </c>
      <c r="C272" s="5">
        <f>DATE(2012,12,31)-232</f>
        <v>41042</v>
      </c>
      <c r="D272" s="4" t="s">
        <v>30</v>
      </c>
      <c r="E272" s="4">
        <v>24</v>
      </c>
      <c r="F272" s="4">
        <v>2298.3200000000002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19.989999999999998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6"/>
        <v>41043</v>
      </c>
    </row>
    <row r="273" spans="1:21" ht="12" customHeight="1">
      <c r="A273" s="4">
        <v>5139</v>
      </c>
      <c r="B273" s="4">
        <v>36646</v>
      </c>
      <c r="C273" s="5">
        <f>DATE(2012,12,31)-937</f>
        <v>40337</v>
      </c>
      <c r="D273" s="4" t="s">
        <v>63</v>
      </c>
      <c r="E273" s="4">
        <v>24</v>
      </c>
      <c r="F273" s="4">
        <v>1168.1500000000001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6"/>
        <v>40338</v>
      </c>
    </row>
    <row r="274" spans="1:21" ht="12" customHeight="1">
      <c r="A274" s="4">
        <v>5236</v>
      </c>
      <c r="B274" s="4">
        <v>37253</v>
      </c>
      <c r="C274" s="5">
        <f>DATE(2012,12,31)-121</f>
        <v>41153</v>
      </c>
      <c r="D274" s="4" t="s">
        <v>30</v>
      </c>
      <c r="E274" s="4">
        <v>46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spans="1:21" ht="12" customHeight="1">
      <c r="A275" s="4">
        <v>5275</v>
      </c>
      <c r="B275" s="4">
        <v>37541</v>
      </c>
      <c r="C275" s="5">
        <f t="shared" ref="C275:C277" si="127">DATE(2012,12,31)-1039</f>
        <v>40235</v>
      </c>
      <c r="D275" s="4" t="s">
        <v>63</v>
      </c>
      <c r="E275" s="4">
        <v>3</v>
      </c>
      <c r="F275" s="4">
        <v>71.94</v>
      </c>
      <c r="G275" s="4">
        <v>0.01</v>
      </c>
      <c r="H275" s="4" t="s">
        <v>22</v>
      </c>
      <c r="I275" s="6">
        <v>-70.680000000000007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spans="1:21" ht="12" customHeight="1">
      <c r="A276" s="4">
        <v>5276</v>
      </c>
      <c r="B276" s="4">
        <v>37541</v>
      </c>
      <c r="C276" s="5">
        <f t="shared" si="127"/>
        <v>40235</v>
      </c>
      <c r="D276" s="4" t="s">
        <v>63</v>
      </c>
      <c r="E276" s="4">
        <v>10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spans="1:21" ht="12" customHeight="1">
      <c r="A277" s="4">
        <v>5277</v>
      </c>
      <c r="B277" s="4">
        <v>37541</v>
      </c>
      <c r="C277" s="5">
        <f t="shared" si="127"/>
        <v>40235</v>
      </c>
      <c r="D277" s="4" t="s">
        <v>63</v>
      </c>
      <c r="E277" s="4">
        <v>18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spans="1:21" ht="12" customHeight="1">
      <c r="A278" s="4">
        <v>5286</v>
      </c>
      <c r="B278" s="4">
        <v>37634</v>
      </c>
      <c r="C278" s="5">
        <f>DATE(2012,12,31)-224</f>
        <v>41050</v>
      </c>
      <c r="D278" s="4" t="s">
        <v>63</v>
      </c>
      <c r="E278" s="4">
        <v>32</v>
      </c>
      <c r="F278" s="4">
        <v>368.18</v>
      </c>
      <c r="G278" s="4">
        <v>7.0000000000000007E-2</v>
      </c>
      <c r="H278" s="4" t="s">
        <v>22</v>
      </c>
      <c r="I278" s="6">
        <v>-36.78</v>
      </c>
      <c r="J278" s="4">
        <v>12.21</v>
      </c>
      <c r="K278" s="4">
        <v>4.8099999999999996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0.57999999999999996</v>
      </c>
      <c r="U278" s="5">
        <f>C278+1</f>
        <v>41051</v>
      </c>
    </row>
    <row r="279" spans="1:21" ht="12" customHeight="1">
      <c r="A279" s="4">
        <v>5325</v>
      </c>
      <c r="B279" s="4">
        <v>37860</v>
      </c>
      <c r="C279" s="5">
        <f>DATE(2012,12,31)-857</f>
        <v>40417</v>
      </c>
      <c r="D279" s="4" t="s">
        <v>63</v>
      </c>
      <c r="E279" s="4">
        <v>1</v>
      </c>
      <c r="F279" s="4">
        <v>104.85</v>
      </c>
      <c r="G279" s="4">
        <v>7.0000000000000007E-2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spans="1:21" ht="12" customHeight="1">
      <c r="A280" s="4">
        <v>5472</v>
      </c>
      <c r="B280" s="4">
        <v>38884</v>
      </c>
      <c r="C280" s="5">
        <f t="shared" ref="C280:C281" si="128">DATE(2012,12,31)-136</f>
        <v>41138</v>
      </c>
      <c r="D280" s="4" t="s">
        <v>30</v>
      </c>
      <c r="E280" s="4">
        <v>47</v>
      </c>
      <c r="F280" s="4">
        <v>256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29">C280+1</f>
        <v>41139</v>
      </c>
    </row>
    <row r="281" spans="1:21" ht="12" customHeight="1">
      <c r="A281" s="4">
        <v>5473</v>
      </c>
      <c r="B281" s="4">
        <v>38884</v>
      </c>
      <c r="C281" s="5">
        <f t="shared" si="128"/>
        <v>41138</v>
      </c>
      <c r="D281" s="4" t="s">
        <v>30</v>
      </c>
      <c r="E281" s="4">
        <v>20</v>
      </c>
      <c r="F281" s="4">
        <v>6067.76</v>
      </c>
      <c r="G281" s="4">
        <v>0.06</v>
      </c>
      <c r="H281" s="4" t="s">
        <v>31</v>
      </c>
      <c r="I281" s="6">
        <v>-98.046000000000006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29"/>
        <v>41139</v>
      </c>
    </row>
    <row r="282" spans="1:21" ht="12" customHeight="1">
      <c r="A282" s="4">
        <v>5559</v>
      </c>
      <c r="B282" s="4">
        <v>39364</v>
      </c>
      <c r="C282" s="5">
        <f t="shared" ref="C282:C283" si="130">DATE(2012,12,31)-52</f>
        <v>41222</v>
      </c>
      <c r="D282" s="4" t="s">
        <v>30</v>
      </c>
      <c r="E282" s="4">
        <v>29</v>
      </c>
      <c r="F282" s="4">
        <v>2754.93</v>
      </c>
      <c r="G282" s="4">
        <v>0.06</v>
      </c>
      <c r="H282" s="4" t="s">
        <v>22</v>
      </c>
      <c r="I282" s="6">
        <v>-1.3299999999999841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29"/>
        <v>41223</v>
      </c>
    </row>
    <row r="283" spans="1:21" ht="12" customHeight="1">
      <c r="A283" s="4">
        <v>5560</v>
      </c>
      <c r="B283" s="4">
        <v>39364</v>
      </c>
      <c r="C283" s="5">
        <f t="shared" si="130"/>
        <v>41222</v>
      </c>
      <c r="D283" s="4" t="s">
        <v>30</v>
      </c>
      <c r="E283" s="4">
        <v>15</v>
      </c>
      <c r="F283" s="4">
        <v>19417.55</v>
      </c>
      <c r="G283" s="4">
        <v>0.03</v>
      </c>
      <c r="H283" s="4" t="s">
        <v>22</v>
      </c>
      <c r="I283" s="6">
        <v>8417.5670000000009</v>
      </c>
      <c r="J283" s="4">
        <v>1270.99</v>
      </c>
      <c r="K283" s="4">
        <v>19.989999999999998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spans="1:21" ht="12" customHeight="1">
      <c r="A284" s="4">
        <v>5569</v>
      </c>
      <c r="B284" s="4">
        <v>39457</v>
      </c>
      <c r="C284" s="5">
        <f>DATE(2012,12,31)-578</f>
        <v>40696</v>
      </c>
      <c r="D284" s="4" t="s">
        <v>78</v>
      </c>
      <c r="E284" s="4">
        <v>40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spans="1:21" ht="12" customHeight="1">
      <c r="A285" s="4">
        <v>5598</v>
      </c>
      <c r="B285" s="4">
        <v>39683</v>
      </c>
      <c r="C285" s="5">
        <f t="shared" ref="C285:C288" si="131">DATE(2012,12,31)-509</f>
        <v>40765</v>
      </c>
      <c r="D285" s="4" t="s">
        <v>30</v>
      </c>
      <c r="E285" s="4">
        <v>31</v>
      </c>
      <c r="F285" s="4">
        <v>615.58000000000004</v>
      </c>
      <c r="G285" s="4">
        <v>0.04</v>
      </c>
      <c r="H285" s="4" t="s">
        <v>22</v>
      </c>
      <c r="I285" s="6">
        <v>168.0025</v>
      </c>
      <c r="J285" s="4">
        <v>18.989999999999998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spans="1:21" ht="12" customHeight="1">
      <c r="A286" s="4">
        <v>5599</v>
      </c>
      <c r="B286" s="4">
        <v>39683</v>
      </c>
      <c r="C286" s="5">
        <f t="shared" si="131"/>
        <v>40765</v>
      </c>
      <c r="D286" s="4" t="s">
        <v>30</v>
      </c>
      <c r="E286" s="4">
        <v>41</v>
      </c>
      <c r="F286" s="4">
        <v>8387.1</v>
      </c>
      <c r="G286" s="4">
        <v>0.1</v>
      </c>
      <c r="H286" s="4" t="s">
        <v>22</v>
      </c>
      <c r="I286" s="6">
        <v>2113.9499999999998</v>
      </c>
      <c r="J286" s="4">
        <v>218.08</v>
      </c>
      <c r="K286" s="4">
        <v>18.059999999999999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0.56999999999999995</v>
      </c>
      <c r="U286" s="5">
        <f t="shared" ref="U286:U287" si="132">C286+1</f>
        <v>40766</v>
      </c>
    </row>
    <row r="287" spans="1:21" ht="12" customHeight="1">
      <c r="A287" s="4">
        <v>5600</v>
      </c>
      <c r="B287" s="4">
        <v>39683</v>
      </c>
      <c r="C287" s="5">
        <f t="shared" si="131"/>
        <v>40765</v>
      </c>
      <c r="D287" s="4" t="s">
        <v>30</v>
      </c>
      <c r="E287" s="4">
        <v>6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20.239999999999998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2"/>
        <v>40766</v>
      </c>
    </row>
    <row r="288" spans="1:21" ht="12" customHeight="1">
      <c r="A288" s="4">
        <v>5601</v>
      </c>
      <c r="B288" s="4">
        <v>39683</v>
      </c>
      <c r="C288" s="5">
        <f t="shared" si="131"/>
        <v>40765</v>
      </c>
      <c r="D288" s="4" t="s">
        <v>30</v>
      </c>
      <c r="E288" s="4">
        <v>30</v>
      </c>
      <c r="F288" s="4">
        <v>68.14</v>
      </c>
      <c r="G288" s="4">
        <v>0</v>
      </c>
      <c r="H288" s="4" t="s">
        <v>22</v>
      </c>
      <c r="I288" s="6">
        <v>6.37</v>
      </c>
      <c r="J288" s="4">
        <v>2.1800000000000002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spans="1:21" ht="12" customHeight="1">
      <c r="A289" s="4">
        <v>5659</v>
      </c>
      <c r="B289" s="4">
        <v>40036</v>
      </c>
      <c r="C289" s="5">
        <f>DATE(2012,12,31)-938</f>
        <v>40336</v>
      </c>
      <c r="D289" s="4" t="s">
        <v>45</v>
      </c>
      <c r="E289" s="4">
        <v>10</v>
      </c>
      <c r="F289" s="4">
        <v>568.33550000000002</v>
      </c>
      <c r="G289" s="4">
        <v>0.02</v>
      </c>
      <c r="H289" s="4" t="s">
        <v>22</v>
      </c>
      <c r="I289" s="6">
        <v>-147.35599999999999</v>
      </c>
      <c r="J289" s="4">
        <v>65.989999999999995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0.57999999999999996</v>
      </c>
      <c r="U289" s="5">
        <f>C289+1</f>
        <v>40337</v>
      </c>
    </row>
    <row r="290" spans="1:21" ht="12" customHeight="1">
      <c r="A290" s="4">
        <v>5662</v>
      </c>
      <c r="B290" s="4">
        <v>40067</v>
      </c>
      <c r="C290" s="5">
        <f>DATE(2012,12,31)-318</f>
        <v>40956</v>
      </c>
      <c r="D290" s="4" t="s">
        <v>21</v>
      </c>
      <c r="E290" s="4">
        <v>38</v>
      </c>
      <c r="F290" s="4">
        <v>2157.3085000000001</v>
      </c>
      <c r="G290" s="4">
        <v>0</v>
      </c>
      <c r="H290" s="4" t="s">
        <v>22</v>
      </c>
      <c r="I290" s="6">
        <v>519.24600000000009</v>
      </c>
      <c r="J290" s="4">
        <v>65.989999999999995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0.56999999999999995</v>
      </c>
      <c r="U290" s="5">
        <f>C290+2</f>
        <v>40958</v>
      </c>
    </row>
    <row r="291" spans="1:21" ht="12" customHeight="1">
      <c r="A291" s="4">
        <v>5675</v>
      </c>
      <c r="B291" s="4">
        <v>40132</v>
      </c>
      <c r="C291" s="5">
        <f t="shared" ref="C291:C293" si="133">DATE(2012,12,31)-312</f>
        <v>40962</v>
      </c>
      <c r="D291" s="4" t="s">
        <v>21</v>
      </c>
      <c r="E291" s="4">
        <v>26</v>
      </c>
      <c r="F291" s="4">
        <v>1363</v>
      </c>
      <c r="G291" s="4">
        <v>0.04</v>
      </c>
      <c r="H291" s="4" t="s">
        <v>31</v>
      </c>
      <c r="I291" s="6">
        <v>149.83000000000001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0.56000000000000005</v>
      </c>
      <c r="U291" s="5">
        <f t="shared" ref="U291:U292" si="134">C291+6</f>
        <v>40968</v>
      </c>
    </row>
    <row r="292" spans="1:21" ht="12" customHeight="1">
      <c r="A292" s="4">
        <v>5676</v>
      </c>
      <c r="B292" s="4">
        <v>40132</v>
      </c>
      <c r="C292" s="5">
        <f t="shared" si="133"/>
        <v>40962</v>
      </c>
      <c r="D292" s="4" t="s">
        <v>21</v>
      </c>
      <c r="E292" s="4">
        <v>36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4"/>
        <v>40968</v>
      </c>
    </row>
    <row r="293" spans="1:21" ht="12" customHeight="1">
      <c r="A293" s="4">
        <v>5677</v>
      </c>
      <c r="B293" s="4">
        <v>40132</v>
      </c>
      <c r="C293" s="5">
        <f t="shared" si="133"/>
        <v>40962</v>
      </c>
      <c r="D293" s="4" t="s">
        <v>21</v>
      </c>
      <c r="E293" s="4">
        <v>16</v>
      </c>
      <c r="F293" s="4">
        <v>347.47</v>
      </c>
      <c r="G293" s="4">
        <v>0.09</v>
      </c>
      <c r="H293" s="4" t="s">
        <v>22</v>
      </c>
      <c r="I293" s="6">
        <v>-86.203999999999994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spans="1:21" ht="12" customHeight="1">
      <c r="A294" s="4">
        <v>5746</v>
      </c>
      <c r="B294" s="4">
        <v>40804</v>
      </c>
      <c r="C294" s="5">
        <f>DATE(2012,12,31)-1025</f>
        <v>40249</v>
      </c>
      <c r="D294" s="4" t="s">
        <v>63</v>
      </c>
      <c r="E294" s="4">
        <v>36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5">C294+2</f>
        <v>40251</v>
      </c>
    </row>
    <row r="295" spans="1:21" ht="12" customHeight="1">
      <c r="A295" s="4">
        <v>5790</v>
      </c>
      <c r="B295" s="4">
        <v>41063</v>
      </c>
      <c r="C295" s="5">
        <f t="shared" ref="C295:C297" si="136">DATE(2012,12,31)-40</f>
        <v>41234</v>
      </c>
      <c r="D295" s="4" t="s">
        <v>21</v>
      </c>
      <c r="E295" s="4">
        <v>22</v>
      </c>
      <c r="F295" s="4">
        <v>483.96</v>
      </c>
      <c r="G295" s="4">
        <v>0.01</v>
      </c>
      <c r="H295" s="4" t="s">
        <v>22</v>
      </c>
      <c r="I295" s="6">
        <v>-34.090000000000003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5"/>
        <v>41236</v>
      </c>
    </row>
    <row r="296" spans="1:21" ht="12" customHeight="1">
      <c r="A296" s="4">
        <v>5791</v>
      </c>
      <c r="B296" s="4">
        <v>41063</v>
      </c>
      <c r="C296" s="5">
        <f t="shared" si="136"/>
        <v>41234</v>
      </c>
      <c r="D296" s="4" t="s">
        <v>21</v>
      </c>
      <c r="E296" s="4">
        <v>10</v>
      </c>
      <c r="F296" s="4">
        <v>308.36299999999994</v>
      </c>
      <c r="G296" s="4">
        <v>0.04</v>
      </c>
      <c r="H296" s="4" t="s">
        <v>22</v>
      </c>
      <c r="I296" s="6">
        <v>42.272999999999954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7">C296+7</f>
        <v>41241</v>
      </c>
    </row>
    <row r="297" spans="1:21" ht="12" customHeight="1">
      <c r="A297" s="4">
        <v>5792</v>
      </c>
      <c r="B297" s="4">
        <v>41063</v>
      </c>
      <c r="C297" s="5">
        <f t="shared" si="136"/>
        <v>41234</v>
      </c>
      <c r="D297" s="4" t="s">
        <v>21</v>
      </c>
      <c r="E297" s="4">
        <v>26</v>
      </c>
      <c r="F297" s="4">
        <v>1911.4034999999999</v>
      </c>
      <c r="G297" s="4">
        <v>0.06</v>
      </c>
      <c r="H297" s="4" t="s">
        <v>22</v>
      </c>
      <c r="I297" s="6">
        <v>822.88800000000003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7"/>
        <v>41241</v>
      </c>
    </row>
    <row r="298" spans="1:21" ht="12" customHeight="1">
      <c r="A298" s="4">
        <v>5805</v>
      </c>
      <c r="B298" s="4">
        <v>41184</v>
      </c>
      <c r="C298" s="5">
        <f>DATE(2012,12,31)-466</f>
        <v>40808</v>
      </c>
      <c r="D298" s="4" t="s">
        <v>30</v>
      </c>
      <c r="E298" s="4">
        <v>7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8">C298+2</f>
        <v>40810</v>
      </c>
    </row>
    <row r="299" spans="1:21" ht="12" customHeight="1">
      <c r="A299" s="4">
        <v>5835</v>
      </c>
      <c r="B299" s="4">
        <v>41409</v>
      </c>
      <c r="C299" s="5">
        <f>DATE(2012,12,31)-529</f>
        <v>40745</v>
      </c>
      <c r="D299" s="4" t="s">
        <v>45</v>
      </c>
      <c r="E299" s="4">
        <v>1</v>
      </c>
      <c r="F299" s="4">
        <v>18.920000000000002</v>
      </c>
      <c r="G299" s="4">
        <v>0</v>
      </c>
      <c r="H299" s="4" t="s">
        <v>22</v>
      </c>
      <c r="I299" s="6">
        <v>-18.250499999999999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8"/>
        <v>40747</v>
      </c>
    </row>
    <row r="300" spans="1:21" ht="12" customHeight="1">
      <c r="A300" s="4">
        <v>5944</v>
      </c>
      <c r="B300" s="4">
        <v>42209</v>
      </c>
      <c r="C300" s="5">
        <f t="shared" ref="C300:C301" si="139">DATE(2012,12,31)-1008</f>
        <v>40266</v>
      </c>
      <c r="D300" s="4" t="s">
        <v>30</v>
      </c>
      <c r="E300" s="4">
        <v>5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0.57999999999999996</v>
      </c>
      <c r="U300" s="5">
        <f>C300+0</f>
        <v>40266</v>
      </c>
    </row>
    <row r="301" spans="1:21" ht="12" customHeight="1">
      <c r="A301" s="4">
        <v>5945</v>
      </c>
      <c r="B301" s="4">
        <v>42209</v>
      </c>
      <c r="C301" s="5">
        <f t="shared" si="139"/>
        <v>40266</v>
      </c>
      <c r="D301" s="4" t="s">
        <v>30</v>
      </c>
      <c r="E301" s="4">
        <v>31</v>
      </c>
      <c r="F301" s="4">
        <v>8901.7800000000007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spans="1:21" ht="12" customHeight="1">
      <c r="A302" s="4">
        <v>6007</v>
      </c>
      <c r="B302" s="4">
        <v>42561</v>
      </c>
      <c r="C302" s="5">
        <f>DATE(2012,12,31)-1059</f>
        <v>40215</v>
      </c>
      <c r="D302" s="4" t="s">
        <v>21</v>
      </c>
      <c r="E302" s="4">
        <v>15</v>
      </c>
      <c r="F302" s="4">
        <v>1062.9589999999998</v>
      </c>
      <c r="G302" s="4">
        <v>7.0000000000000007E-2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spans="1:21" ht="12" customHeight="1">
      <c r="A303" s="4">
        <v>6009</v>
      </c>
      <c r="B303" s="4">
        <v>42564</v>
      </c>
      <c r="C303" s="5">
        <f>DATE(2012,12,31)-110</f>
        <v>41164</v>
      </c>
      <c r="D303" s="4" t="s">
        <v>21</v>
      </c>
      <c r="E303" s="4">
        <v>35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0.57999999999999996</v>
      </c>
      <c r="U303" s="5">
        <f>C303+7</f>
        <v>41171</v>
      </c>
    </row>
    <row r="304" spans="1:21" ht="12" customHeight="1">
      <c r="A304" s="4">
        <v>6029</v>
      </c>
      <c r="B304" s="4">
        <v>42695</v>
      </c>
      <c r="C304" s="5">
        <f>DATE(2012,12,31)-740</f>
        <v>40534</v>
      </c>
      <c r="D304" s="4" t="s">
        <v>45</v>
      </c>
      <c r="E304" s="4">
        <v>12</v>
      </c>
      <c r="F304" s="4">
        <v>710.32799999999997</v>
      </c>
      <c r="G304" s="4">
        <v>0.02</v>
      </c>
      <c r="H304" s="4" t="s">
        <v>22</v>
      </c>
      <c r="I304" s="6">
        <v>-10.295999999999992</v>
      </c>
      <c r="J304" s="4">
        <v>65.989999999999995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0.56999999999999995</v>
      </c>
      <c r="U304" s="5">
        <f>C304+2</f>
        <v>40536</v>
      </c>
    </row>
    <row r="305" spans="1:21" ht="12" customHeight="1">
      <c r="A305" s="4">
        <v>6082</v>
      </c>
      <c r="B305" s="4">
        <v>43109</v>
      </c>
      <c r="C305" s="5">
        <f t="shared" ref="C305:C307" si="140">DATE(2012,12,31)-10</f>
        <v>41264</v>
      </c>
      <c r="D305" s="4" t="s">
        <v>78</v>
      </c>
      <c r="E305" s="4">
        <v>19</v>
      </c>
      <c r="F305" s="4">
        <v>281.83999999999997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1">C305+1</f>
        <v>41265</v>
      </c>
    </row>
    <row r="306" spans="1:21" ht="12" customHeight="1">
      <c r="A306" s="4">
        <v>6083</v>
      </c>
      <c r="B306" s="4">
        <v>43109</v>
      </c>
      <c r="C306" s="5">
        <f t="shared" si="140"/>
        <v>41264</v>
      </c>
      <c r="D306" s="4" t="s">
        <v>78</v>
      </c>
      <c r="E306" s="4">
        <v>25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1"/>
        <v>41265</v>
      </c>
    </row>
    <row r="307" spans="1:21" ht="12" customHeight="1">
      <c r="A307" s="4">
        <v>6084</v>
      </c>
      <c r="B307" s="4">
        <v>43109</v>
      </c>
      <c r="C307" s="5">
        <f t="shared" si="140"/>
        <v>41264</v>
      </c>
      <c r="D307" s="4" t="s">
        <v>78</v>
      </c>
      <c r="E307" s="4">
        <v>10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1"/>
        <v>41265</v>
      </c>
    </row>
    <row r="308" spans="1:21" ht="12" customHeight="1">
      <c r="A308" s="4">
        <v>6097</v>
      </c>
      <c r="B308" s="4">
        <v>43203</v>
      </c>
      <c r="C308" s="5">
        <f>DATE(2012,12,31)-321</f>
        <v>40953</v>
      </c>
      <c r="D308" s="4" t="s">
        <v>45</v>
      </c>
      <c r="E308" s="4">
        <v>32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2">C308+2</f>
        <v>40955</v>
      </c>
    </row>
    <row r="309" spans="1:21" ht="12" customHeight="1">
      <c r="A309" s="4">
        <v>6103</v>
      </c>
      <c r="B309" s="4">
        <v>43236</v>
      </c>
      <c r="C309" s="5">
        <f>DATE(2012,12,31)-912</f>
        <v>40362</v>
      </c>
      <c r="D309" s="4" t="s">
        <v>45</v>
      </c>
      <c r="E309" s="4">
        <v>20</v>
      </c>
      <c r="F309" s="4">
        <v>205.33</v>
      </c>
      <c r="G309" s="4">
        <v>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2"/>
        <v>40364</v>
      </c>
    </row>
    <row r="310" spans="1:21" ht="12" customHeight="1">
      <c r="A310" s="4">
        <v>6105</v>
      </c>
      <c r="B310" s="4">
        <v>43267</v>
      </c>
      <c r="C310" s="5">
        <f>DATE(2012,12,31)-595</f>
        <v>40679</v>
      </c>
      <c r="D310" s="4" t="s">
        <v>78</v>
      </c>
      <c r="E310" s="4">
        <v>17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2"/>
        <v>40681</v>
      </c>
    </row>
    <row r="311" spans="1:21" ht="12" customHeight="1">
      <c r="A311" s="4">
        <v>6118</v>
      </c>
      <c r="B311" s="4">
        <v>43329</v>
      </c>
      <c r="C311" s="5">
        <f>DATE(2012,12,31)-1030</f>
        <v>40244</v>
      </c>
      <c r="D311" s="4" t="s">
        <v>63</v>
      </c>
      <c r="E311" s="4">
        <v>42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0.56999999999999995</v>
      </c>
      <c r="U311" s="5">
        <f t="shared" ref="U311:U312" si="143">C311+3</f>
        <v>40247</v>
      </c>
    </row>
    <row r="312" spans="1:21" ht="12" customHeight="1">
      <c r="A312" s="4">
        <v>6125</v>
      </c>
      <c r="B312" s="4">
        <v>43364</v>
      </c>
      <c r="C312" s="5">
        <f>DATE(2012,12,31)-268</f>
        <v>41006</v>
      </c>
      <c r="D312" s="4" t="s">
        <v>30</v>
      </c>
      <c r="E312" s="4">
        <v>21</v>
      </c>
      <c r="F312" s="4">
        <v>524.20000000000005</v>
      </c>
      <c r="G312" s="4">
        <v>0.04</v>
      </c>
      <c r="H312" s="4" t="s">
        <v>22</v>
      </c>
      <c r="I312" s="6">
        <v>158.97999999999999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3"/>
        <v>41009</v>
      </c>
    </row>
    <row r="313" spans="1:21" ht="12" customHeight="1">
      <c r="A313" s="4">
        <v>6129</v>
      </c>
      <c r="B313" s="4">
        <v>43392</v>
      </c>
      <c r="C313" s="5">
        <f>DATE(2012,12,31)-731</f>
        <v>40543</v>
      </c>
      <c r="D313" s="4" t="s">
        <v>63</v>
      </c>
      <c r="E313" s="4">
        <v>39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19.989999999999998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spans="1:21" ht="12" customHeight="1">
      <c r="A314" s="4">
        <v>6176</v>
      </c>
      <c r="B314" s="4">
        <v>43781</v>
      </c>
      <c r="C314" s="5">
        <f t="shared" ref="C314:C315" si="144">DATE(2012,12,31)-1063</f>
        <v>40211</v>
      </c>
      <c r="D314" s="4" t="s">
        <v>45</v>
      </c>
      <c r="E314" s="4">
        <v>45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spans="1:21" ht="12" customHeight="1">
      <c r="A315" s="4">
        <v>6177</v>
      </c>
      <c r="B315" s="4">
        <v>43781</v>
      </c>
      <c r="C315" s="5">
        <f t="shared" si="144"/>
        <v>40211</v>
      </c>
      <c r="D315" s="4" t="s">
        <v>45</v>
      </c>
      <c r="E315" s="4">
        <v>21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5">C315+1</f>
        <v>40212</v>
      </c>
    </row>
    <row r="316" spans="1:21" ht="12" customHeight="1">
      <c r="A316" s="4">
        <v>6226</v>
      </c>
      <c r="B316" s="4">
        <v>44071</v>
      </c>
      <c r="C316" s="5">
        <f t="shared" ref="C316:C317" si="146">DATE(2012,12,31)-260</f>
        <v>41014</v>
      </c>
      <c r="D316" s="4" t="s">
        <v>45</v>
      </c>
      <c r="E316" s="4">
        <v>19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5"/>
        <v>41015</v>
      </c>
    </row>
    <row r="317" spans="1:21" ht="12" customHeight="1">
      <c r="A317" s="4">
        <v>6227</v>
      </c>
      <c r="B317" s="4">
        <v>44071</v>
      </c>
      <c r="C317" s="5">
        <f t="shared" si="146"/>
        <v>41014</v>
      </c>
      <c r="D317" s="4" t="s">
        <v>45</v>
      </c>
      <c r="E317" s="4">
        <v>20</v>
      </c>
      <c r="F317" s="4">
        <v>1163.123</v>
      </c>
      <c r="G317" s="4">
        <v>0</v>
      </c>
      <c r="H317" s="4" t="s">
        <v>22</v>
      </c>
      <c r="I317" s="6">
        <v>83.834999999999994</v>
      </c>
      <c r="J317" s="4">
        <v>65.989999999999995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0.57999999999999996</v>
      </c>
      <c r="U317" s="5">
        <f t="shared" si="145"/>
        <v>41015</v>
      </c>
    </row>
    <row r="318" spans="1:21" ht="12" customHeight="1">
      <c r="A318" s="4">
        <v>6290</v>
      </c>
      <c r="B318" s="4">
        <v>44519</v>
      </c>
      <c r="C318" s="5">
        <f t="shared" ref="C318:C320" si="147">DATE(2012,12,31)-957</f>
        <v>40317</v>
      </c>
      <c r="D318" s="4" t="s">
        <v>30</v>
      </c>
      <c r="E318" s="4">
        <v>48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5"/>
        <v>40318</v>
      </c>
    </row>
    <row r="319" spans="1:21" ht="12" customHeight="1">
      <c r="A319" s="4">
        <v>6291</v>
      </c>
      <c r="B319" s="4">
        <v>44519</v>
      </c>
      <c r="C319" s="5">
        <f t="shared" si="147"/>
        <v>40317</v>
      </c>
      <c r="D319" s="4" t="s">
        <v>30</v>
      </c>
      <c r="E319" s="4">
        <v>34</v>
      </c>
      <c r="F319" s="4">
        <v>365.77</v>
      </c>
      <c r="G319" s="4">
        <v>7.0000000000000007E-2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5"/>
        <v>40318</v>
      </c>
    </row>
    <row r="320" spans="1:21" ht="12" customHeight="1">
      <c r="A320" s="4">
        <v>6292</v>
      </c>
      <c r="B320" s="4">
        <v>44519</v>
      </c>
      <c r="C320" s="5">
        <f t="shared" si="147"/>
        <v>40317</v>
      </c>
      <c r="D320" s="4" t="s">
        <v>30</v>
      </c>
      <c r="E320" s="4">
        <v>34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0.56000000000000005</v>
      </c>
      <c r="U320" s="5">
        <f t="shared" si="145"/>
        <v>40318</v>
      </c>
    </row>
    <row r="321" spans="1:21" ht="12" customHeight="1">
      <c r="A321" s="4">
        <v>6330</v>
      </c>
      <c r="B321" s="4">
        <v>44839</v>
      </c>
      <c r="C321" s="5">
        <f>DATE(2012,12,31)-203</f>
        <v>41071</v>
      </c>
      <c r="D321" s="4" t="s">
        <v>78</v>
      </c>
      <c r="E321" s="4">
        <v>27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33.979999999999997</v>
      </c>
      <c r="K321" s="4">
        <v>19.989999999999998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0.55000000000000004</v>
      </c>
      <c r="U321" s="5">
        <f>C321+2</f>
        <v>41073</v>
      </c>
    </row>
    <row r="322" spans="1:21" ht="12" customHeight="1">
      <c r="A322" s="4">
        <v>6372</v>
      </c>
      <c r="B322" s="4">
        <v>45217</v>
      </c>
      <c r="C322" s="5">
        <f>DATE(2012,12,31)-852</f>
        <v>40422</v>
      </c>
      <c r="D322" s="4" t="s">
        <v>45</v>
      </c>
      <c r="E322" s="4">
        <v>40</v>
      </c>
      <c r="F322" s="4">
        <v>6789.9274999999998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spans="1:21" ht="12" customHeight="1">
      <c r="A323" s="4">
        <v>6402</v>
      </c>
      <c r="B323" s="4">
        <v>45440</v>
      </c>
      <c r="C323" s="5">
        <f>DATE(2012,12,31)-144</f>
        <v>41130</v>
      </c>
      <c r="D323" s="4" t="s">
        <v>78</v>
      </c>
      <c r="E323" s="4">
        <v>5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8">C323+2</f>
        <v>41132</v>
      </c>
    </row>
    <row r="324" spans="1:21" ht="12" customHeight="1">
      <c r="A324" s="4">
        <v>6439</v>
      </c>
      <c r="B324" s="4">
        <v>45766</v>
      </c>
      <c r="C324" s="5">
        <f t="shared" ref="C324:C325" si="149">DATE(2012,12,31)-969</f>
        <v>40305</v>
      </c>
      <c r="D324" s="4" t="s">
        <v>30</v>
      </c>
      <c r="E324" s="4">
        <v>37</v>
      </c>
      <c r="F324" s="4">
        <v>2522.21</v>
      </c>
      <c r="G324" s="4">
        <v>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8"/>
        <v>40307</v>
      </c>
    </row>
    <row r="325" spans="1:21" ht="12" customHeight="1">
      <c r="A325" s="4">
        <v>6440</v>
      </c>
      <c r="B325" s="4">
        <v>45766</v>
      </c>
      <c r="C325" s="5">
        <f t="shared" si="149"/>
        <v>40305</v>
      </c>
      <c r="D325" s="4" t="s">
        <v>30</v>
      </c>
      <c r="E325" s="4">
        <v>28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spans="1:21" ht="12" customHeight="1">
      <c r="A326" s="4">
        <v>6446</v>
      </c>
      <c r="B326" s="4">
        <v>45861</v>
      </c>
      <c r="C326" s="5">
        <f>DATE(2012,12,31)-494</f>
        <v>40780</v>
      </c>
      <c r="D326" s="4" t="s">
        <v>63</v>
      </c>
      <c r="E326" s="4">
        <v>39</v>
      </c>
      <c r="F326" s="4">
        <v>680.85849999999994</v>
      </c>
      <c r="G326" s="4">
        <v>0.05</v>
      </c>
      <c r="H326" s="4" t="s">
        <v>22</v>
      </c>
      <c r="I326" s="6">
        <v>319.10399999999998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spans="1:21" ht="12" customHeight="1">
      <c r="A327" s="4">
        <v>6450</v>
      </c>
      <c r="B327" s="4">
        <v>45957</v>
      </c>
      <c r="C327" s="5">
        <f t="shared" ref="C327:C328" si="150">DATE(2012,12,31)-832</f>
        <v>40442</v>
      </c>
      <c r="D327" s="4" t="s">
        <v>78</v>
      </c>
      <c r="E327" s="4">
        <v>20</v>
      </c>
      <c r="F327" s="4">
        <v>759.84</v>
      </c>
      <c r="G327" s="4">
        <v>0.06</v>
      </c>
      <c r="H327" s="4" t="s">
        <v>22</v>
      </c>
      <c r="I327" s="6">
        <v>162.83000000000001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1">C327+2</f>
        <v>40444</v>
      </c>
    </row>
    <row r="328" spans="1:21" ht="12" customHeight="1">
      <c r="A328" s="4">
        <v>6451</v>
      </c>
      <c r="B328" s="4">
        <v>45957</v>
      </c>
      <c r="C328" s="5">
        <f t="shared" si="150"/>
        <v>40442</v>
      </c>
      <c r="D328" s="4" t="s">
        <v>78</v>
      </c>
      <c r="E328" s="4">
        <v>19</v>
      </c>
      <c r="F328" s="4">
        <v>147.38999999999999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1"/>
        <v>40444</v>
      </c>
    </row>
    <row r="329" spans="1:21" ht="12" customHeight="1">
      <c r="A329" s="4">
        <v>6591</v>
      </c>
      <c r="B329" s="4">
        <v>46912</v>
      </c>
      <c r="C329" s="5">
        <f>DATE(2012,12,31)-184</f>
        <v>41090</v>
      </c>
      <c r="D329" s="4" t="s">
        <v>21</v>
      </c>
      <c r="E329" s="4">
        <v>5</v>
      </c>
      <c r="F329" s="4">
        <v>294</v>
      </c>
      <c r="G329" s="4">
        <v>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2">C329+0</f>
        <v>41090</v>
      </c>
    </row>
    <row r="330" spans="1:21" ht="12" customHeight="1">
      <c r="A330" s="4">
        <v>6603</v>
      </c>
      <c r="B330" s="4">
        <v>46980</v>
      </c>
      <c r="C330" s="5">
        <f>DATE(2012,12,31)-714</f>
        <v>40560</v>
      </c>
      <c r="D330" s="4" t="s">
        <v>78</v>
      </c>
      <c r="E330" s="4">
        <v>34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2"/>
        <v>40560</v>
      </c>
    </row>
    <row r="331" spans="1:21" ht="12" customHeight="1">
      <c r="A331" s="4">
        <v>6665</v>
      </c>
      <c r="B331" s="4">
        <v>47460</v>
      </c>
      <c r="C331" s="5">
        <f>DATE(2012,12,31)-813</f>
        <v>40461</v>
      </c>
      <c r="D331" s="4" t="s">
        <v>78</v>
      </c>
      <c r="E331" s="4">
        <v>12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3">C331+2</f>
        <v>40463</v>
      </c>
    </row>
    <row r="332" spans="1:21" ht="12" customHeight="1">
      <c r="A332" s="4">
        <v>6669</v>
      </c>
      <c r="B332" s="4">
        <v>47462</v>
      </c>
      <c r="C332" s="5">
        <f t="shared" ref="C332:C334" si="154">DATE(2012,12,31)-571</f>
        <v>40703</v>
      </c>
      <c r="D332" s="4" t="s">
        <v>30</v>
      </c>
      <c r="E332" s="4">
        <v>43</v>
      </c>
      <c r="F332" s="4">
        <v>154.18</v>
      </c>
      <c r="G332" s="4">
        <v>0.08</v>
      </c>
      <c r="H332" s="4" t="s">
        <v>22</v>
      </c>
      <c r="I332" s="6">
        <v>-166.92250000000001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3"/>
        <v>40705</v>
      </c>
    </row>
    <row r="333" spans="1:21" ht="12" customHeight="1">
      <c r="A333" s="4">
        <v>6670</v>
      </c>
      <c r="B333" s="4">
        <v>47462</v>
      </c>
      <c r="C333" s="5">
        <f t="shared" si="154"/>
        <v>40703</v>
      </c>
      <c r="D333" s="4" t="s">
        <v>30</v>
      </c>
      <c r="E333" s="4">
        <v>18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0.56000000000000005</v>
      </c>
      <c r="U333" s="5">
        <f t="shared" si="153"/>
        <v>40705</v>
      </c>
    </row>
    <row r="334" spans="1:21" ht="12" customHeight="1">
      <c r="A334" s="4">
        <v>6671</v>
      </c>
      <c r="B334" s="4">
        <v>47462</v>
      </c>
      <c r="C334" s="5">
        <f t="shared" si="154"/>
        <v>40703</v>
      </c>
      <c r="D334" s="4" t="s">
        <v>30</v>
      </c>
      <c r="E334" s="4">
        <v>41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3"/>
        <v>40705</v>
      </c>
    </row>
    <row r="335" spans="1:21" ht="12" customHeight="1">
      <c r="A335" s="4">
        <v>6692</v>
      </c>
      <c r="B335" s="4">
        <v>47620</v>
      </c>
      <c r="C335" s="5">
        <f>DATE(2012,12,31)-188</f>
        <v>41086</v>
      </c>
      <c r="D335" s="4" t="s">
        <v>21</v>
      </c>
      <c r="E335" s="4">
        <v>27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0.56999999999999995</v>
      </c>
      <c r="U335" s="5">
        <f>C335+9</f>
        <v>41095</v>
      </c>
    </row>
    <row r="336" spans="1:21" ht="12" customHeight="1">
      <c r="A336" s="4">
        <v>6704</v>
      </c>
      <c r="B336" s="4">
        <v>47749</v>
      </c>
      <c r="C336" s="5">
        <f>DATE(2012,12,31)-1021</f>
        <v>40253</v>
      </c>
      <c r="D336" s="4" t="s">
        <v>63</v>
      </c>
      <c r="E336" s="4">
        <v>46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8.4499999999999993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0.55000000000000004</v>
      </c>
      <c r="U336" s="5">
        <f>C336+0</f>
        <v>40253</v>
      </c>
    </row>
    <row r="337" spans="1:21" ht="12" customHeight="1">
      <c r="A337" s="4">
        <v>6721</v>
      </c>
      <c r="B337" s="4">
        <v>47873</v>
      </c>
      <c r="C337" s="5">
        <f>DATE(2012,12,31)-779</f>
        <v>40495</v>
      </c>
      <c r="D337" s="4" t="s">
        <v>78</v>
      </c>
      <c r="E337" s="4">
        <v>8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5">C337+2</f>
        <v>40497</v>
      </c>
    </row>
    <row r="338" spans="1:21" ht="12" customHeight="1">
      <c r="A338" s="4">
        <v>6754</v>
      </c>
      <c r="B338" s="4">
        <v>48101</v>
      </c>
      <c r="C338" s="5">
        <f>DATE(2012,12,31)-476</f>
        <v>40798</v>
      </c>
      <c r="D338" s="4" t="s">
        <v>30</v>
      </c>
      <c r="E338" s="4">
        <v>4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5"/>
        <v>40800</v>
      </c>
    </row>
    <row r="339" spans="1:21" ht="12" customHeight="1">
      <c r="A339" s="4">
        <v>6858</v>
      </c>
      <c r="B339" s="4">
        <v>48839</v>
      </c>
      <c r="C339" s="5">
        <f>DATE(2012,12,31)-905</f>
        <v>40369</v>
      </c>
      <c r="D339" s="4" t="s">
        <v>78</v>
      </c>
      <c r="E339" s="4">
        <v>1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5"/>
        <v>40371</v>
      </c>
    </row>
    <row r="340" spans="1:21" ht="12" customHeight="1">
      <c r="A340" s="4">
        <v>6983</v>
      </c>
      <c r="B340" s="4">
        <v>49921</v>
      </c>
      <c r="C340" s="5">
        <f t="shared" ref="C340:C341" si="156">DATE(2012,12,31)-683</f>
        <v>40591</v>
      </c>
      <c r="D340" s="4" t="s">
        <v>21</v>
      </c>
      <c r="E340" s="4">
        <v>5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145.44999999999999</v>
      </c>
      <c r="K340" s="4">
        <v>17.850000000000001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0.56000000000000005</v>
      </c>
      <c r="U340" s="5">
        <f>C340+4</f>
        <v>40595</v>
      </c>
    </row>
    <row r="341" spans="1:21" ht="12" customHeight="1">
      <c r="A341" s="4">
        <v>6984</v>
      </c>
      <c r="B341" s="4">
        <v>49921</v>
      </c>
      <c r="C341" s="5">
        <f t="shared" si="156"/>
        <v>40591</v>
      </c>
      <c r="D341" s="4" t="s">
        <v>21</v>
      </c>
      <c r="E341" s="4">
        <v>1</v>
      </c>
      <c r="F341" s="4">
        <v>18.149999999999999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0.56999999999999995</v>
      </c>
      <c r="U341" s="5">
        <f>C341+2</f>
        <v>40593</v>
      </c>
    </row>
    <row r="342" spans="1:21" ht="12" customHeight="1">
      <c r="A342" s="4">
        <v>6991</v>
      </c>
      <c r="B342" s="4">
        <v>49952</v>
      </c>
      <c r="C342" s="5">
        <f>DATE(2012,12,31)-408</f>
        <v>40866</v>
      </c>
      <c r="D342" s="4" t="s">
        <v>30</v>
      </c>
      <c r="E342" s="4">
        <v>12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spans="1:21" ht="12" customHeight="1">
      <c r="A343" s="4">
        <v>7021</v>
      </c>
      <c r="B343" s="4">
        <v>50117</v>
      </c>
      <c r="C343" s="5">
        <f>DATE(2012,12,31)-577</f>
        <v>40697</v>
      </c>
      <c r="D343" s="4" t="s">
        <v>78</v>
      </c>
      <c r="E343" s="4">
        <v>17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spans="1:21" ht="12" customHeight="1">
      <c r="A344" s="4">
        <v>7042</v>
      </c>
      <c r="B344" s="4">
        <v>50278</v>
      </c>
      <c r="C344" s="5">
        <f t="shared" ref="C344:C345" si="157">DATE(2012,12,31)-951</f>
        <v>40323</v>
      </c>
      <c r="D344" s="4" t="s">
        <v>30</v>
      </c>
      <c r="E344" s="4">
        <v>2</v>
      </c>
      <c r="F344" s="4">
        <v>51.21</v>
      </c>
      <c r="G344" s="4">
        <v>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spans="1:21" ht="12" customHeight="1">
      <c r="A345" s="4">
        <v>7043</v>
      </c>
      <c r="B345" s="4">
        <v>50278</v>
      </c>
      <c r="C345" s="5">
        <f t="shared" si="157"/>
        <v>40323</v>
      </c>
      <c r="D345" s="4" t="s">
        <v>30</v>
      </c>
      <c r="E345" s="4">
        <v>20</v>
      </c>
      <c r="F345" s="4">
        <v>2195.5500000000002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spans="1:21" ht="12" customHeight="1">
      <c r="A346" s="4">
        <v>7087</v>
      </c>
      <c r="B346" s="4">
        <v>50565</v>
      </c>
      <c r="C346" s="5">
        <f>DATE(2012,12,31)-123</f>
        <v>41151</v>
      </c>
      <c r="D346" s="4" t="s">
        <v>30</v>
      </c>
      <c r="E346" s="4">
        <v>43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spans="1:21" ht="12" customHeight="1">
      <c r="A347" s="4">
        <v>7103</v>
      </c>
      <c r="B347" s="4">
        <v>50688</v>
      </c>
      <c r="C347" s="5">
        <f>DATE(2012,12,31)-381</f>
        <v>40893</v>
      </c>
      <c r="D347" s="4" t="s">
        <v>78</v>
      </c>
      <c r="E347" s="4">
        <v>50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spans="1:21" ht="12" customHeight="1">
      <c r="A348" s="4">
        <v>7136</v>
      </c>
      <c r="B348" s="4">
        <v>50914</v>
      </c>
      <c r="C348" s="5">
        <f>DATE(2012,12,31)-181</f>
        <v>41093</v>
      </c>
      <c r="D348" s="4" t="s">
        <v>78</v>
      </c>
      <c r="E348" s="4">
        <v>49</v>
      </c>
      <c r="F348" s="4">
        <v>8551.5439999999999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0.57999999999999996</v>
      </c>
      <c r="U348" s="5">
        <f>C348+0</f>
        <v>41093</v>
      </c>
    </row>
    <row r="349" spans="1:21" ht="12" customHeight="1">
      <c r="A349" s="4">
        <v>7168</v>
      </c>
      <c r="B349" s="4">
        <v>51169</v>
      </c>
      <c r="C349" s="5">
        <f>DATE(2012,12,31)-738</f>
        <v>40536</v>
      </c>
      <c r="D349" s="4" t="s">
        <v>30</v>
      </c>
      <c r="E349" s="4">
        <v>2</v>
      </c>
      <c r="F349" s="4">
        <v>291.66000000000003</v>
      </c>
      <c r="G349" s="4">
        <v>0.08</v>
      </c>
      <c r="H349" s="4" t="s">
        <v>22</v>
      </c>
      <c r="I349" s="6">
        <v>-192.92</v>
      </c>
      <c r="J349" s="4">
        <v>136.97999999999999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spans="1:21" ht="12" customHeight="1">
      <c r="A350" s="4">
        <v>7277</v>
      </c>
      <c r="B350" s="4">
        <v>51938</v>
      </c>
      <c r="C350" s="5">
        <f>DATE(2012,12,31)-594</f>
        <v>40680</v>
      </c>
      <c r="D350" s="4" t="s">
        <v>21</v>
      </c>
      <c r="E350" s="4">
        <v>5</v>
      </c>
      <c r="F350" s="4">
        <v>503.32749999999999</v>
      </c>
      <c r="G350" s="4">
        <v>0.06</v>
      </c>
      <c r="H350" s="4" t="s">
        <v>22</v>
      </c>
      <c r="I350" s="6">
        <v>-488.31200000000001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spans="1:21" ht="12" customHeight="1">
      <c r="A351" s="4">
        <v>7285</v>
      </c>
      <c r="B351" s="4">
        <v>51970</v>
      </c>
      <c r="C351" s="5">
        <f>DATE(2012,12,31)-355</f>
        <v>40919</v>
      </c>
      <c r="D351" s="4" t="s">
        <v>45</v>
      </c>
      <c r="E351" s="4">
        <v>1</v>
      </c>
      <c r="F351" s="4">
        <v>171.71</v>
      </c>
      <c r="G351" s="4">
        <v>0.06</v>
      </c>
      <c r="H351" s="4" t="s">
        <v>31</v>
      </c>
      <c r="I351" s="6">
        <v>-343.46730000000002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8">C351+2</f>
        <v>40921</v>
      </c>
    </row>
    <row r="352" spans="1:21" ht="12" customHeight="1">
      <c r="A352" s="4">
        <v>7286</v>
      </c>
      <c r="B352" s="4">
        <v>51971</v>
      </c>
      <c r="C352" s="5">
        <f t="shared" ref="C352:C353" si="159">DATE(2012,12,31)-455</f>
        <v>40819</v>
      </c>
      <c r="D352" s="4" t="s">
        <v>45</v>
      </c>
      <c r="E352" s="4">
        <v>39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32.479999999999997</v>
      </c>
      <c r="K352" s="4">
        <v>35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8"/>
        <v>40821</v>
      </c>
    </row>
    <row r="353" spans="1:21" ht="12" customHeight="1">
      <c r="A353" s="4">
        <v>7287</v>
      </c>
      <c r="B353" s="4">
        <v>51971</v>
      </c>
      <c r="C353" s="5">
        <f t="shared" si="159"/>
        <v>40819</v>
      </c>
      <c r="D353" s="4" t="s">
        <v>45</v>
      </c>
      <c r="E353" s="4">
        <v>22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8"/>
        <v>40821</v>
      </c>
    </row>
    <row r="354" spans="1:21" ht="12" customHeight="1">
      <c r="A354" s="4">
        <v>7318</v>
      </c>
      <c r="B354" s="4">
        <v>52193</v>
      </c>
      <c r="C354" s="5">
        <f t="shared" ref="C354:C355" si="160">DATE(2012,12,31)-1032</f>
        <v>40242</v>
      </c>
      <c r="D354" s="4" t="s">
        <v>45</v>
      </c>
      <c r="E354" s="4">
        <v>1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8"/>
        <v>40244</v>
      </c>
    </row>
    <row r="355" spans="1:21" ht="12" customHeight="1">
      <c r="A355" s="4">
        <v>7319</v>
      </c>
      <c r="B355" s="4">
        <v>52193</v>
      </c>
      <c r="C355" s="5">
        <f t="shared" si="160"/>
        <v>40242</v>
      </c>
      <c r="D355" s="4" t="s">
        <v>45</v>
      </c>
      <c r="E355" s="4">
        <v>47</v>
      </c>
      <c r="F355" s="4">
        <v>137.18</v>
      </c>
      <c r="G355" s="4">
        <v>7.0000000000000007E-2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0.57999999999999996</v>
      </c>
      <c r="U355" s="5">
        <f t="shared" si="158"/>
        <v>40244</v>
      </c>
    </row>
    <row r="356" spans="1:21" ht="12" customHeight="1">
      <c r="A356" s="4">
        <v>7343</v>
      </c>
      <c r="B356" s="4">
        <v>52321</v>
      </c>
      <c r="C356" s="5">
        <f t="shared" ref="C356:C357" si="161">DATE(2012,12,31)-422</f>
        <v>40852</v>
      </c>
      <c r="D356" s="4" t="s">
        <v>30</v>
      </c>
      <c r="E356" s="4">
        <v>48</v>
      </c>
      <c r="F356" s="4">
        <v>617.26</v>
      </c>
      <c r="G356" s="4">
        <v>0.04</v>
      </c>
      <c r="H356" s="4" t="s">
        <v>22</v>
      </c>
      <c r="I356" s="6">
        <v>-37.520000000000003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0.56999999999999995</v>
      </c>
      <c r="U356" s="5">
        <f t="shared" si="158"/>
        <v>40854</v>
      </c>
    </row>
    <row r="357" spans="1:21" ht="12" customHeight="1">
      <c r="A357" s="4">
        <v>7344</v>
      </c>
      <c r="B357" s="4">
        <v>52321</v>
      </c>
      <c r="C357" s="5">
        <f t="shared" si="161"/>
        <v>40852</v>
      </c>
      <c r="D357" s="4" t="s">
        <v>30</v>
      </c>
      <c r="E357" s="4">
        <v>45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spans="1:21" ht="12" customHeight="1">
      <c r="A358" s="4">
        <v>7404</v>
      </c>
      <c r="B358" s="4">
        <v>52807</v>
      </c>
      <c r="C358" s="5">
        <f>DATE(2012,12,31)-767</f>
        <v>40507</v>
      </c>
      <c r="D358" s="4" t="s">
        <v>63</v>
      </c>
      <c r="E358" s="4">
        <v>28</v>
      </c>
      <c r="F358" s="4">
        <v>667.55</v>
      </c>
      <c r="G358" s="4">
        <v>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0.55000000000000004</v>
      </c>
      <c r="U358" s="5">
        <f>C358+2</f>
        <v>40509</v>
      </c>
    </row>
    <row r="359" spans="1:21" ht="12" customHeight="1">
      <c r="A359" s="4">
        <v>7419</v>
      </c>
      <c r="B359" s="4">
        <v>52929</v>
      </c>
      <c r="C359" s="5">
        <f t="shared" ref="C359:C362" si="162">DATE(2012,12,31)-633</f>
        <v>40641</v>
      </c>
      <c r="D359" s="4" t="s">
        <v>30</v>
      </c>
      <c r="E359" s="4">
        <v>43</v>
      </c>
      <c r="F359" s="4">
        <v>701.46</v>
      </c>
      <c r="G359" s="4">
        <v>0.04</v>
      </c>
      <c r="H359" s="4" t="s">
        <v>56</v>
      </c>
      <c r="I359" s="6">
        <v>-90.140699999999995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3">C359+1</f>
        <v>40642</v>
      </c>
    </row>
    <row r="360" spans="1:21" ht="12" customHeight="1">
      <c r="A360" s="4">
        <v>7420</v>
      </c>
      <c r="B360" s="4">
        <v>52929</v>
      </c>
      <c r="C360" s="5">
        <f t="shared" si="162"/>
        <v>40641</v>
      </c>
      <c r="D360" s="4" t="s">
        <v>30</v>
      </c>
      <c r="E360" s="4">
        <v>19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3"/>
        <v>40642</v>
      </c>
    </row>
    <row r="361" spans="1:21" ht="12" customHeight="1">
      <c r="A361" s="4">
        <v>7421</v>
      </c>
      <c r="B361" s="4">
        <v>52929</v>
      </c>
      <c r="C361" s="5">
        <f t="shared" si="162"/>
        <v>40641</v>
      </c>
      <c r="D361" s="4" t="s">
        <v>30</v>
      </c>
      <c r="E361" s="4">
        <v>7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3"/>
        <v>40642</v>
      </c>
    </row>
    <row r="362" spans="1:21" ht="12" customHeight="1">
      <c r="A362" s="4">
        <v>7422</v>
      </c>
      <c r="B362" s="4">
        <v>52929</v>
      </c>
      <c r="C362" s="5">
        <f t="shared" si="162"/>
        <v>40641</v>
      </c>
      <c r="D362" s="4" t="s">
        <v>30</v>
      </c>
      <c r="E362" s="4">
        <v>20</v>
      </c>
      <c r="F362" s="4">
        <v>77.989999999999995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3"/>
        <v>40642</v>
      </c>
    </row>
    <row r="363" spans="1:21" ht="12" customHeight="1">
      <c r="A363" s="4">
        <v>7430</v>
      </c>
      <c r="B363" s="4">
        <v>52964</v>
      </c>
      <c r="C363" s="5">
        <f>DATE(2012,12,31)-1006</f>
        <v>40268</v>
      </c>
      <c r="D363" s="4" t="s">
        <v>78</v>
      </c>
      <c r="E363" s="4">
        <v>44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136.97999999999999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3"/>
        <v>40269</v>
      </c>
    </row>
    <row r="364" spans="1:21" ht="12" customHeight="1">
      <c r="A364" s="4">
        <v>7453</v>
      </c>
      <c r="B364" s="4">
        <v>53156</v>
      </c>
      <c r="C364" s="5">
        <f>DATE(2012,12,31)-296</f>
        <v>40978</v>
      </c>
      <c r="D364" s="4" t="s">
        <v>45</v>
      </c>
      <c r="E364" s="4">
        <v>47</v>
      </c>
      <c r="F364" s="4">
        <v>186.93</v>
      </c>
      <c r="G364" s="4">
        <v>7.0000000000000007E-2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3"/>
        <v>40979</v>
      </c>
    </row>
    <row r="365" spans="1:21" ht="12" customHeight="1">
      <c r="A365" s="4">
        <v>7548</v>
      </c>
      <c r="B365" s="4">
        <v>53990</v>
      </c>
      <c r="C365" s="5">
        <f>DATE(2012,12,31)-60</f>
        <v>41214</v>
      </c>
      <c r="D365" s="4" t="s">
        <v>45</v>
      </c>
      <c r="E365" s="4">
        <v>44</v>
      </c>
      <c r="F365" s="4">
        <v>4263.9315000000006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0.56999999999999995</v>
      </c>
      <c r="U365" s="5">
        <f t="shared" si="163"/>
        <v>41215</v>
      </c>
    </row>
    <row r="366" spans="1:21" ht="12" customHeight="1">
      <c r="A366" s="4">
        <v>7559</v>
      </c>
      <c r="B366" s="4">
        <v>54083</v>
      </c>
      <c r="C366" s="5">
        <f>DATE(2012,12,31)-529</f>
        <v>40745</v>
      </c>
      <c r="D366" s="4" t="s">
        <v>30</v>
      </c>
      <c r="E366" s="4">
        <v>10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4">C366+2</f>
        <v>40747</v>
      </c>
    </row>
    <row r="367" spans="1:21" ht="12" customHeight="1">
      <c r="A367" s="4">
        <v>7584</v>
      </c>
      <c r="B367" s="4">
        <v>54274</v>
      </c>
      <c r="C367" s="5">
        <f>DATE(2012,12,31)-769</f>
        <v>40505</v>
      </c>
      <c r="D367" s="4" t="s">
        <v>45</v>
      </c>
      <c r="E367" s="4">
        <v>20</v>
      </c>
      <c r="F367" s="4">
        <v>1583.06</v>
      </c>
      <c r="G367" s="4">
        <v>0.05</v>
      </c>
      <c r="H367" s="4" t="s">
        <v>22</v>
      </c>
      <c r="I367" s="6">
        <v>328</v>
      </c>
      <c r="J367" s="4">
        <v>78.650000000000006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4"/>
        <v>40507</v>
      </c>
    </row>
    <row r="368" spans="1:21" ht="12" customHeight="1">
      <c r="A368" s="4">
        <v>7585</v>
      </c>
      <c r="B368" s="4">
        <v>54276</v>
      </c>
      <c r="C368" s="5">
        <f>DATE(2012,12,31)-1059</f>
        <v>40215</v>
      </c>
      <c r="D368" s="4" t="s">
        <v>45</v>
      </c>
      <c r="E368" s="4">
        <v>21</v>
      </c>
      <c r="F368" s="4">
        <v>756.6</v>
      </c>
      <c r="G368" s="4">
        <v>0</v>
      </c>
      <c r="H368" s="4" t="s">
        <v>22</v>
      </c>
      <c r="I368" s="6">
        <v>299.58999999999997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spans="1:21" ht="12" customHeight="1">
      <c r="A369" s="4">
        <v>7620</v>
      </c>
      <c r="B369" s="4">
        <v>54528</v>
      </c>
      <c r="C369" s="5">
        <f t="shared" ref="C369:C370" si="165">DATE(2012,12,31)-727</f>
        <v>40547</v>
      </c>
      <c r="D369" s="4" t="s">
        <v>63</v>
      </c>
      <c r="E369" s="4">
        <v>17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6">C369+2</f>
        <v>40549</v>
      </c>
    </row>
    <row r="370" spans="1:21" ht="12" customHeight="1">
      <c r="A370" s="4">
        <v>7621</v>
      </c>
      <c r="B370" s="4">
        <v>54528</v>
      </c>
      <c r="C370" s="5">
        <f t="shared" si="165"/>
        <v>40547</v>
      </c>
      <c r="D370" s="4" t="s">
        <v>63</v>
      </c>
      <c r="E370" s="4">
        <v>8</v>
      </c>
      <c r="F370" s="4">
        <v>88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6"/>
        <v>40549</v>
      </c>
    </row>
    <row r="371" spans="1:21" ht="12" customHeight="1">
      <c r="A371" s="4">
        <v>7633</v>
      </c>
      <c r="B371" s="4">
        <v>54628</v>
      </c>
      <c r="C371" s="5">
        <f>DATE(2012,12,31)-940</f>
        <v>40334</v>
      </c>
      <c r="D371" s="4" t="s">
        <v>30</v>
      </c>
      <c r="E371" s="4">
        <v>21</v>
      </c>
      <c r="F371" s="4">
        <v>471.24</v>
      </c>
      <c r="G371" s="4">
        <v>7.0000000000000007E-2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spans="1:21" ht="12" customHeight="1">
      <c r="A372" s="4">
        <v>7729</v>
      </c>
      <c r="B372" s="4">
        <v>55363</v>
      </c>
      <c r="C372" s="5">
        <f>DATE(2012,12,31)-734</f>
        <v>40540</v>
      </c>
      <c r="D372" s="4" t="s">
        <v>30</v>
      </c>
      <c r="E372" s="4">
        <v>14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spans="1:21" ht="12" customHeight="1">
      <c r="A373" s="4">
        <v>7730</v>
      </c>
      <c r="B373" s="4">
        <v>55366</v>
      </c>
      <c r="C373" s="5">
        <f>DATE(2012,12,31)-82</f>
        <v>41192</v>
      </c>
      <c r="D373" s="4" t="s">
        <v>78</v>
      </c>
      <c r="E373" s="4">
        <v>7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spans="1:21" ht="12" customHeight="1">
      <c r="A374" s="4">
        <v>7787</v>
      </c>
      <c r="B374" s="4">
        <v>55715</v>
      </c>
      <c r="C374" s="5">
        <f>DATE(2012,12,31)-639</f>
        <v>40635</v>
      </c>
      <c r="D374" s="4" t="s">
        <v>78</v>
      </c>
      <c r="E374" s="4">
        <v>28</v>
      </c>
      <c r="F374" s="4">
        <v>168.57</v>
      </c>
      <c r="G374" s="4">
        <v>0.02</v>
      </c>
      <c r="H374" s="4" t="s">
        <v>56</v>
      </c>
      <c r="I374" s="6">
        <v>16.651499999999999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spans="1:21" ht="12" customHeight="1">
      <c r="A375" s="4">
        <v>7894</v>
      </c>
      <c r="B375" s="4">
        <v>56453</v>
      </c>
      <c r="C375" s="5">
        <f>DATE(2012,12,31)-264</f>
        <v>41010</v>
      </c>
      <c r="D375" s="4" t="s">
        <v>78</v>
      </c>
      <c r="E375" s="4">
        <v>1</v>
      </c>
      <c r="F375" s="4">
        <v>2728.65</v>
      </c>
      <c r="G375" s="4">
        <v>0</v>
      </c>
      <c r="H375" s="4" t="s">
        <v>31</v>
      </c>
      <c r="I375" s="6">
        <v>-5572.3935000000001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0.56999999999999995</v>
      </c>
      <c r="U375" s="5">
        <f>C375+1</f>
        <v>41011</v>
      </c>
    </row>
    <row r="376" spans="1:21" ht="12" customHeight="1">
      <c r="A376" s="4">
        <v>7993</v>
      </c>
      <c r="B376" s="4">
        <v>57127</v>
      </c>
      <c r="C376" s="5">
        <f>DATE(2012,12,31)-1049</f>
        <v>40225</v>
      </c>
      <c r="D376" s="4" t="s">
        <v>21</v>
      </c>
      <c r="E376" s="4">
        <v>13</v>
      </c>
      <c r="F376" s="4">
        <v>735.54</v>
      </c>
      <c r="G376" s="4">
        <v>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7">C376+2</f>
        <v>40227</v>
      </c>
    </row>
    <row r="377" spans="1:21" ht="12" customHeight="1">
      <c r="A377" s="4">
        <v>8024</v>
      </c>
      <c r="B377" s="4">
        <v>57344</v>
      </c>
      <c r="C377" s="5">
        <f>DATE(2012,12,31)-829</f>
        <v>40445</v>
      </c>
      <c r="D377" s="4" t="s">
        <v>30</v>
      </c>
      <c r="E377" s="4">
        <v>47</v>
      </c>
      <c r="F377" s="4">
        <v>1060.0605</v>
      </c>
      <c r="G377" s="4">
        <v>0.1</v>
      </c>
      <c r="H377" s="4" t="s">
        <v>22</v>
      </c>
      <c r="I377" s="6">
        <v>-71.026999999999987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0.56000000000000005</v>
      </c>
      <c r="U377" s="5">
        <f t="shared" si="167"/>
        <v>40447</v>
      </c>
    </row>
    <row r="378" spans="1:21" ht="12" customHeight="1">
      <c r="A378" s="4">
        <v>8073</v>
      </c>
      <c r="B378" s="4">
        <v>57600</v>
      </c>
      <c r="C378" s="5">
        <f t="shared" ref="C378:C380" si="168">DATE(2012,12,31)-50</f>
        <v>41224</v>
      </c>
      <c r="D378" s="4" t="s">
        <v>78</v>
      </c>
      <c r="E378" s="4">
        <v>32</v>
      </c>
      <c r="F378" s="4">
        <v>1882.12</v>
      </c>
      <c r="G378" s="4">
        <v>0.05</v>
      </c>
      <c r="H378" s="4" t="s">
        <v>22</v>
      </c>
      <c r="I378" s="6">
        <v>584.14549999999997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7"/>
        <v>41226</v>
      </c>
    </row>
    <row r="379" spans="1:21" ht="12" customHeight="1">
      <c r="A379" s="4">
        <v>8074</v>
      </c>
      <c r="B379" s="4">
        <v>57600</v>
      </c>
      <c r="C379" s="5">
        <f t="shared" si="168"/>
        <v>41224</v>
      </c>
      <c r="D379" s="4" t="s">
        <v>78</v>
      </c>
      <c r="E379" s="4">
        <v>44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7"/>
        <v>41226</v>
      </c>
    </row>
    <row r="380" spans="1:21" ht="12" customHeight="1">
      <c r="A380" s="4">
        <v>8075</v>
      </c>
      <c r="B380" s="4">
        <v>57600</v>
      </c>
      <c r="C380" s="5">
        <f t="shared" si="168"/>
        <v>41224</v>
      </c>
      <c r="D380" s="4" t="s">
        <v>78</v>
      </c>
      <c r="E380" s="4">
        <v>12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17.079999999999998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7"/>
        <v>41226</v>
      </c>
    </row>
    <row r="381" spans="1:21" ht="12" customHeight="1">
      <c r="A381" s="4">
        <v>8124</v>
      </c>
      <c r="B381" s="4">
        <v>58055</v>
      </c>
      <c r="C381" s="5">
        <f>DATE(2012,12,31)-431</f>
        <v>40843</v>
      </c>
      <c r="D381" s="4" t="s">
        <v>78</v>
      </c>
      <c r="E381" s="4">
        <v>26</v>
      </c>
      <c r="F381" s="4">
        <v>208.6</v>
      </c>
      <c r="G381" s="4">
        <v>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0.56000000000000005</v>
      </c>
      <c r="U381" s="5">
        <f t="shared" si="167"/>
        <v>40845</v>
      </c>
    </row>
    <row r="382" spans="1:21" ht="12" customHeight="1">
      <c r="A382" s="4">
        <v>8136</v>
      </c>
      <c r="B382" s="4">
        <v>58150</v>
      </c>
      <c r="C382" s="5">
        <f>DATE(2012,12,31)-969</f>
        <v>40305</v>
      </c>
      <c r="D382" s="4" t="s">
        <v>78</v>
      </c>
      <c r="E382" s="4">
        <v>24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spans="1:21" ht="12" customHeight="1">
      <c r="A383" s="4">
        <v>8159</v>
      </c>
      <c r="B383" s="4">
        <v>58340</v>
      </c>
      <c r="C383" s="5">
        <f>DATE(2012,12,31)-723</f>
        <v>40551</v>
      </c>
      <c r="D383" s="4" t="s">
        <v>63</v>
      </c>
      <c r="E383" s="4">
        <v>36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0.57999999999999996</v>
      </c>
      <c r="U383" s="5">
        <f>C383+1</f>
        <v>40552</v>
      </c>
    </row>
    <row r="384" spans="1:21" ht="12" customHeight="1">
      <c r="A384" s="4">
        <v>8162</v>
      </c>
      <c r="B384" s="4">
        <v>58368</v>
      </c>
      <c r="C384" s="5">
        <f t="shared" ref="C384:C386" si="169">DATE(2012,12,31)-175</f>
        <v>41099</v>
      </c>
      <c r="D384" s="4" t="s">
        <v>30</v>
      </c>
      <c r="E384" s="4">
        <v>4</v>
      </c>
      <c r="F384" s="4">
        <v>14.23</v>
      </c>
      <c r="G384" s="4">
        <v>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spans="1:21" ht="12" customHeight="1">
      <c r="A385" s="4">
        <v>8163</v>
      </c>
      <c r="B385" s="4">
        <v>58368</v>
      </c>
      <c r="C385" s="5">
        <f t="shared" si="169"/>
        <v>41099</v>
      </c>
      <c r="D385" s="4" t="s">
        <v>30</v>
      </c>
      <c r="E385" s="4">
        <v>39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9.5399999999999991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spans="1:21" ht="12" customHeight="1">
      <c r="A386" s="4">
        <v>8164</v>
      </c>
      <c r="B386" s="4">
        <v>58368</v>
      </c>
      <c r="C386" s="5">
        <f t="shared" si="169"/>
        <v>41099</v>
      </c>
      <c r="D386" s="4" t="s">
        <v>30</v>
      </c>
      <c r="E386" s="4">
        <v>5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spans="1:21" ht="12" customHeight="1">
      <c r="A387" s="4">
        <v>8197</v>
      </c>
      <c r="B387" s="4">
        <v>58626</v>
      </c>
      <c r="C387" s="5">
        <f t="shared" ref="C387:C389" si="170">DATE(2012,12,31)-367</f>
        <v>40907</v>
      </c>
      <c r="D387" s="4" t="s">
        <v>30</v>
      </c>
      <c r="E387" s="4">
        <v>23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0.56000000000000005</v>
      </c>
      <c r="U387" s="5">
        <f>C387+2</f>
        <v>40909</v>
      </c>
    </row>
    <row r="388" spans="1:21" ht="12" customHeight="1">
      <c r="A388" s="4">
        <v>8198</v>
      </c>
      <c r="B388" s="4">
        <v>58626</v>
      </c>
      <c r="C388" s="5">
        <f t="shared" si="170"/>
        <v>40907</v>
      </c>
      <c r="D388" s="4" t="s">
        <v>30</v>
      </c>
      <c r="E388" s="4">
        <v>21</v>
      </c>
      <c r="F388" s="4">
        <v>10469.030000000001</v>
      </c>
      <c r="G388" s="4">
        <v>7.0000000000000007E-2</v>
      </c>
      <c r="H388" s="4" t="s">
        <v>31</v>
      </c>
      <c r="I388" s="6">
        <v>2608.7199999999998</v>
      </c>
      <c r="J388" s="4">
        <v>500.98</v>
      </c>
      <c r="K388" s="4">
        <v>26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spans="1:21" ht="12" customHeight="1">
      <c r="A389" s="4">
        <v>8199</v>
      </c>
      <c r="B389" s="4">
        <v>58626</v>
      </c>
      <c r="C389" s="5">
        <f t="shared" si="170"/>
        <v>40907</v>
      </c>
      <c r="D389" s="4" t="s">
        <v>30</v>
      </c>
      <c r="E389" s="4">
        <v>18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0.55000000000000004</v>
      </c>
      <c r="U389" s="5">
        <f>C389+1</f>
        <v>40908</v>
      </c>
    </row>
    <row r="390" spans="1:21" ht="12" customHeight="1">
      <c r="A390" s="4">
        <v>8256</v>
      </c>
      <c r="B390" s="4">
        <v>59045</v>
      </c>
      <c r="C390" s="5">
        <f>DATE(2012,12,31)-687</f>
        <v>40587</v>
      </c>
      <c r="D390" s="4" t="s">
        <v>78</v>
      </c>
      <c r="E390" s="4">
        <v>30</v>
      </c>
      <c r="F390" s="4">
        <v>140.24</v>
      </c>
      <c r="G390" s="4">
        <v>0.05</v>
      </c>
      <c r="H390" s="4" t="s">
        <v>22</v>
      </c>
      <c r="I390" s="6">
        <v>32.869500000000002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spans="1:21" ht="12" customHeight="1">
      <c r="A391" s="4">
        <v>8257</v>
      </c>
      <c r="B391" s="4">
        <v>59047</v>
      </c>
      <c r="C391" s="5">
        <f t="shared" ref="C391:C392" si="171">DATE(2012,12,31)-703</f>
        <v>40571</v>
      </c>
      <c r="D391" s="4" t="s">
        <v>45</v>
      </c>
      <c r="E391" s="4">
        <v>10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spans="1:21" ht="12" customHeight="1">
      <c r="A392" s="4">
        <v>8258</v>
      </c>
      <c r="B392" s="4">
        <v>59047</v>
      </c>
      <c r="C392" s="5">
        <f t="shared" si="171"/>
        <v>40571</v>
      </c>
      <c r="D392" s="4" t="s">
        <v>45</v>
      </c>
      <c r="E392" s="4">
        <v>26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4.1399999999999997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spans="1:21" ht="12" customHeight="1">
      <c r="A393" s="4">
        <v>8282</v>
      </c>
      <c r="B393" s="4">
        <v>59202</v>
      </c>
      <c r="C393" s="5">
        <f t="shared" ref="C393:C394" si="172">DATE(2012,12,31)-114</f>
        <v>41160</v>
      </c>
      <c r="D393" s="4" t="s">
        <v>63</v>
      </c>
      <c r="E393" s="4">
        <v>7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spans="1:21" ht="12" customHeight="1">
      <c r="A394" s="4">
        <v>8283</v>
      </c>
      <c r="B394" s="4">
        <v>59202</v>
      </c>
      <c r="C394" s="5">
        <f t="shared" si="172"/>
        <v>41160</v>
      </c>
      <c r="D394" s="4" t="s">
        <v>63</v>
      </c>
      <c r="E394" s="4">
        <v>36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0.56000000000000005</v>
      </c>
      <c r="U394" s="5">
        <f>C394+1</f>
        <v>41161</v>
      </c>
    </row>
    <row r="395" spans="1:21" ht="12" customHeight="1">
      <c r="A395" s="4">
        <v>8294</v>
      </c>
      <c r="B395" s="4">
        <v>59234</v>
      </c>
      <c r="C395" s="5">
        <f t="shared" ref="C395:C396" si="173">DATE(2012,12,31)-155</f>
        <v>41119</v>
      </c>
      <c r="D395" s="4" t="s">
        <v>21</v>
      </c>
      <c r="E395" s="4">
        <v>32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0.56000000000000005</v>
      </c>
      <c r="U395" s="5">
        <f>C395+4</f>
        <v>41123</v>
      </c>
    </row>
    <row r="396" spans="1:21" ht="12" customHeight="1">
      <c r="A396" s="4">
        <v>8295</v>
      </c>
      <c r="B396" s="4">
        <v>59234</v>
      </c>
      <c r="C396" s="5">
        <f t="shared" si="173"/>
        <v>41119</v>
      </c>
      <c r="D396" s="4" t="s">
        <v>21</v>
      </c>
      <c r="E396" s="4">
        <v>16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0.56000000000000005</v>
      </c>
      <c r="U396" s="5">
        <f>C396+5</f>
        <v>41124</v>
      </c>
    </row>
    <row r="397" spans="1:21" ht="12" customHeight="1">
      <c r="A397" s="4">
        <v>8314</v>
      </c>
      <c r="B397" s="4">
        <v>59395</v>
      </c>
      <c r="C397" s="5">
        <f>DATE(2012,12,31)-253</f>
        <v>41021</v>
      </c>
      <c r="D397" s="4" t="s">
        <v>78</v>
      </c>
      <c r="E397" s="4">
        <v>20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spans="1:21" ht="12" customHeight="1">
      <c r="A398" s="4">
        <v>8333</v>
      </c>
      <c r="B398" s="4">
        <v>59558</v>
      </c>
      <c r="C398" s="5">
        <f>DATE(2012,12,31)-168</f>
        <v>41106</v>
      </c>
      <c r="D398" s="4" t="s">
        <v>45</v>
      </c>
      <c r="E398" s="4">
        <v>34</v>
      </c>
      <c r="F398" s="4">
        <v>94.56</v>
      </c>
      <c r="G398" s="4">
        <v>0</v>
      </c>
      <c r="H398" s="4" t="s">
        <v>22</v>
      </c>
      <c r="I398" s="6">
        <v>37.729999999999997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spans="1:21" ht="12" customHeight="1">
      <c r="A399" s="4">
        <v>8337</v>
      </c>
      <c r="B399" s="4">
        <v>59585</v>
      </c>
      <c r="C399" s="5">
        <f>DATE(2012,12,31)-100</f>
        <v>41174</v>
      </c>
      <c r="D399" s="4" t="s">
        <v>30</v>
      </c>
      <c r="E399" s="4">
        <v>45</v>
      </c>
      <c r="F399" s="4">
        <v>712.04</v>
      </c>
      <c r="G399" s="4">
        <v>7.0000000000000007E-2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spans="1:21" ht="12" customHeight="1">
      <c r="A400" s="4">
        <v>8344</v>
      </c>
      <c r="B400" s="4">
        <v>59651</v>
      </c>
      <c r="C400" s="5">
        <f t="shared" ref="C400:C401" si="174">DATE(2012,12,31)-956</f>
        <v>40318</v>
      </c>
      <c r="D400" s="4" t="s">
        <v>78</v>
      </c>
      <c r="E400" s="4">
        <v>36</v>
      </c>
      <c r="F400" s="4">
        <v>283.20999999999998</v>
      </c>
      <c r="G400" s="4">
        <v>0.08</v>
      </c>
      <c r="H400" s="4" t="s">
        <v>22</v>
      </c>
      <c r="I400" s="6">
        <v>-196.0635</v>
      </c>
      <c r="J400" s="4">
        <v>8.0399999999999991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5">C400+2</f>
        <v>40320</v>
      </c>
    </row>
    <row r="401" spans="1:21" ht="12" customHeight="1">
      <c r="A401" s="4">
        <v>8345</v>
      </c>
      <c r="B401" s="4">
        <v>59651</v>
      </c>
      <c r="C401" s="5">
        <f t="shared" si="174"/>
        <v>40318</v>
      </c>
      <c r="D401" s="4" t="s">
        <v>78</v>
      </c>
      <c r="E401" s="4">
        <v>18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5"/>
        <v>40320</v>
      </c>
    </row>
    <row r="402" spans="1:21" ht="12" customHeight="1">
      <c r="A402" s="4">
        <v>115</v>
      </c>
      <c r="B402" s="4">
        <v>769</v>
      </c>
      <c r="C402" s="5">
        <f>DATE(2012,12,31)-944</f>
        <v>40330</v>
      </c>
      <c r="D402" s="4" t="s">
        <v>63</v>
      </c>
      <c r="E402" s="4">
        <v>37</v>
      </c>
      <c r="F402" s="4">
        <v>4261.9399999999996</v>
      </c>
      <c r="G402" s="4">
        <v>0.02</v>
      </c>
      <c r="H402" s="4" t="s">
        <v>31</v>
      </c>
      <c r="I402" s="6">
        <v>4.1500000000000057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6">C402+1</f>
        <v>40331</v>
      </c>
    </row>
    <row r="403" spans="1:21" ht="12" customHeight="1">
      <c r="A403" s="4">
        <v>119</v>
      </c>
      <c r="B403" s="4">
        <v>773</v>
      </c>
      <c r="C403" s="5">
        <f>DATE(2012,12,31)-828</f>
        <v>40446</v>
      </c>
      <c r="D403" s="4" t="s">
        <v>63</v>
      </c>
      <c r="E403" s="4">
        <v>38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65.989999999999995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0.56000000000000005</v>
      </c>
      <c r="U403" s="5">
        <f t="shared" si="176"/>
        <v>40447</v>
      </c>
    </row>
    <row r="404" spans="1:21" ht="12" customHeight="1">
      <c r="A404" s="4">
        <v>180</v>
      </c>
      <c r="B404" s="4">
        <v>1187</v>
      </c>
      <c r="C404" s="5">
        <f>DATE(2012,12,31)-42</f>
        <v>41232</v>
      </c>
      <c r="D404" s="4" t="s">
        <v>63</v>
      </c>
      <c r="E404" s="4">
        <v>14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6"/>
        <v>41233</v>
      </c>
    </row>
    <row r="405" spans="1:21" ht="12" customHeight="1">
      <c r="A405" s="4">
        <v>342</v>
      </c>
      <c r="B405" s="4">
        <v>2339</v>
      </c>
      <c r="C405" s="5">
        <f>DATE(2012,12,31)-748</f>
        <v>40526</v>
      </c>
      <c r="D405" s="4" t="s">
        <v>21</v>
      </c>
      <c r="E405" s="4">
        <v>12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19.989999999999998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7">C405+2</f>
        <v>40528</v>
      </c>
    </row>
    <row r="406" spans="1:21" ht="12" customHeight="1">
      <c r="A406" s="4">
        <v>510</v>
      </c>
      <c r="B406" s="4">
        <v>3521</v>
      </c>
      <c r="C406" s="5">
        <f>DATE(2012,12,31)-67</f>
        <v>41207</v>
      </c>
      <c r="D406" s="4" t="s">
        <v>21</v>
      </c>
      <c r="E406" s="4">
        <v>50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0.56000000000000005</v>
      </c>
      <c r="U406" s="5">
        <f t="shared" si="177"/>
        <v>41209</v>
      </c>
    </row>
    <row r="407" spans="1:21" ht="12" customHeight="1">
      <c r="A407" s="4">
        <v>587</v>
      </c>
      <c r="B407" s="4">
        <v>4007</v>
      </c>
      <c r="C407" s="5">
        <f t="shared" ref="C407:C408" si="178">DATE(2012,12,31)-928</f>
        <v>40346</v>
      </c>
      <c r="D407" s="4" t="s">
        <v>30</v>
      </c>
      <c r="E407" s="4">
        <v>18</v>
      </c>
      <c r="F407" s="4">
        <v>1038.4000000000001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0.56000000000000005</v>
      </c>
      <c r="U407" s="5">
        <f t="shared" ref="U407:U408" si="179">C407+1</f>
        <v>40347</v>
      </c>
    </row>
    <row r="408" spans="1:21" ht="12" customHeight="1">
      <c r="A408" s="4">
        <v>588</v>
      </c>
      <c r="B408" s="4">
        <v>4007</v>
      </c>
      <c r="C408" s="5">
        <f t="shared" si="178"/>
        <v>40346</v>
      </c>
      <c r="D408" s="4" t="s">
        <v>30</v>
      </c>
      <c r="E408" s="4">
        <v>1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79"/>
        <v>40347</v>
      </c>
    </row>
    <row r="409" spans="1:21" ht="12" customHeight="1">
      <c r="A409" s="4">
        <v>632</v>
      </c>
      <c r="B409" s="4">
        <v>4416</v>
      </c>
      <c r="C409" s="5">
        <f>DATE(2012,12,31)-185</f>
        <v>41089</v>
      </c>
      <c r="D409" s="4" t="s">
        <v>21</v>
      </c>
      <c r="E409" s="4">
        <v>46</v>
      </c>
      <c r="F409" s="4">
        <v>7441.29</v>
      </c>
      <c r="G409" s="4">
        <v>0.1</v>
      </c>
      <c r="H409" s="4" t="s">
        <v>22</v>
      </c>
      <c r="I409" s="6">
        <v>2665.3960000000002</v>
      </c>
      <c r="J409" s="4">
        <v>165.98</v>
      </c>
      <c r="K409" s="4">
        <v>19.989999999999998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spans="1:21" ht="12" customHeight="1">
      <c r="A410" s="4">
        <v>719</v>
      </c>
      <c r="B410" s="4">
        <v>5153</v>
      </c>
      <c r="C410" s="5">
        <f>DATE(2012,12,31)-494</f>
        <v>40780</v>
      </c>
      <c r="D410" s="4" t="s">
        <v>78</v>
      </c>
      <c r="E410" s="4">
        <v>37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spans="1:21" ht="12" customHeight="1">
      <c r="A411" s="4">
        <v>1106</v>
      </c>
      <c r="B411" s="4">
        <v>8131</v>
      </c>
      <c r="C411" s="5">
        <f>DATE(2012,12,31)-973</f>
        <v>40301</v>
      </c>
      <c r="D411" s="4" t="s">
        <v>78</v>
      </c>
      <c r="E411" s="4">
        <v>24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spans="1:21" ht="12" customHeight="1">
      <c r="A412" s="4">
        <v>1241</v>
      </c>
      <c r="B412" s="4">
        <v>9027</v>
      </c>
      <c r="C412" s="5">
        <f>DATE(2012,12,31)-486</f>
        <v>40788</v>
      </c>
      <c r="D412" s="4" t="s">
        <v>21</v>
      </c>
      <c r="E412" s="4">
        <v>30</v>
      </c>
      <c r="F412" s="4">
        <v>932.89199999999994</v>
      </c>
      <c r="G412" s="4">
        <v>0.05</v>
      </c>
      <c r="H412" s="4" t="s">
        <v>22</v>
      </c>
      <c r="I412" s="6">
        <v>458.98200000000003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spans="1:21" ht="12" customHeight="1">
      <c r="A413" s="4">
        <v>1264</v>
      </c>
      <c r="B413" s="4">
        <v>9216</v>
      </c>
      <c r="C413" s="5">
        <f>DATE(2012,12,31)-627</f>
        <v>40647</v>
      </c>
      <c r="D413" s="4" t="s">
        <v>63</v>
      </c>
      <c r="E413" s="4">
        <v>36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0.56999999999999995</v>
      </c>
      <c r="U413" s="5">
        <f t="shared" ref="U413:U415" si="180">C413+2</f>
        <v>40649</v>
      </c>
    </row>
    <row r="414" spans="1:21" ht="12" customHeight="1">
      <c r="A414" s="4">
        <v>1302</v>
      </c>
      <c r="B414" s="4">
        <v>9537</v>
      </c>
      <c r="C414" s="5">
        <f t="shared" ref="C414:C415" si="181">DATE(2012,12,31)-687</f>
        <v>40587</v>
      </c>
      <c r="D414" s="4" t="s">
        <v>45</v>
      </c>
      <c r="E414" s="4">
        <v>6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150.97999999999999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0"/>
        <v>40589</v>
      </c>
    </row>
    <row r="415" spans="1:21" ht="12" customHeight="1">
      <c r="A415" s="4">
        <v>1303</v>
      </c>
      <c r="B415" s="4">
        <v>9537</v>
      </c>
      <c r="C415" s="5">
        <f t="shared" si="181"/>
        <v>40587</v>
      </c>
      <c r="D415" s="4" t="s">
        <v>45</v>
      </c>
      <c r="E415" s="4">
        <v>43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0"/>
        <v>40589</v>
      </c>
    </row>
    <row r="416" spans="1:21" ht="12" customHeight="1">
      <c r="A416" s="4">
        <v>1307</v>
      </c>
      <c r="B416" s="4">
        <v>9574</v>
      </c>
      <c r="C416" s="5">
        <f>DATE(2012,12,31)-520</f>
        <v>40754</v>
      </c>
      <c r="D416" s="4" t="s">
        <v>63</v>
      </c>
      <c r="E416" s="4">
        <v>40</v>
      </c>
      <c r="F416" s="4">
        <v>434.62</v>
      </c>
      <c r="G416" s="4">
        <v>0.08</v>
      </c>
      <c r="H416" s="4" t="s">
        <v>22</v>
      </c>
      <c r="I416" s="6">
        <v>-68.977000000000004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spans="1:21" ht="12" customHeight="1">
      <c r="A417" s="4">
        <v>1442</v>
      </c>
      <c r="B417" s="4">
        <v>10435</v>
      </c>
      <c r="C417" s="5">
        <f t="shared" ref="C417:C418" si="182">DATE(2012,12,31)-874</f>
        <v>40400</v>
      </c>
      <c r="D417" s="4" t="s">
        <v>63</v>
      </c>
      <c r="E417" s="4">
        <v>38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0.56999999999999995</v>
      </c>
      <c r="U417" s="5">
        <f>C417+2</f>
        <v>40402</v>
      </c>
    </row>
    <row r="418" spans="1:21" ht="12" customHeight="1">
      <c r="A418" s="4">
        <v>1443</v>
      </c>
      <c r="B418" s="4">
        <v>10435</v>
      </c>
      <c r="C418" s="5">
        <f t="shared" si="182"/>
        <v>40400</v>
      </c>
      <c r="D418" s="4" t="s">
        <v>63</v>
      </c>
      <c r="E418" s="4">
        <v>46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0.57999999999999996</v>
      </c>
      <c r="U418" s="5">
        <f>C418+1</f>
        <v>40401</v>
      </c>
    </row>
    <row r="419" spans="1:21" ht="12" customHeight="1">
      <c r="A419" s="4">
        <v>1503</v>
      </c>
      <c r="B419" s="4">
        <v>10852</v>
      </c>
      <c r="C419" s="5">
        <f t="shared" ref="C419:C420" si="183">DATE(2012,12,31)-797</f>
        <v>40477</v>
      </c>
      <c r="D419" s="4" t="s">
        <v>30</v>
      </c>
      <c r="E419" s="4">
        <v>17</v>
      </c>
      <c r="F419" s="4">
        <v>285.83999999999997</v>
      </c>
      <c r="G419" s="4">
        <v>0.02</v>
      </c>
      <c r="H419" s="4" t="s">
        <v>22</v>
      </c>
      <c r="I419" s="6">
        <v>-27.254999999999999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spans="1:21" ht="12" customHeight="1">
      <c r="A420" s="4">
        <v>1504</v>
      </c>
      <c r="B420" s="4">
        <v>10852</v>
      </c>
      <c r="C420" s="5">
        <f t="shared" si="183"/>
        <v>40477</v>
      </c>
      <c r="D420" s="4" t="s">
        <v>30</v>
      </c>
      <c r="E420" s="4">
        <v>40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0.55000000000000004</v>
      </c>
      <c r="U420" s="5">
        <f>C420+1</f>
        <v>40478</v>
      </c>
    </row>
    <row r="421" spans="1:21" ht="12" customHeight="1">
      <c r="A421" s="4">
        <v>1560</v>
      </c>
      <c r="B421" s="4">
        <v>11269</v>
      </c>
      <c r="C421" s="5">
        <f t="shared" ref="C421:C423" si="184">DATE(2012,12,31)-219</f>
        <v>41055</v>
      </c>
      <c r="D421" s="4" t="s">
        <v>21</v>
      </c>
      <c r="E421" s="4">
        <v>39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65.989999999999995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0.57999999999999996</v>
      </c>
      <c r="U421" s="5">
        <f>C421+4</f>
        <v>41059</v>
      </c>
    </row>
    <row r="422" spans="1:21" ht="12" customHeight="1">
      <c r="A422" s="4">
        <v>1561</v>
      </c>
      <c r="B422" s="4">
        <v>11269</v>
      </c>
      <c r="C422" s="5">
        <f t="shared" si="184"/>
        <v>41055</v>
      </c>
      <c r="D422" s="4" t="s">
        <v>21</v>
      </c>
      <c r="E422" s="4">
        <v>49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5">C422+7</f>
        <v>41062</v>
      </c>
    </row>
    <row r="423" spans="1:21" ht="12" customHeight="1">
      <c r="A423" s="4">
        <v>1562</v>
      </c>
      <c r="B423" s="4">
        <v>11269</v>
      </c>
      <c r="C423" s="5">
        <f t="shared" si="184"/>
        <v>41055</v>
      </c>
      <c r="D423" s="4" t="s">
        <v>21</v>
      </c>
      <c r="E423" s="4">
        <v>1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19.989999999999998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5"/>
        <v>41062</v>
      </c>
    </row>
    <row r="424" spans="1:21" ht="12" customHeight="1">
      <c r="A424" s="4">
        <v>1571</v>
      </c>
      <c r="B424" s="4">
        <v>11362</v>
      </c>
      <c r="C424" s="5">
        <f t="shared" ref="C424:C427" si="186">DATE(2012,12,31)-112</f>
        <v>41162</v>
      </c>
      <c r="D424" s="4" t="s">
        <v>21</v>
      </c>
      <c r="E424" s="4">
        <v>32</v>
      </c>
      <c r="F424" s="4">
        <v>3245.73</v>
      </c>
      <c r="G424" s="4">
        <v>0.09</v>
      </c>
      <c r="H424" s="4" t="s">
        <v>22</v>
      </c>
      <c r="I424" s="6">
        <v>569.57000000000005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7">C424+2</f>
        <v>41164</v>
      </c>
    </row>
    <row r="425" spans="1:21" ht="12" customHeight="1">
      <c r="A425" s="4">
        <v>1572</v>
      </c>
      <c r="B425" s="4">
        <v>11362</v>
      </c>
      <c r="C425" s="5">
        <f t="shared" si="186"/>
        <v>41162</v>
      </c>
      <c r="D425" s="4" t="s">
        <v>21</v>
      </c>
      <c r="E425" s="4">
        <v>27</v>
      </c>
      <c r="F425" s="4">
        <v>63.02</v>
      </c>
      <c r="G425" s="4">
        <v>7.0000000000000007E-2</v>
      </c>
      <c r="H425" s="4" t="s">
        <v>22</v>
      </c>
      <c r="I425" s="6">
        <v>-119.66</v>
      </c>
      <c r="J425" s="4">
        <v>2.1800000000000002</v>
      </c>
      <c r="K425" s="4">
        <v>5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7"/>
        <v>41164</v>
      </c>
    </row>
    <row r="426" spans="1:21" ht="12" customHeight="1">
      <c r="A426" s="4">
        <v>1573</v>
      </c>
      <c r="B426" s="4">
        <v>11362</v>
      </c>
      <c r="C426" s="5">
        <f t="shared" si="186"/>
        <v>41162</v>
      </c>
      <c r="D426" s="4" t="s">
        <v>21</v>
      </c>
      <c r="E426" s="4">
        <v>9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spans="1:21" ht="12" customHeight="1">
      <c r="A427" s="4">
        <v>1574</v>
      </c>
      <c r="B427" s="4">
        <v>11362</v>
      </c>
      <c r="C427" s="5">
        <f t="shared" si="186"/>
        <v>41162</v>
      </c>
      <c r="D427" s="4" t="s">
        <v>21</v>
      </c>
      <c r="E427" s="4">
        <v>25</v>
      </c>
      <c r="F427" s="4">
        <v>2407.6929999999998</v>
      </c>
      <c r="G427" s="4">
        <v>0.04</v>
      </c>
      <c r="H427" s="4" t="s">
        <v>22</v>
      </c>
      <c r="I427" s="6">
        <v>424.14299999999997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0.56999999999999995</v>
      </c>
      <c r="U427" s="5">
        <f>C427+4</f>
        <v>41166</v>
      </c>
    </row>
    <row r="428" spans="1:21" ht="12" customHeight="1">
      <c r="A428" s="4">
        <v>1659</v>
      </c>
      <c r="B428" s="4">
        <v>11968</v>
      </c>
      <c r="C428" s="5">
        <f>DATE(2012,12,31)-656</f>
        <v>40618</v>
      </c>
      <c r="D428" s="4" t="s">
        <v>21</v>
      </c>
      <c r="E428" s="4">
        <v>31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spans="1:21" ht="12" customHeight="1">
      <c r="A429" s="4">
        <v>1712</v>
      </c>
      <c r="B429" s="4">
        <v>12293</v>
      </c>
      <c r="C429" s="5">
        <f>DATE(2012,12,31)-562</f>
        <v>40712</v>
      </c>
      <c r="D429" s="4" t="s">
        <v>30</v>
      </c>
      <c r="E429" s="4">
        <v>31</v>
      </c>
      <c r="F429" s="4">
        <v>283.17</v>
      </c>
      <c r="G429" s="4">
        <v>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spans="1:21" ht="12" customHeight="1">
      <c r="A430" s="4">
        <v>1783</v>
      </c>
      <c r="B430" s="4">
        <v>12773</v>
      </c>
      <c r="C430" s="5">
        <f t="shared" ref="C430:C433" si="188">DATE(2012,12,31)-720</f>
        <v>40554</v>
      </c>
      <c r="D430" s="4" t="s">
        <v>21</v>
      </c>
      <c r="E430" s="4">
        <v>6</v>
      </c>
      <c r="F430" s="4">
        <v>17</v>
      </c>
      <c r="G430" s="4">
        <v>7.0000000000000007E-2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spans="1:21" ht="12" customHeight="1">
      <c r="A431" s="4">
        <v>1784</v>
      </c>
      <c r="B431" s="4">
        <v>12773</v>
      </c>
      <c r="C431" s="5">
        <f t="shared" si="188"/>
        <v>40554</v>
      </c>
      <c r="D431" s="4" t="s">
        <v>21</v>
      </c>
      <c r="E431" s="4">
        <v>15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4.1399999999999997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spans="1:21" ht="12" customHeight="1">
      <c r="A432" s="4">
        <v>1785</v>
      </c>
      <c r="B432" s="4">
        <v>12773</v>
      </c>
      <c r="C432" s="5">
        <f t="shared" si="188"/>
        <v>40554</v>
      </c>
      <c r="D432" s="4" t="s">
        <v>21</v>
      </c>
      <c r="E432" s="4">
        <v>19</v>
      </c>
      <c r="F432" s="4">
        <v>130.66999999999999</v>
      </c>
      <c r="G432" s="4">
        <v>0.05</v>
      </c>
      <c r="H432" s="4" t="s">
        <v>22</v>
      </c>
      <c r="I432" s="6">
        <v>-77.180000000000007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89">C432+5</f>
        <v>40559</v>
      </c>
    </row>
    <row r="433" spans="1:21" ht="12" customHeight="1">
      <c r="A433" s="4">
        <v>1786</v>
      </c>
      <c r="B433" s="4">
        <v>12773</v>
      </c>
      <c r="C433" s="5">
        <f t="shared" si="188"/>
        <v>40554</v>
      </c>
      <c r="D433" s="4" t="s">
        <v>21</v>
      </c>
      <c r="E433" s="4">
        <v>21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0.56000000000000005</v>
      </c>
      <c r="U433" s="5">
        <f t="shared" si="189"/>
        <v>40559</v>
      </c>
    </row>
    <row r="434" spans="1:21" ht="12" customHeight="1">
      <c r="A434" s="4">
        <v>2104</v>
      </c>
      <c r="B434" s="4">
        <v>15044</v>
      </c>
      <c r="C434" s="5">
        <f>DATE(2012,12,31)-300</f>
        <v>40974</v>
      </c>
      <c r="D434" s="4" t="s">
        <v>21</v>
      </c>
      <c r="E434" s="4">
        <v>42</v>
      </c>
      <c r="F434" s="4">
        <v>1681.6</v>
      </c>
      <c r="G434" s="4">
        <v>7.0000000000000007E-2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0.55000000000000004</v>
      </c>
      <c r="U434" s="5">
        <f>C434+4</f>
        <v>40978</v>
      </c>
    </row>
    <row r="435" spans="1:21" ht="12" customHeight="1">
      <c r="A435" s="4">
        <v>2158</v>
      </c>
      <c r="B435" s="4">
        <v>15463</v>
      </c>
      <c r="C435" s="5">
        <f>DATE(2012,12,31)-891</f>
        <v>40383</v>
      </c>
      <c r="D435" s="4" t="s">
        <v>21</v>
      </c>
      <c r="E435" s="4">
        <v>48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spans="1:21" ht="12" customHeight="1">
      <c r="A436" s="4">
        <v>2164</v>
      </c>
      <c r="B436" s="4">
        <v>15618</v>
      </c>
      <c r="C436" s="5">
        <f t="shared" ref="C436:C438" si="190">DATE(2012,12,31)-880</f>
        <v>40394</v>
      </c>
      <c r="D436" s="4" t="s">
        <v>63</v>
      </c>
      <c r="E436" s="4">
        <v>9</v>
      </c>
      <c r="F436" s="4">
        <v>50.93</v>
      </c>
      <c r="G436" s="4">
        <v>0.06</v>
      </c>
      <c r="H436" s="4" t="s">
        <v>22</v>
      </c>
      <c r="I436" s="6">
        <v>-34.979999999999997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spans="1:21" ht="12" customHeight="1">
      <c r="A437" s="4">
        <v>2165</v>
      </c>
      <c r="B437" s="4">
        <v>15618</v>
      </c>
      <c r="C437" s="5">
        <f t="shared" si="190"/>
        <v>40394</v>
      </c>
      <c r="D437" s="4" t="s">
        <v>63</v>
      </c>
      <c r="E437" s="4">
        <v>44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9.5399999999999991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1">C437+2</f>
        <v>40396</v>
      </c>
    </row>
    <row r="438" spans="1:21" ht="12" customHeight="1">
      <c r="A438" s="4">
        <v>2166</v>
      </c>
      <c r="B438" s="4">
        <v>15618</v>
      </c>
      <c r="C438" s="5">
        <f t="shared" si="190"/>
        <v>40394</v>
      </c>
      <c r="D438" s="4" t="s">
        <v>63</v>
      </c>
      <c r="E438" s="4">
        <v>14</v>
      </c>
      <c r="F438" s="4">
        <v>782.45049999999992</v>
      </c>
      <c r="G438" s="4">
        <v>0.06</v>
      </c>
      <c r="H438" s="4" t="s">
        <v>22</v>
      </c>
      <c r="I438" s="6">
        <v>-11.395999999999999</v>
      </c>
      <c r="J438" s="4">
        <v>65.989999999999995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1"/>
        <v>40396</v>
      </c>
    </row>
    <row r="439" spans="1:21" ht="12" customHeight="1">
      <c r="A439" s="4">
        <v>2227</v>
      </c>
      <c r="B439" s="4">
        <v>16100</v>
      </c>
      <c r="C439" s="5">
        <f>DATE(2012,12,31)-665</f>
        <v>40609</v>
      </c>
      <c r="D439" s="4" t="s">
        <v>63</v>
      </c>
      <c r="E439" s="4">
        <v>44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spans="1:21" ht="12" customHeight="1">
      <c r="A440" s="4">
        <v>2269</v>
      </c>
      <c r="B440" s="4">
        <v>16320</v>
      </c>
      <c r="C440" s="5">
        <f>DATE(2012,12,31)-438</f>
        <v>40836</v>
      </c>
      <c r="D440" s="4" t="s">
        <v>45</v>
      </c>
      <c r="E440" s="4">
        <v>17</v>
      </c>
      <c r="F440" s="4">
        <v>1856.9694999999999</v>
      </c>
      <c r="G440" s="4">
        <v>0</v>
      </c>
      <c r="H440" s="4" t="s">
        <v>22</v>
      </c>
      <c r="I440" s="6">
        <v>176.86799999999999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0.56999999999999995</v>
      </c>
      <c r="U440" s="5">
        <f t="shared" ref="U440:U441" si="192">C440+2</f>
        <v>40838</v>
      </c>
    </row>
    <row r="441" spans="1:21" ht="12" customHeight="1">
      <c r="A441" s="4">
        <v>2362</v>
      </c>
      <c r="B441" s="4">
        <v>17090</v>
      </c>
      <c r="C441" s="5">
        <f t="shared" ref="C441:C442" si="193">DATE(2012,12,31)-978</f>
        <v>40296</v>
      </c>
      <c r="D441" s="4" t="s">
        <v>21</v>
      </c>
      <c r="E441" s="4">
        <v>30</v>
      </c>
      <c r="F441" s="4">
        <v>4177.5200000000004</v>
      </c>
      <c r="G441" s="4">
        <v>0.04</v>
      </c>
      <c r="H441" s="4" t="s">
        <v>31</v>
      </c>
      <c r="I441" s="6">
        <v>-443.78</v>
      </c>
      <c r="J441" s="4">
        <v>140.97999999999999</v>
      </c>
      <c r="K441" s="4">
        <v>36.090000000000003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2"/>
        <v>40298</v>
      </c>
    </row>
    <row r="442" spans="1:21" ht="12" customHeight="1">
      <c r="A442" s="4">
        <v>2363</v>
      </c>
      <c r="B442" s="4">
        <v>17090</v>
      </c>
      <c r="C442" s="5">
        <f t="shared" si="193"/>
        <v>40296</v>
      </c>
      <c r="D442" s="4" t="s">
        <v>21</v>
      </c>
      <c r="E442" s="4">
        <v>26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spans="1:21" ht="12" customHeight="1">
      <c r="A443" s="4">
        <v>2395</v>
      </c>
      <c r="B443" s="4">
        <v>17376</v>
      </c>
      <c r="C443" s="5">
        <f>DATE(2012,12,31)-393</f>
        <v>40881</v>
      </c>
      <c r="D443" s="4" t="s">
        <v>30</v>
      </c>
      <c r="E443" s="4">
        <v>44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spans="1:21" ht="12" customHeight="1">
      <c r="A444" s="4">
        <v>2506</v>
      </c>
      <c r="B444" s="4">
        <v>18210</v>
      </c>
      <c r="C444" s="5">
        <f t="shared" ref="C444:C445" si="194">DATE(2012,12,31)-878</f>
        <v>40396</v>
      </c>
      <c r="D444" s="4" t="s">
        <v>45</v>
      </c>
      <c r="E444" s="4">
        <v>27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19.989999999999998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0.56999999999999995</v>
      </c>
      <c r="U444" s="5">
        <f t="shared" ref="U444:U445" si="195">C444+1</f>
        <v>40397</v>
      </c>
    </row>
    <row r="445" spans="1:21" ht="12" customHeight="1">
      <c r="A445" s="4">
        <v>2507</v>
      </c>
      <c r="B445" s="4">
        <v>18210</v>
      </c>
      <c r="C445" s="5">
        <f t="shared" si="194"/>
        <v>40396</v>
      </c>
      <c r="D445" s="4" t="s">
        <v>45</v>
      </c>
      <c r="E445" s="4">
        <v>27</v>
      </c>
      <c r="F445" s="4">
        <v>80.790000000000006</v>
      </c>
      <c r="G445" s="4">
        <v>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0.56000000000000005</v>
      </c>
      <c r="U445" s="5">
        <f t="shared" si="195"/>
        <v>40397</v>
      </c>
    </row>
    <row r="446" spans="1:21" ht="12" customHeight="1">
      <c r="A446" s="4">
        <v>2514</v>
      </c>
      <c r="B446" s="4">
        <v>18273</v>
      </c>
      <c r="C446" s="5">
        <f>DATE(2012,12,31)-473</f>
        <v>40801</v>
      </c>
      <c r="D446" s="4" t="s">
        <v>21</v>
      </c>
      <c r="E446" s="4">
        <v>18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19.989999999999998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spans="1:21" ht="12" customHeight="1">
      <c r="A447" s="4">
        <v>2678</v>
      </c>
      <c r="B447" s="4">
        <v>19365</v>
      </c>
      <c r="C447" s="5">
        <f>DATE(2012,12,31)-715</f>
        <v>40559</v>
      </c>
      <c r="D447" s="4" t="s">
        <v>63</v>
      </c>
      <c r="E447" s="4">
        <v>29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spans="1:21" ht="12" customHeight="1">
      <c r="A448" s="4">
        <v>2716</v>
      </c>
      <c r="B448" s="4">
        <v>19617</v>
      </c>
      <c r="C448" s="5">
        <f t="shared" ref="C448:C449" si="196">DATE(2012,12,31)-346</f>
        <v>40928</v>
      </c>
      <c r="D448" s="4" t="s">
        <v>21</v>
      </c>
      <c r="E448" s="4">
        <v>38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spans="1:21" ht="12" customHeight="1">
      <c r="A449" s="4">
        <v>2717</v>
      </c>
      <c r="B449" s="4">
        <v>19617</v>
      </c>
      <c r="C449" s="5">
        <f t="shared" si="196"/>
        <v>40928</v>
      </c>
      <c r="D449" s="4" t="s">
        <v>21</v>
      </c>
      <c r="E449" s="4">
        <v>3</v>
      </c>
      <c r="F449" s="4">
        <v>171.96350000000001</v>
      </c>
      <c r="G449" s="4">
        <v>7.0000000000000007E-2</v>
      </c>
      <c r="H449" s="4" t="s">
        <v>22</v>
      </c>
      <c r="I449" s="6">
        <v>-296.37299999999999</v>
      </c>
      <c r="J449" s="4">
        <v>65.989999999999995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0.57999999999999996</v>
      </c>
      <c r="U449" s="5">
        <f>C449+0</f>
        <v>40928</v>
      </c>
    </row>
    <row r="450" spans="1:21" ht="12" customHeight="1">
      <c r="A450" s="4">
        <v>2770</v>
      </c>
      <c r="B450" s="4">
        <v>20033</v>
      </c>
      <c r="C450" s="5">
        <f>DATE(2012,12,31)-955</f>
        <v>40319</v>
      </c>
      <c r="D450" s="4" t="s">
        <v>78</v>
      </c>
      <c r="E450" s="4">
        <v>5</v>
      </c>
      <c r="F450" s="4">
        <v>2543.9499999999998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spans="1:21" ht="12" customHeight="1">
      <c r="A451" s="4">
        <v>2930</v>
      </c>
      <c r="B451" s="4">
        <v>21223</v>
      </c>
      <c r="C451" s="5">
        <f t="shared" ref="C451:C452" si="197">DATE(2012,12,31)-291</f>
        <v>40983</v>
      </c>
      <c r="D451" s="4" t="s">
        <v>45</v>
      </c>
      <c r="E451" s="4">
        <v>3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8">C451+1</f>
        <v>40984</v>
      </c>
    </row>
    <row r="452" spans="1:21" ht="12" customHeight="1">
      <c r="A452" s="4">
        <v>2931</v>
      </c>
      <c r="B452" s="4">
        <v>21223</v>
      </c>
      <c r="C452" s="5">
        <f t="shared" si="197"/>
        <v>40983</v>
      </c>
      <c r="D452" s="4" t="s">
        <v>45</v>
      </c>
      <c r="E452" s="4">
        <v>8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8"/>
        <v>40984</v>
      </c>
    </row>
    <row r="453" spans="1:21" ht="12" customHeight="1">
      <c r="A453" s="4">
        <v>2950</v>
      </c>
      <c r="B453" s="4">
        <v>21378</v>
      </c>
      <c r="C453" s="5">
        <f t="shared" ref="C453:C454" si="199">DATE(2012,12,31)-512</f>
        <v>40762</v>
      </c>
      <c r="D453" s="4" t="s">
        <v>63</v>
      </c>
      <c r="E453" s="4">
        <v>34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8"/>
        <v>40763</v>
      </c>
    </row>
    <row r="454" spans="1:21" ht="12" customHeight="1">
      <c r="A454" s="4">
        <v>2951</v>
      </c>
      <c r="B454" s="4">
        <v>21378</v>
      </c>
      <c r="C454" s="5">
        <f t="shared" si="199"/>
        <v>40762</v>
      </c>
      <c r="D454" s="4" t="s">
        <v>63</v>
      </c>
      <c r="E454" s="4">
        <v>17</v>
      </c>
      <c r="F454" s="4">
        <v>1616.64</v>
      </c>
      <c r="G454" s="4">
        <v>7.0000000000000007E-2</v>
      </c>
      <c r="H454" s="4" t="s">
        <v>22</v>
      </c>
      <c r="I454" s="6">
        <v>26.94</v>
      </c>
      <c r="J454" s="4">
        <v>99.99</v>
      </c>
      <c r="K454" s="4">
        <v>19.989999999999998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spans="1:21" ht="12" customHeight="1">
      <c r="A455" s="4">
        <v>2984</v>
      </c>
      <c r="B455" s="4">
        <v>21542</v>
      </c>
      <c r="C455" s="5">
        <f t="shared" ref="C455:C456" si="200">DATE(2012,12,31)-590</f>
        <v>40684</v>
      </c>
      <c r="D455" s="4" t="s">
        <v>30</v>
      </c>
      <c r="E455" s="4">
        <v>18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1">C455+1</f>
        <v>40685</v>
      </c>
    </row>
    <row r="456" spans="1:21" ht="12" customHeight="1">
      <c r="A456" s="4">
        <v>2985</v>
      </c>
      <c r="B456" s="4">
        <v>21542</v>
      </c>
      <c r="C456" s="5">
        <f t="shared" si="200"/>
        <v>40684</v>
      </c>
      <c r="D456" s="4" t="s">
        <v>30</v>
      </c>
      <c r="E456" s="4">
        <v>43</v>
      </c>
      <c r="F456" s="4">
        <v>11674.968000000001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1"/>
        <v>40685</v>
      </c>
    </row>
    <row r="457" spans="1:21" ht="12" customHeight="1">
      <c r="A457" s="4">
        <v>3133</v>
      </c>
      <c r="B457" s="4">
        <v>22469</v>
      </c>
      <c r="C457" s="5">
        <f t="shared" ref="C457:C458" si="202">DATE(2012,12,31)-812</f>
        <v>40462</v>
      </c>
      <c r="D457" s="4" t="s">
        <v>30</v>
      </c>
      <c r="E457" s="4">
        <v>24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3">C457+2</f>
        <v>40464</v>
      </c>
    </row>
    <row r="458" spans="1:21" ht="12" customHeight="1">
      <c r="A458" s="4">
        <v>3134</v>
      </c>
      <c r="B458" s="4">
        <v>22469</v>
      </c>
      <c r="C458" s="5">
        <f t="shared" si="202"/>
        <v>40462</v>
      </c>
      <c r="D458" s="4" t="s">
        <v>30</v>
      </c>
      <c r="E458" s="4">
        <v>23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3"/>
        <v>40464</v>
      </c>
    </row>
    <row r="459" spans="1:21" ht="12" customHeight="1">
      <c r="A459" s="4">
        <v>3155</v>
      </c>
      <c r="B459" s="4">
        <v>22656</v>
      </c>
      <c r="C459" s="5">
        <f>DATE(2012,12,31)-740</f>
        <v>40534</v>
      </c>
      <c r="D459" s="4" t="s">
        <v>45</v>
      </c>
      <c r="E459" s="4">
        <v>10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3"/>
        <v>40536</v>
      </c>
    </row>
    <row r="460" spans="1:21" ht="12" customHeight="1">
      <c r="A460" s="4">
        <v>3360</v>
      </c>
      <c r="B460" s="4">
        <v>24038</v>
      </c>
      <c r="C460" s="5">
        <f>DATE(2012,12,31)-560</f>
        <v>40714</v>
      </c>
      <c r="D460" s="4" t="s">
        <v>30</v>
      </c>
      <c r="E460" s="4">
        <v>15</v>
      </c>
      <c r="F460" s="4">
        <v>896.18049999999994</v>
      </c>
      <c r="G460" s="4">
        <v>0</v>
      </c>
      <c r="H460" s="4" t="s">
        <v>56</v>
      </c>
      <c r="I460" s="6">
        <v>82.043999999999997</v>
      </c>
      <c r="J460" s="4">
        <v>65.989999999999995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0.56000000000000005</v>
      </c>
      <c r="U460" s="5">
        <f t="shared" si="203"/>
        <v>40716</v>
      </c>
    </row>
    <row r="461" spans="1:21" ht="12" customHeight="1">
      <c r="A461" s="4">
        <v>3365</v>
      </c>
      <c r="B461" s="4">
        <v>24067</v>
      </c>
      <c r="C461" s="5">
        <f t="shared" ref="C461:C462" si="204">DATE(2012,12,31)-131</f>
        <v>41143</v>
      </c>
      <c r="D461" s="4" t="s">
        <v>30</v>
      </c>
      <c r="E461" s="4">
        <v>19</v>
      </c>
      <c r="F461" s="4">
        <v>120.56</v>
      </c>
      <c r="G461" s="4">
        <v>7.0000000000000007E-2</v>
      </c>
      <c r="H461" s="4" t="s">
        <v>22</v>
      </c>
      <c r="I461" s="6">
        <v>-79.349999999999994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5">C461+1</f>
        <v>41144</v>
      </c>
    </row>
    <row r="462" spans="1:21" ht="12" customHeight="1">
      <c r="A462" s="4">
        <v>3366</v>
      </c>
      <c r="B462" s="4">
        <v>24067</v>
      </c>
      <c r="C462" s="5">
        <f t="shared" si="204"/>
        <v>41143</v>
      </c>
      <c r="D462" s="4" t="s">
        <v>30</v>
      </c>
      <c r="E462" s="4">
        <v>46</v>
      </c>
      <c r="F462" s="4">
        <v>2640.6864999999998</v>
      </c>
      <c r="G462" s="4">
        <v>0.03</v>
      </c>
      <c r="H462" s="4" t="s">
        <v>56</v>
      </c>
      <c r="I462" s="6">
        <v>751.38300000000004</v>
      </c>
      <c r="J462" s="4">
        <v>65.989999999999995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0.55000000000000004</v>
      </c>
      <c r="U462" s="5">
        <f t="shared" si="205"/>
        <v>41144</v>
      </c>
    </row>
    <row r="463" spans="1:21" ht="12" customHeight="1">
      <c r="A463" s="4">
        <v>3420</v>
      </c>
      <c r="B463" s="4">
        <v>24388</v>
      </c>
      <c r="C463" s="5">
        <f>DATE(2012,12,31)-705</f>
        <v>40569</v>
      </c>
      <c r="D463" s="4" t="s">
        <v>78</v>
      </c>
      <c r="E463" s="4">
        <v>15</v>
      </c>
      <c r="F463" s="4">
        <v>8662.34</v>
      </c>
      <c r="G463" s="4">
        <v>0</v>
      </c>
      <c r="H463" s="4" t="s">
        <v>31</v>
      </c>
      <c r="I463" s="6">
        <v>-704.66</v>
      </c>
      <c r="J463" s="4">
        <v>549.99</v>
      </c>
      <c r="K463" s="4">
        <v>49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5"/>
        <v>40570</v>
      </c>
    </row>
    <row r="464" spans="1:21" ht="12" customHeight="1">
      <c r="A464" s="4">
        <v>3428</v>
      </c>
      <c r="B464" s="4">
        <v>24451</v>
      </c>
      <c r="C464" s="5">
        <f>DATE(2012,12,31)-28</f>
        <v>41246</v>
      </c>
      <c r="D464" s="4" t="s">
        <v>78</v>
      </c>
      <c r="E464" s="4">
        <v>24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5"/>
        <v>41247</v>
      </c>
    </row>
    <row r="465" spans="1:21" ht="12" customHeight="1">
      <c r="A465" s="4">
        <v>3487</v>
      </c>
      <c r="B465" s="4">
        <v>24806</v>
      </c>
      <c r="C465" s="5">
        <f>DATE(2012,12,31)-847</f>
        <v>40427</v>
      </c>
      <c r="D465" s="4" t="s">
        <v>45</v>
      </c>
      <c r="E465" s="4">
        <v>20</v>
      </c>
      <c r="F465" s="4">
        <v>112.03</v>
      </c>
      <c r="G465" s="4">
        <v>0.05</v>
      </c>
      <c r="H465" s="4" t="s">
        <v>22</v>
      </c>
      <c r="I465" s="6">
        <v>-57.994500000000002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spans="1:21" ht="12" customHeight="1">
      <c r="A466" s="4">
        <v>3505</v>
      </c>
      <c r="B466" s="4">
        <v>24965</v>
      </c>
      <c r="C466" s="5">
        <f t="shared" ref="C466:C467" si="206">DATE(2012,12,31)-643</f>
        <v>40631</v>
      </c>
      <c r="D466" s="4" t="s">
        <v>21</v>
      </c>
      <c r="E466" s="4">
        <v>6</v>
      </c>
      <c r="F466" s="4">
        <v>2528.4899999999998</v>
      </c>
      <c r="G466" s="4">
        <v>7.0000000000000007E-2</v>
      </c>
      <c r="H466" s="4" t="s">
        <v>56</v>
      </c>
      <c r="I466" s="6">
        <v>580.15049999999997</v>
      </c>
      <c r="J466" s="4">
        <v>420.98</v>
      </c>
      <c r="K466" s="4">
        <v>19.989999999999998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spans="1:21" ht="12" customHeight="1">
      <c r="A467" s="4">
        <v>3506</v>
      </c>
      <c r="B467" s="4">
        <v>24965</v>
      </c>
      <c r="C467" s="5">
        <f t="shared" si="206"/>
        <v>40631</v>
      </c>
      <c r="D467" s="4" t="s">
        <v>21</v>
      </c>
      <c r="E467" s="4">
        <v>42</v>
      </c>
      <c r="F467" s="4">
        <v>1146.1099999999999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8.5500000000000007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spans="1:21" ht="12" customHeight="1">
      <c r="A468" s="4">
        <v>3533</v>
      </c>
      <c r="B468" s="4">
        <v>25154</v>
      </c>
      <c r="C468" s="5">
        <f>DATE(2012,12,31)-864</f>
        <v>40410</v>
      </c>
      <c r="D468" s="4" t="s">
        <v>30</v>
      </c>
      <c r="E468" s="4">
        <v>16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spans="1:21" ht="12" customHeight="1">
      <c r="A469" s="4">
        <v>3549</v>
      </c>
      <c r="B469" s="4">
        <v>25315</v>
      </c>
      <c r="C469" s="5">
        <f t="shared" ref="C469:C471" si="207">DATE(2012,12,31)-760</f>
        <v>40514</v>
      </c>
      <c r="D469" s="4" t="s">
        <v>21</v>
      </c>
      <c r="E469" s="4">
        <v>36</v>
      </c>
      <c r="F469" s="4">
        <v>7783.36</v>
      </c>
      <c r="G469" s="4">
        <v>7.0000000000000007E-2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8">C469+0</f>
        <v>40514</v>
      </c>
    </row>
    <row r="470" spans="1:21" ht="12" customHeight="1">
      <c r="A470" s="4">
        <v>3550</v>
      </c>
      <c r="B470" s="4">
        <v>25315</v>
      </c>
      <c r="C470" s="5">
        <f t="shared" si="207"/>
        <v>40514</v>
      </c>
      <c r="D470" s="4" t="s">
        <v>21</v>
      </c>
      <c r="E470" s="4">
        <v>21</v>
      </c>
      <c r="F470" s="4">
        <v>61.76</v>
      </c>
      <c r="G470" s="4">
        <v>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8"/>
        <v>40514</v>
      </c>
    </row>
    <row r="471" spans="1:21" ht="12" customHeight="1">
      <c r="A471" s="4">
        <v>3551</v>
      </c>
      <c r="B471" s="4">
        <v>25315</v>
      </c>
      <c r="C471" s="5">
        <f t="shared" si="207"/>
        <v>40514</v>
      </c>
      <c r="D471" s="4" t="s">
        <v>21</v>
      </c>
      <c r="E471" s="4">
        <v>36</v>
      </c>
      <c r="F471" s="4">
        <v>1280.3399999999999</v>
      </c>
      <c r="G471" s="4">
        <v>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spans="1:21" ht="12" customHeight="1">
      <c r="A472" s="4">
        <v>3559</v>
      </c>
      <c r="B472" s="4">
        <v>25376</v>
      </c>
      <c r="C472" s="5">
        <f>DATE(2012,12,31)-646</f>
        <v>40628</v>
      </c>
      <c r="D472" s="4" t="s">
        <v>78</v>
      </c>
      <c r="E472" s="4">
        <v>12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spans="1:21" ht="12" customHeight="1">
      <c r="A473" s="4">
        <v>3753</v>
      </c>
      <c r="B473" s="4">
        <v>26791</v>
      </c>
      <c r="C473" s="5">
        <f>DATE(2012,12,31)-612</f>
        <v>40662</v>
      </c>
      <c r="D473" s="4" t="s">
        <v>21</v>
      </c>
      <c r="E473" s="4">
        <v>45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spans="1:21" ht="12" customHeight="1">
      <c r="A474" s="4">
        <v>4042</v>
      </c>
      <c r="B474" s="4">
        <v>28836</v>
      </c>
      <c r="C474" s="5">
        <f t="shared" ref="C474:C475" si="209">DATE(2012,12,31)-799</f>
        <v>40475</v>
      </c>
      <c r="D474" s="4" t="s">
        <v>30</v>
      </c>
      <c r="E474" s="4">
        <v>50</v>
      </c>
      <c r="F474" s="4">
        <v>8221.2934999999998</v>
      </c>
      <c r="G474" s="4">
        <v>0.06</v>
      </c>
      <c r="H474" s="4" t="s">
        <v>22</v>
      </c>
      <c r="I474" s="6">
        <v>2342.2139999999999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spans="1:21" ht="12" customHeight="1">
      <c r="A475" s="4">
        <v>4043</v>
      </c>
      <c r="B475" s="4">
        <v>28836</v>
      </c>
      <c r="C475" s="5">
        <f t="shared" si="209"/>
        <v>40475</v>
      </c>
      <c r="D475" s="4" t="s">
        <v>30</v>
      </c>
      <c r="E475" s="4">
        <v>7</v>
      </c>
      <c r="F475" s="4">
        <v>1158.26</v>
      </c>
      <c r="G475" s="4">
        <v>0.06</v>
      </c>
      <c r="H475" s="4" t="s">
        <v>22</v>
      </c>
      <c r="I475" s="6">
        <v>170.07650000000001</v>
      </c>
      <c r="J475" s="4">
        <v>172.99</v>
      </c>
      <c r="K475" s="4">
        <v>19.989999999999998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spans="1:21" ht="12" customHeight="1">
      <c r="A476" s="4">
        <v>4071</v>
      </c>
      <c r="B476" s="4">
        <v>28995</v>
      </c>
      <c r="C476" s="5">
        <f t="shared" ref="C476:C477" si="210">DATE(2012,12,31)-964</f>
        <v>40310</v>
      </c>
      <c r="D476" s="4" t="s">
        <v>30</v>
      </c>
      <c r="E476" s="4">
        <v>9</v>
      </c>
      <c r="F476" s="4">
        <v>298.52</v>
      </c>
      <c r="G476" s="4">
        <v>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1">C476+1</f>
        <v>40311</v>
      </c>
    </row>
    <row r="477" spans="1:21" ht="12" customHeight="1">
      <c r="A477" s="4">
        <v>4072</v>
      </c>
      <c r="B477" s="4">
        <v>28995</v>
      </c>
      <c r="C477" s="5">
        <f t="shared" si="210"/>
        <v>40310</v>
      </c>
      <c r="D477" s="4" t="s">
        <v>30</v>
      </c>
      <c r="E477" s="4">
        <v>34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1"/>
        <v>40311</v>
      </c>
    </row>
    <row r="478" spans="1:21" ht="12" customHeight="1">
      <c r="A478" s="4">
        <v>4085</v>
      </c>
      <c r="B478" s="4">
        <v>29121</v>
      </c>
      <c r="C478" s="5">
        <f>DATE(2012,12,31)-995</f>
        <v>40279</v>
      </c>
      <c r="D478" s="4" t="s">
        <v>63</v>
      </c>
      <c r="E478" s="4">
        <v>31</v>
      </c>
      <c r="F478" s="4">
        <v>3206.9650000000001</v>
      </c>
      <c r="G478" s="4">
        <v>0.08</v>
      </c>
      <c r="H478" s="4" t="s">
        <v>22</v>
      </c>
      <c r="I478" s="6">
        <v>575.33399999999995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0.57999999999999996</v>
      </c>
      <c r="U478" s="5">
        <f>C478+2</f>
        <v>40281</v>
      </c>
    </row>
    <row r="479" spans="1:21" ht="12" customHeight="1">
      <c r="A479" s="4">
        <v>4137</v>
      </c>
      <c r="B479" s="4">
        <v>29382</v>
      </c>
      <c r="C479" s="5">
        <f t="shared" ref="C479:C480" si="212">DATE(2012,12,31)-775</f>
        <v>40499</v>
      </c>
      <c r="D479" s="4" t="s">
        <v>30</v>
      </c>
      <c r="E479" s="4">
        <v>42</v>
      </c>
      <c r="F479" s="4">
        <v>239.35</v>
      </c>
      <c r="G479" s="4">
        <v>0.05</v>
      </c>
      <c r="H479" s="4" t="s">
        <v>22</v>
      </c>
      <c r="I479" s="6">
        <v>78.959999999999994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spans="1:21" ht="12" customHeight="1">
      <c r="A480" s="4">
        <v>4138</v>
      </c>
      <c r="B480" s="4">
        <v>29382</v>
      </c>
      <c r="C480" s="5">
        <f t="shared" si="212"/>
        <v>40499</v>
      </c>
      <c r="D480" s="4" t="s">
        <v>30</v>
      </c>
      <c r="E480" s="4">
        <v>34</v>
      </c>
      <c r="F480" s="4">
        <v>684.66</v>
      </c>
      <c r="G480" s="4">
        <v>7.0000000000000007E-2</v>
      </c>
      <c r="H480" s="4" t="s">
        <v>56</v>
      </c>
      <c r="I480" s="6">
        <v>35.090000000000003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3">C480+2</f>
        <v>40501</v>
      </c>
    </row>
    <row r="481" spans="1:21" ht="12" customHeight="1">
      <c r="A481" s="4">
        <v>4151</v>
      </c>
      <c r="B481" s="4">
        <v>29445</v>
      </c>
      <c r="C481" s="5">
        <f>DATE(2012,12,31)-824</f>
        <v>40450</v>
      </c>
      <c r="D481" s="4" t="s">
        <v>30</v>
      </c>
      <c r="E481" s="4">
        <v>28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3"/>
        <v>40452</v>
      </c>
    </row>
    <row r="482" spans="1:21" ht="12" customHeight="1">
      <c r="A482" s="4">
        <v>4187</v>
      </c>
      <c r="B482" s="4">
        <v>29762</v>
      </c>
      <c r="C482" s="5">
        <f>DATE(2012,12,31)-881</f>
        <v>40393</v>
      </c>
      <c r="D482" s="4" t="s">
        <v>78</v>
      </c>
      <c r="E482" s="4">
        <v>15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3"/>
        <v>40395</v>
      </c>
    </row>
    <row r="483" spans="1:21" ht="12" customHeight="1">
      <c r="A483" s="4">
        <v>4229</v>
      </c>
      <c r="B483" s="4">
        <v>30048</v>
      </c>
      <c r="C483" s="5">
        <f>DATE(2012,12,31)-567</f>
        <v>40707</v>
      </c>
      <c r="D483" s="4" t="s">
        <v>63</v>
      </c>
      <c r="E483" s="4">
        <v>44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0.56999999999999995</v>
      </c>
      <c r="U483" s="5">
        <f t="shared" si="213"/>
        <v>40709</v>
      </c>
    </row>
    <row r="484" spans="1:21" ht="12" customHeight="1">
      <c r="A484" s="4">
        <v>4249</v>
      </c>
      <c r="B484" s="4">
        <v>30243</v>
      </c>
      <c r="C484" s="5">
        <f t="shared" ref="C484:C485" si="214">DATE(2012,12,31)-971</f>
        <v>40303</v>
      </c>
      <c r="D484" s="4" t="s">
        <v>78</v>
      </c>
      <c r="E484" s="4">
        <v>44</v>
      </c>
      <c r="F484" s="4">
        <v>2435.3200000000002</v>
      </c>
      <c r="G484" s="4">
        <v>0.09</v>
      </c>
      <c r="H484" s="4" t="s">
        <v>22</v>
      </c>
      <c r="I484" s="6">
        <v>650.55999999999995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0.56999999999999995</v>
      </c>
      <c r="U484" s="5">
        <f t="shared" si="213"/>
        <v>40305</v>
      </c>
    </row>
    <row r="485" spans="1:21" ht="12" customHeight="1">
      <c r="A485" s="4">
        <v>4250</v>
      </c>
      <c r="B485" s="4">
        <v>30243</v>
      </c>
      <c r="C485" s="5">
        <f t="shared" si="214"/>
        <v>40303</v>
      </c>
      <c r="D485" s="4" t="s">
        <v>78</v>
      </c>
      <c r="E485" s="4">
        <v>21</v>
      </c>
      <c r="F485" s="4">
        <v>4242.76</v>
      </c>
      <c r="G485" s="4">
        <v>7.0000000000000007E-2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3"/>
        <v>40305</v>
      </c>
    </row>
    <row r="486" spans="1:21" ht="12" customHeight="1">
      <c r="A486" s="4">
        <v>4267</v>
      </c>
      <c r="B486" s="4">
        <v>30372</v>
      </c>
      <c r="C486" s="5">
        <f>DATE(2012,12,31)-854</f>
        <v>40420</v>
      </c>
      <c r="D486" s="4" t="s">
        <v>30</v>
      </c>
      <c r="E486" s="4">
        <v>1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0.55000000000000004</v>
      </c>
      <c r="U486" s="5">
        <f t="shared" si="213"/>
        <v>40422</v>
      </c>
    </row>
    <row r="487" spans="1:21" ht="12" customHeight="1">
      <c r="A487" s="4">
        <v>4282</v>
      </c>
      <c r="B487" s="4">
        <v>30499</v>
      </c>
      <c r="C487" s="5">
        <f t="shared" ref="C487:C488" si="215">DATE(2012,12,31)-62</f>
        <v>41212</v>
      </c>
      <c r="D487" s="4" t="s">
        <v>30</v>
      </c>
      <c r="E487" s="4">
        <v>16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3"/>
        <v>41214</v>
      </c>
    </row>
    <row r="488" spans="1:21" ht="12" customHeight="1">
      <c r="A488" s="4">
        <v>4283</v>
      </c>
      <c r="B488" s="4">
        <v>30499</v>
      </c>
      <c r="C488" s="5">
        <f t="shared" si="215"/>
        <v>41212</v>
      </c>
      <c r="D488" s="4" t="s">
        <v>30</v>
      </c>
      <c r="E488" s="4">
        <v>33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0.55000000000000004</v>
      </c>
      <c r="U488" s="5">
        <f t="shared" si="213"/>
        <v>41214</v>
      </c>
    </row>
    <row r="489" spans="1:21" ht="12" customHeight="1">
      <c r="A489" s="4">
        <v>4546</v>
      </c>
      <c r="B489" s="4">
        <v>32327</v>
      </c>
      <c r="C489" s="5">
        <f>DATE(2012,12,31)-146</f>
        <v>41128</v>
      </c>
      <c r="D489" s="4" t="s">
        <v>21</v>
      </c>
      <c r="E489" s="4">
        <v>45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spans="1:21" ht="12" customHeight="1">
      <c r="A490" s="4">
        <v>4611</v>
      </c>
      <c r="B490" s="4">
        <v>32835</v>
      </c>
      <c r="C490" s="5">
        <f>DATE(2012,12,31)-177</f>
        <v>41097</v>
      </c>
      <c r="D490" s="4" t="s">
        <v>63</v>
      </c>
      <c r="E490" s="4">
        <v>15</v>
      </c>
      <c r="F490" s="4">
        <v>572.4325</v>
      </c>
      <c r="G490" s="4">
        <v>0.05</v>
      </c>
      <c r="H490" s="4" t="s">
        <v>22</v>
      </c>
      <c r="I490" s="6">
        <v>-19.437000000000001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0.56000000000000005</v>
      </c>
      <c r="U490" s="5">
        <f t="shared" ref="U490:U492" si="216">C490+2</f>
        <v>41099</v>
      </c>
    </row>
    <row r="491" spans="1:21" ht="12" customHeight="1">
      <c r="A491" s="4">
        <v>4748</v>
      </c>
      <c r="B491" s="4">
        <v>33763</v>
      </c>
      <c r="C491" s="5">
        <f>DATE(2012,12,31)-830</f>
        <v>40444</v>
      </c>
      <c r="D491" s="4" t="s">
        <v>45</v>
      </c>
      <c r="E491" s="4">
        <v>23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6"/>
        <v>40446</v>
      </c>
    </row>
    <row r="492" spans="1:21" ht="12" customHeight="1">
      <c r="A492" s="4">
        <v>4792</v>
      </c>
      <c r="B492" s="4">
        <v>34048</v>
      </c>
      <c r="C492" s="5">
        <f>DATE(2012,12,31)-644</f>
        <v>40630</v>
      </c>
      <c r="D492" s="4" t="s">
        <v>21</v>
      </c>
      <c r="E492" s="4">
        <v>1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6"/>
        <v>40632</v>
      </c>
    </row>
    <row r="493" spans="1:21" ht="12" customHeight="1">
      <c r="A493" s="4">
        <v>4844</v>
      </c>
      <c r="B493" s="4">
        <v>34438</v>
      </c>
      <c r="C493" s="5">
        <f>DATE(2012,12,31)-751</f>
        <v>40523</v>
      </c>
      <c r="D493" s="4" t="s">
        <v>30</v>
      </c>
      <c r="E493" s="4">
        <v>28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20.149999999999999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0.57999999999999996</v>
      </c>
      <c r="U493" s="5">
        <f>C493+1</f>
        <v>40524</v>
      </c>
    </row>
    <row r="494" spans="1:21" ht="12" customHeight="1">
      <c r="A494" s="4">
        <v>4912</v>
      </c>
      <c r="B494" s="4">
        <v>34978</v>
      </c>
      <c r="C494" s="5">
        <f>DATE(2012,12,31)-696</f>
        <v>40578</v>
      </c>
      <c r="D494" s="4" t="s">
        <v>30</v>
      </c>
      <c r="E494" s="4">
        <v>49</v>
      </c>
      <c r="F494" s="4">
        <v>165.51</v>
      </c>
      <c r="G494" s="4">
        <v>0.08</v>
      </c>
      <c r="H494" s="4" t="s">
        <v>22</v>
      </c>
      <c r="I494" s="6">
        <v>-269.90499999999997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spans="1:21" ht="12" customHeight="1">
      <c r="A495" s="4">
        <v>4945</v>
      </c>
      <c r="B495" s="4">
        <v>35141</v>
      </c>
      <c r="C495" s="5">
        <f>DATE(2012,12,31)-842</f>
        <v>40432</v>
      </c>
      <c r="D495" s="4" t="s">
        <v>63</v>
      </c>
      <c r="E495" s="4">
        <v>29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19.989999999999998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7">C495+1</f>
        <v>40433</v>
      </c>
    </row>
    <row r="496" spans="1:21" ht="12" customHeight="1">
      <c r="A496" s="4">
        <v>4962</v>
      </c>
      <c r="B496" s="4">
        <v>35300</v>
      </c>
      <c r="C496" s="5">
        <f t="shared" ref="C496:C498" si="218">DATE(2012,12,31)-1035</f>
        <v>40239</v>
      </c>
      <c r="D496" s="4" t="s">
        <v>63</v>
      </c>
      <c r="E496" s="4">
        <v>10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7"/>
        <v>40240</v>
      </c>
    </row>
    <row r="497" spans="1:21" ht="12" customHeight="1">
      <c r="A497" s="4">
        <v>4963</v>
      </c>
      <c r="B497" s="4">
        <v>35300</v>
      </c>
      <c r="C497" s="5">
        <f t="shared" si="218"/>
        <v>40239</v>
      </c>
      <c r="D497" s="4" t="s">
        <v>63</v>
      </c>
      <c r="E497" s="4">
        <v>35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spans="1:21" ht="12" customHeight="1">
      <c r="A498" s="4">
        <v>4964</v>
      </c>
      <c r="B498" s="4">
        <v>35300</v>
      </c>
      <c r="C498" s="5">
        <f t="shared" si="218"/>
        <v>40239</v>
      </c>
      <c r="D498" s="4" t="s">
        <v>63</v>
      </c>
      <c r="E498" s="4">
        <v>13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8.9499999999999993</v>
      </c>
      <c r="K498" s="4">
        <v>2.0099999999999998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spans="1:21" ht="12" customHeight="1">
      <c r="A499" s="4">
        <v>5091</v>
      </c>
      <c r="B499" s="4">
        <v>36293</v>
      </c>
      <c r="C499" s="5">
        <f t="shared" ref="C499:C500" si="219">DATE(2012,12,31)-732</f>
        <v>40542</v>
      </c>
      <c r="D499" s="4" t="s">
        <v>63</v>
      </c>
      <c r="E499" s="4">
        <v>13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spans="1:21" ht="12" customHeight="1">
      <c r="A500" s="4">
        <v>5092</v>
      </c>
      <c r="B500" s="4">
        <v>36293</v>
      </c>
      <c r="C500" s="5">
        <f t="shared" si="219"/>
        <v>40542</v>
      </c>
      <c r="D500" s="4" t="s">
        <v>63</v>
      </c>
      <c r="E500" s="4">
        <v>25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spans="1:21" ht="12" customHeight="1">
      <c r="A501" s="4">
        <v>5128</v>
      </c>
      <c r="B501" s="4">
        <v>36516</v>
      </c>
      <c r="C501" s="5">
        <f>DATE(2012,12,31)-525</f>
        <v>40749</v>
      </c>
      <c r="D501" s="4" t="s">
        <v>63</v>
      </c>
      <c r="E501" s="4">
        <v>9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spans="1:21" ht="12" customHeight="1">
      <c r="A502" s="4">
        <v>5223</v>
      </c>
      <c r="B502" s="4">
        <v>37185</v>
      </c>
      <c r="C502" s="5">
        <f>DATE(2012,12,31)-61</f>
        <v>41213</v>
      </c>
      <c r="D502" s="4" t="s">
        <v>30</v>
      </c>
      <c r="E502" s="4">
        <v>8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0.57999999999999996</v>
      </c>
      <c r="U502" s="5">
        <f>C502+1</f>
        <v>41214</v>
      </c>
    </row>
    <row r="503" spans="1:21" ht="12" customHeight="1">
      <c r="A503" s="4">
        <v>5387</v>
      </c>
      <c r="B503" s="4">
        <v>38310</v>
      </c>
      <c r="C503" s="5">
        <f>DATE(2012,12,31)-261</f>
        <v>41013</v>
      </c>
      <c r="D503" s="4" t="s">
        <v>30</v>
      </c>
      <c r="E503" s="4">
        <v>4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spans="1:21" ht="12" customHeight="1">
      <c r="A504" s="4">
        <v>5702</v>
      </c>
      <c r="B504" s="4">
        <v>40327</v>
      </c>
      <c r="C504" s="5">
        <f t="shared" ref="C504:C505" si="220">DATE(2012,12,31)-598</f>
        <v>40676</v>
      </c>
      <c r="D504" s="4" t="s">
        <v>63</v>
      </c>
      <c r="E504" s="4">
        <v>42</v>
      </c>
      <c r="F504" s="4">
        <v>152.55000000000001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1">C504+2</f>
        <v>40678</v>
      </c>
    </row>
    <row r="505" spans="1:21" ht="12" customHeight="1">
      <c r="A505" s="4">
        <v>5703</v>
      </c>
      <c r="B505" s="4">
        <v>40327</v>
      </c>
      <c r="C505" s="5">
        <f t="shared" si="220"/>
        <v>40676</v>
      </c>
      <c r="D505" s="4" t="s">
        <v>63</v>
      </c>
      <c r="E505" s="4">
        <v>36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1"/>
        <v>40678</v>
      </c>
    </row>
    <row r="506" spans="1:21" ht="12" customHeight="1">
      <c r="A506" s="4">
        <v>5714</v>
      </c>
      <c r="B506" s="4">
        <v>40480</v>
      </c>
      <c r="C506" s="5">
        <f t="shared" ref="C506:C507" si="222">DATE(2012,12,31)-390</f>
        <v>40884</v>
      </c>
      <c r="D506" s="4" t="s">
        <v>78</v>
      </c>
      <c r="E506" s="4">
        <v>19</v>
      </c>
      <c r="F506" s="4">
        <v>7608.88</v>
      </c>
      <c r="G506" s="4">
        <v>0.06</v>
      </c>
      <c r="H506" s="4" t="s">
        <v>56</v>
      </c>
      <c r="I506" s="6">
        <v>3049.4515000000001</v>
      </c>
      <c r="J506" s="4">
        <v>420.98</v>
      </c>
      <c r="K506" s="4">
        <v>19.989999999999998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spans="1:21" ht="12" customHeight="1">
      <c r="A507" s="4">
        <v>5715</v>
      </c>
      <c r="B507" s="4">
        <v>40480</v>
      </c>
      <c r="C507" s="5">
        <f t="shared" si="222"/>
        <v>40884</v>
      </c>
      <c r="D507" s="4" t="s">
        <v>78</v>
      </c>
      <c r="E507" s="4">
        <v>50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3">C507+2</f>
        <v>40886</v>
      </c>
    </row>
    <row r="508" spans="1:21" ht="12" customHeight="1">
      <c r="A508" s="4">
        <v>5741</v>
      </c>
      <c r="B508" s="4">
        <v>40800</v>
      </c>
      <c r="C508" s="5">
        <f>DATE(2012,12,31)-758</f>
        <v>40516</v>
      </c>
      <c r="D508" s="4" t="s">
        <v>45</v>
      </c>
      <c r="E508" s="4">
        <v>18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3"/>
        <v>40518</v>
      </c>
    </row>
    <row r="509" spans="1:21" ht="12" customHeight="1">
      <c r="A509" s="4">
        <v>5759</v>
      </c>
      <c r="B509" s="4">
        <v>40871</v>
      </c>
      <c r="C509" s="5">
        <f t="shared" ref="C509:C510" si="224">DATE(2012,12,31)-475</f>
        <v>40799</v>
      </c>
      <c r="D509" s="4" t="s">
        <v>45</v>
      </c>
      <c r="E509" s="4">
        <v>32</v>
      </c>
      <c r="F509" s="4">
        <v>294.04000000000002</v>
      </c>
      <c r="G509" s="4">
        <v>0.03</v>
      </c>
      <c r="H509" s="4" t="s">
        <v>22</v>
      </c>
      <c r="I509" s="6">
        <v>-5.5314999999999994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3"/>
        <v>40801</v>
      </c>
    </row>
    <row r="510" spans="1:21" ht="12" customHeight="1">
      <c r="A510" s="4">
        <v>5760</v>
      </c>
      <c r="B510" s="4">
        <v>40871</v>
      </c>
      <c r="C510" s="5">
        <f t="shared" si="224"/>
        <v>40799</v>
      </c>
      <c r="D510" s="4" t="s">
        <v>45</v>
      </c>
      <c r="E510" s="4">
        <v>18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3"/>
        <v>40801</v>
      </c>
    </row>
    <row r="511" spans="1:21" ht="12" customHeight="1">
      <c r="A511" s="4">
        <v>5857</v>
      </c>
      <c r="B511" s="4">
        <v>41570</v>
      </c>
      <c r="C511" s="5">
        <f>DATE(2012,12,31)-759</f>
        <v>40515</v>
      </c>
      <c r="D511" s="4" t="s">
        <v>45</v>
      </c>
      <c r="E511" s="4">
        <v>24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4.6500000000000004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3"/>
        <v>40517</v>
      </c>
    </row>
    <row r="512" spans="1:21" ht="12" customHeight="1">
      <c r="A512" s="4">
        <v>5922</v>
      </c>
      <c r="B512" s="4">
        <v>41991</v>
      </c>
      <c r="C512" s="5">
        <f t="shared" ref="C512:C514" si="225">DATE(2012,12,31)-379</f>
        <v>40895</v>
      </c>
      <c r="D512" s="4" t="s">
        <v>21</v>
      </c>
      <c r="E512" s="4">
        <v>36</v>
      </c>
      <c r="F512" s="4">
        <v>1773.86</v>
      </c>
      <c r="G512" s="4">
        <v>0.06</v>
      </c>
      <c r="H512" s="4" t="s">
        <v>31</v>
      </c>
      <c r="I512" s="6">
        <v>133.30000000000001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0.56000000000000005</v>
      </c>
      <c r="U512" s="5">
        <f>C512+5</f>
        <v>40900</v>
      </c>
    </row>
    <row r="513" spans="1:21" ht="12" customHeight="1">
      <c r="A513" s="4">
        <v>5923</v>
      </c>
      <c r="B513" s="4">
        <v>41991</v>
      </c>
      <c r="C513" s="5">
        <f t="shared" si="225"/>
        <v>40895</v>
      </c>
      <c r="D513" s="4" t="s">
        <v>21</v>
      </c>
      <c r="E513" s="4">
        <v>35</v>
      </c>
      <c r="F513" s="4">
        <v>543.22</v>
      </c>
      <c r="G513" s="4">
        <v>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6">C513+4</f>
        <v>40899</v>
      </c>
    </row>
    <row r="514" spans="1:21" ht="12" customHeight="1">
      <c r="A514" s="4">
        <v>5924</v>
      </c>
      <c r="B514" s="4">
        <v>41991</v>
      </c>
      <c r="C514" s="5">
        <f t="shared" si="225"/>
        <v>40895</v>
      </c>
      <c r="D514" s="4" t="s">
        <v>21</v>
      </c>
      <c r="E514" s="4">
        <v>18</v>
      </c>
      <c r="F514" s="4">
        <v>813.9</v>
      </c>
      <c r="G514" s="4">
        <v>0.06</v>
      </c>
      <c r="H514" s="4" t="s">
        <v>22</v>
      </c>
      <c r="I514" s="6">
        <v>256.66000000000003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6"/>
        <v>40899</v>
      </c>
    </row>
    <row r="515" spans="1:21" ht="12" customHeight="1">
      <c r="A515" s="4">
        <v>5981</v>
      </c>
      <c r="B515" s="4">
        <v>42400</v>
      </c>
      <c r="C515" s="5">
        <f t="shared" ref="C515:C516" si="227">DATE(2012,12,31)-144</f>
        <v>41130</v>
      </c>
      <c r="D515" s="4" t="s">
        <v>21</v>
      </c>
      <c r="E515" s="4">
        <v>44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spans="1:21" ht="12" customHeight="1">
      <c r="A516" s="4">
        <v>5982</v>
      </c>
      <c r="B516" s="4">
        <v>42400</v>
      </c>
      <c r="C516" s="5">
        <f t="shared" si="227"/>
        <v>41130</v>
      </c>
      <c r="D516" s="4" t="s">
        <v>21</v>
      </c>
      <c r="E516" s="4">
        <v>41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spans="1:21" ht="12" customHeight="1">
      <c r="A517" s="4">
        <v>6036</v>
      </c>
      <c r="B517" s="4">
        <v>42754</v>
      </c>
      <c r="C517" s="5">
        <f>DATE(2012,12,31)-860</f>
        <v>40414</v>
      </c>
      <c r="D517" s="4" t="s">
        <v>78</v>
      </c>
      <c r="E517" s="4">
        <v>31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spans="1:21" ht="12" customHeight="1">
      <c r="A518" s="4">
        <v>6055</v>
      </c>
      <c r="B518" s="4">
        <v>42918</v>
      </c>
      <c r="C518" s="5">
        <f t="shared" ref="C518:C519" si="228">DATE(2012,12,31)-589</f>
        <v>40685</v>
      </c>
      <c r="D518" s="4" t="s">
        <v>30</v>
      </c>
      <c r="E518" s="4">
        <v>46</v>
      </c>
      <c r="F518" s="4">
        <v>648.26</v>
      </c>
      <c r="G518" s="4">
        <v>7.0000000000000007E-2</v>
      </c>
      <c r="H518" s="4" t="s">
        <v>22</v>
      </c>
      <c r="I518" s="6">
        <v>30.481000000000002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29">C518+2</f>
        <v>40687</v>
      </c>
    </row>
    <row r="519" spans="1:21" ht="12" customHeight="1">
      <c r="A519" s="4">
        <v>6056</v>
      </c>
      <c r="B519" s="4">
        <v>42918</v>
      </c>
      <c r="C519" s="5">
        <f t="shared" si="228"/>
        <v>40685</v>
      </c>
      <c r="D519" s="4" t="s">
        <v>30</v>
      </c>
      <c r="E519" s="4">
        <v>46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29"/>
        <v>40687</v>
      </c>
    </row>
    <row r="520" spans="1:21" ht="12" customHeight="1">
      <c r="A520" s="4">
        <v>6059</v>
      </c>
      <c r="B520" s="4">
        <v>42944</v>
      </c>
      <c r="C520" s="5">
        <f>DATE(2012,12,31)-43</f>
        <v>41231</v>
      </c>
      <c r="D520" s="4" t="s">
        <v>78</v>
      </c>
      <c r="E520" s="4">
        <v>43</v>
      </c>
      <c r="F520" s="4">
        <v>9750.5499999999993</v>
      </c>
      <c r="G520" s="4">
        <v>0</v>
      </c>
      <c r="H520" s="4" t="s">
        <v>31</v>
      </c>
      <c r="I520" s="6">
        <v>1061.6099999999999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spans="1:21" ht="12" customHeight="1">
      <c r="A521" s="4">
        <v>6219</v>
      </c>
      <c r="B521" s="4">
        <v>44037</v>
      </c>
      <c r="C521" s="5">
        <f t="shared" ref="C521:C522" si="230">DATE(2012,12,31)-186</f>
        <v>41088</v>
      </c>
      <c r="D521" s="4" t="s">
        <v>30</v>
      </c>
      <c r="E521" s="4">
        <v>39</v>
      </c>
      <c r="F521" s="4">
        <v>835.55</v>
      </c>
      <c r="G521" s="4">
        <v>7.0000000000000007E-2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1">C521+2</f>
        <v>41090</v>
      </c>
    </row>
    <row r="522" spans="1:21" ht="12" customHeight="1">
      <c r="A522" s="4">
        <v>6220</v>
      </c>
      <c r="B522" s="4">
        <v>44037</v>
      </c>
      <c r="C522" s="5">
        <f t="shared" si="230"/>
        <v>41088</v>
      </c>
      <c r="D522" s="4" t="s">
        <v>30</v>
      </c>
      <c r="E522" s="4">
        <v>38</v>
      </c>
      <c r="F522" s="4">
        <v>1799.6115</v>
      </c>
      <c r="G522" s="4">
        <v>7.0000000000000007E-2</v>
      </c>
      <c r="H522" s="4" t="s">
        <v>22</v>
      </c>
      <c r="I522" s="6">
        <v>557.59500000000003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0.55000000000000004</v>
      </c>
      <c r="U522" s="5">
        <f t="shared" si="231"/>
        <v>41090</v>
      </c>
    </row>
    <row r="523" spans="1:21" ht="12" customHeight="1">
      <c r="A523" s="4">
        <v>6417</v>
      </c>
      <c r="B523" s="4">
        <v>45601</v>
      </c>
      <c r="C523" s="5">
        <f>DATE(2012,12,31)-462</f>
        <v>40812</v>
      </c>
      <c r="D523" s="4" t="s">
        <v>30</v>
      </c>
      <c r="E523" s="4">
        <v>47</v>
      </c>
      <c r="F523" s="4">
        <v>945.03</v>
      </c>
      <c r="G523" s="4">
        <v>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1"/>
        <v>40814</v>
      </c>
    </row>
    <row r="524" spans="1:21" ht="12" customHeight="1">
      <c r="A524" s="4">
        <v>6419</v>
      </c>
      <c r="B524" s="4">
        <v>45606</v>
      </c>
      <c r="C524" s="5">
        <f t="shared" ref="C524:C525" si="232">DATE(2012,12,31)-466</f>
        <v>40808</v>
      </c>
      <c r="D524" s="4" t="s">
        <v>63</v>
      </c>
      <c r="E524" s="4">
        <v>38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8.5399999999999991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1"/>
        <v>40810</v>
      </c>
    </row>
    <row r="525" spans="1:21" ht="12" customHeight="1">
      <c r="A525" s="4">
        <v>6420</v>
      </c>
      <c r="B525" s="4">
        <v>45606</v>
      </c>
      <c r="C525" s="5">
        <f t="shared" si="232"/>
        <v>40808</v>
      </c>
      <c r="D525" s="4" t="s">
        <v>63</v>
      </c>
      <c r="E525" s="4">
        <v>24</v>
      </c>
      <c r="F525" s="4">
        <v>136.41999999999999</v>
      </c>
      <c r="G525" s="4">
        <v>0.09</v>
      </c>
      <c r="H525" s="4" t="s">
        <v>22</v>
      </c>
      <c r="I525" s="6">
        <v>-8.3800000000000008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0.56000000000000005</v>
      </c>
      <c r="U525" s="5">
        <f t="shared" ref="U525:U526" si="233">C525+1</f>
        <v>40809</v>
      </c>
    </row>
    <row r="526" spans="1:21" ht="12" customHeight="1">
      <c r="A526" s="4">
        <v>6700</v>
      </c>
      <c r="B526" s="4">
        <v>47714</v>
      </c>
      <c r="C526" s="5">
        <f>DATE(2012,12,31)-662</f>
        <v>40612</v>
      </c>
      <c r="D526" s="4" t="s">
        <v>63</v>
      </c>
      <c r="E526" s="4">
        <v>30</v>
      </c>
      <c r="F526" s="4">
        <v>176.15</v>
      </c>
      <c r="G526" s="4">
        <v>0.01</v>
      </c>
      <c r="H526" s="4" t="s">
        <v>22</v>
      </c>
      <c r="I526" s="6">
        <v>-125.36150000000001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3"/>
        <v>40613</v>
      </c>
    </row>
    <row r="527" spans="1:21" ht="12" customHeight="1">
      <c r="A527" s="4">
        <v>6715</v>
      </c>
      <c r="B527" s="4">
        <v>47846</v>
      </c>
      <c r="C527" s="5">
        <f t="shared" ref="C527:C530" si="234">DATE(2012,12,31)-142</f>
        <v>41132</v>
      </c>
      <c r="D527" s="4" t="s">
        <v>30</v>
      </c>
      <c r="E527" s="4">
        <v>5</v>
      </c>
      <c r="F527" s="4">
        <v>66.430000000000007</v>
      </c>
      <c r="G527" s="4">
        <v>0.01</v>
      </c>
      <c r="H527" s="4" t="s">
        <v>22</v>
      </c>
      <c r="I527" s="6">
        <v>-9.4499999999999993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5">C527+2</f>
        <v>41134</v>
      </c>
    </row>
    <row r="528" spans="1:21" ht="12" customHeight="1">
      <c r="A528" s="4">
        <v>6716</v>
      </c>
      <c r="B528" s="4">
        <v>47846</v>
      </c>
      <c r="C528" s="5">
        <f t="shared" si="234"/>
        <v>41132</v>
      </c>
      <c r="D528" s="4" t="s">
        <v>30</v>
      </c>
      <c r="E528" s="4">
        <v>25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5"/>
        <v>41134</v>
      </c>
    </row>
    <row r="529" spans="1:21" ht="12" customHeight="1">
      <c r="A529" s="4">
        <v>6717</v>
      </c>
      <c r="B529" s="4">
        <v>47846</v>
      </c>
      <c r="C529" s="5">
        <f t="shared" si="234"/>
        <v>41132</v>
      </c>
      <c r="D529" s="4" t="s">
        <v>30</v>
      </c>
      <c r="E529" s="4">
        <v>50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6">C529+1</f>
        <v>41133</v>
      </c>
    </row>
    <row r="530" spans="1:21" ht="12" customHeight="1">
      <c r="A530" s="4">
        <v>6718</v>
      </c>
      <c r="B530" s="4">
        <v>47846</v>
      </c>
      <c r="C530" s="5">
        <f t="shared" si="234"/>
        <v>41132</v>
      </c>
      <c r="D530" s="4" t="s">
        <v>30</v>
      </c>
      <c r="E530" s="4">
        <v>37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6"/>
        <v>41133</v>
      </c>
    </row>
    <row r="531" spans="1:21" ht="12" customHeight="1">
      <c r="A531" s="4">
        <v>6749</v>
      </c>
      <c r="B531" s="4">
        <v>48067</v>
      </c>
      <c r="C531" s="5">
        <f t="shared" ref="C531:C532" si="237">DATE(2012,12,31)-185</f>
        <v>41089</v>
      </c>
      <c r="D531" s="4" t="s">
        <v>21</v>
      </c>
      <c r="E531" s="4">
        <v>31</v>
      </c>
      <c r="F531" s="4">
        <v>3229.66</v>
      </c>
      <c r="G531" s="4">
        <v>0.05</v>
      </c>
      <c r="H531" s="4" t="s">
        <v>56</v>
      </c>
      <c r="I531" s="6">
        <v>695.06099999999992</v>
      </c>
      <c r="J531" s="4">
        <v>125.99</v>
      </c>
      <c r="K531" s="4">
        <v>3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spans="1:21" ht="12" customHeight="1">
      <c r="A532" s="4">
        <v>6750</v>
      </c>
      <c r="B532" s="4">
        <v>48067</v>
      </c>
      <c r="C532" s="5">
        <f t="shared" si="237"/>
        <v>41089</v>
      </c>
      <c r="D532" s="4" t="s">
        <v>21</v>
      </c>
      <c r="E532" s="4">
        <v>24</v>
      </c>
      <c r="F532" s="4">
        <v>4010.9375</v>
      </c>
      <c r="G532" s="4">
        <v>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spans="1:21" ht="12" customHeight="1">
      <c r="A533" s="4">
        <v>6879</v>
      </c>
      <c r="B533" s="4">
        <v>49029</v>
      </c>
      <c r="C533" s="5">
        <f>DATE(2012,12,31)-225</f>
        <v>41049</v>
      </c>
      <c r="D533" s="4" t="s">
        <v>30</v>
      </c>
      <c r="E533" s="4">
        <v>49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spans="1:21" ht="12" customHeight="1">
      <c r="A534" s="4">
        <v>7063</v>
      </c>
      <c r="B534" s="4">
        <v>50404</v>
      </c>
      <c r="C534" s="5">
        <f t="shared" ref="C534:C535" si="238">DATE(2012,12,31)-646</f>
        <v>40628</v>
      </c>
      <c r="D534" s="4" t="s">
        <v>30</v>
      </c>
      <c r="E534" s="4">
        <v>18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spans="1:21" ht="12" customHeight="1">
      <c r="A535" s="4">
        <v>7064</v>
      </c>
      <c r="B535" s="4">
        <v>50404</v>
      </c>
      <c r="C535" s="5">
        <f t="shared" si="238"/>
        <v>40628</v>
      </c>
      <c r="D535" s="4" t="s">
        <v>30</v>
      </c>
      <c r="E535" s="4">
        <v>10</v>
      </c>
      <c r="F535" s="4">
        <v>1961.68</v>
      </c>
      <c r="G535" s="4">
        <v>0.04</v>
      </c>
      <c r="H535" s="4" t="s">
        <v>22</v>
      </c>
      <c r="I535" s="6">
        <v>-367.00200000000001</v>
      </c>
      <c r="J535" s="4">
        <v>182.55</v>
      </c>
      <c r="K535" s="4">
        <v>69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spans="1:21" ht="12" customHeight="1">
      <c r="A536" s="4">
        <v>7116</v>
      </c>
      <c r="B536" s="4">
        <v>50784</v>
      </c>
      <c r="C536" s="5">
        <f>DATE(2012,12,31)-325</f>
        <v>40949</v>
      </c>
      <c r="D536" s="4" t="s">
        <v>30</v>
      </c>
      <c r="E536" s="4">
        <v>20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32.979999999999997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spans="1:21" ht="12" customHeight="1">
      <c r="A537" s="4">
        <v>7161</v>
      </c>
      <c r="B537" s="4">
        <v>51075</v>
      </c>
      <c r="C537" s="5">
        <f>DATE(2012,12,31)-769</f>
        <v>40505</v>
      </c>
      <c r="D537" s="4" t="s">
        <v>45</v>
      </c>
      <c r="E537" s="4">
        <v>43</v>
      </c>
      <c r="F537" s="4">
        <v>1290.2065</v>
      </c>
      <c r="G537" s="4">
        <v>0.06</v>
      </c>
      <c r="H537" s="4" t="s">
        <v>56</v>
      </c>
      <c r="I537" s="6">
        <v>-160.67699999999999</v>
      </c>
      <c r="J537" s="4">
        <v>35.99</v>
      </c>
      <c r="K537" s="4">
        <v>5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39">C537+2</f>
        <v>40507</v>
      </c>
    </row>
    <row r="538" spans="1:21" ht="12" customHeight="1">
      <c r="A538" s="4">
        <v>7209</v>
      </c>
      <c r="B538" s="4">
        <v>51461</v>
      </c>
      <c r="C538" s="5">
        <f>DATE(2012,12,31)-690</f>
        <v>40584</v>
      </c>
      <c r="D538" s="4" t="s">
        <v>45</v>
      </c>
      <c r="E538" s="4">
        <v>43</v>
      </c>
      <c r="F538" s="4">
        <v>858.53</v>
      </c>
      <c r="G538" s="4">
        <v>7.0000000000000007E-2</v>
      </c>
      <c r="H538" s="4" t="s">
        <v>22</v>
      </c>
      <c r="I538" s="6">
        <v>-97.54</v>
      </c>
      <c r="J538" s="4">
        <v>19.989999999999998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39"/>
        <v>40586</v>
      </c>
    </row>
    <row r="539" spans="1:21" ht="12" customHeight="1">
      <c r="A539" s="4">
        <v>7232</v>
      </c>
      <c r="B539" s="4">
        <v>51558</v>
      </c>
      <c r="C539" s="5">
        <f t="shared" ref="C539:C540" si="240">DATE(2012,12,31)-1008</f>
        <v>40266</v>
      </c>
      <c r="D539" s="4" t="s">
        <v>45</v>
      </c>
      <c r="E539" s="4">
        <v>34</v>
      </c>
      <c r="F539" s="4">
        <v>245.4</v>
      </c>
      <c r="G539" s="4">
        <v>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1">C539+0</f>
        <v>40266</v>
      </c>
    </row>
    <row r="540" spans="1:21" ht="12" customHeight="1">
      <c r="A540" s="4">
        <v>7233</v>
      </c>
      <c r="B540" s="4">
        <v>51558</v>
      </c>
      <c r="C540" s="5">
        <f t="shared" si="240"/>
        <v>40266</v>
      </c>
      <c r="D540" s="4" t="s">
        <v>45</v>
      </c>
      <c r="E540" s="4">
        <v>47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0.56000000000000005</v>
      </c>
      <c r="U540" s="5">
        <f t="shared" si="241"/>
        <v>40266</v>
      </c>
    </row>
    <row r="541" spans="1:21" ht="12" customHeight="1">
      <c r="A541" s="4">
        <v>7310</v>
      </c>
      <c r="B541" s="4">
        <v>52130</v>
      </c>
      <c r="C541" s="5">
        <f t="shared" ref="C541:C542" si="242">DATE(2012,12,31)-117</f>
        <v>41157</v>
      </c>
      <c r="D541" s="4" t="s">
        <v>21</v>
      </c>
      <c r="E541" s="4">
        <v>13</v>
      </c>
      <c r="F541" s="4">
        <v>63.33</v>
      </c>
      <c r="G541" s="4">
        <v>0</v>
      </c>
      <c r="H541" s="4" t="s">
        <v>22</v>
      </c>
      <c r="I541" s="6">
        <v>-39.962499999999999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3">C541+2</f>
        <v>41159</v>
      </c>
    </row>
    <row r="542" spans="1:21" ht="12" customHeight="1">
      <c r="A542" s="4">
        <v>7311</v>
      </c>
      <c r="B542" s="4">
        <v>52130</v>
      </c>
      <c r="C542" s="5">
        <f t="shared" si="242"/>
        <v>41157</v>
      </c>
      <c r="D542" s="4" t="s">
        <v>21</v>
      </c>
      <c r="E542" s="4">
        <v>36</v>
      </c>
      <c r="F542" s="4">
        <v>1436.55</v>
      </c>
      <c r="G542" s="4">
        <v>0.1</v>
      </c>
      <c r="H542" s="4" t="s">
        <v>22</v>
      </c>
      <c r="I542" s="6">
        <v>-4.0099999999999909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0.56999999999999995</v>
      </c>
      <c r="U542" s="5">
        <f t="shared" si="243"/>
        <v>41159</v>
      </c>
    </row>
    <row r="543" spans="1:21" ht="12" customHeight="1">
      <c r="A543" s="4">
        <v>7363</v>
      </c>
      <c r="B543" s="4">
        <v>52482</v>
      </c>
      <c r="C543" s="5">
        <f t="shared" ref="C543:C544" si="244">DATE(2012,12,31)-700</f>
        <v>40574</v>
      </c>
      <c r="D543" s="4" t="s">
        <v>78</v>
      </c>
      <c r="E543" s="4">
        <v>21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0.56999999999999995</v>
      </c>
      <c r="U543" s="5">
        <f>C543+0</f>
        <v>40574</v>
      </c>
    </row>
    <row r="544" spans="1:21" ht="12" customHeight="1">
      <c r="A544" s="4">
        <v>7364</v>
      </c>
      <c r="B544" s="4">
        <v>52482</v>
      </c>
      <c r="C544" s="5">
        <f t="shared" si="244"/>
        <v>40574</v>
      </c>
      <c r="D544" s="4" t="s">
        <v>78</v>
      </c>
      <c r="E544" s="4">
        <v>30</v>
      </c>
      <c r="F544" s="4">
        <v>717.21</v>
      </c>
      <c r="G544" s="4">
        <v>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5">C544+2</f>
        <v>40576</v>
      </c>
    </row>
    <row r="545" spans="1:21" ht="12" customHeight="1">
      <c r="A545" s="4">
        <v>7493</v>
      </c>
      <c r="B545" s="4">
        <v>53477</v>
      </c>
      <c r="C545" s="5">
        <f t="shared" ref="C545:C548" si="246">DATE(2012,12,31)-240</f>
        <v>41034</v>
      </c>
      <c r="D545" s="4" t="s">
        <v>30</v>
      </c>
      <c r="E545" s="4">
        <v>32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74.349999999999994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0.56999999999999995</v>
      </c>
      <c r="U545" s="5">
        <f t="shared" si="245"/>
        <v>41036</v>
      </c>
    </row>
    <row r="546" spans="1:21" ht="12" customHeight="1">
      <c r="A546" s="4">
        <v>7494</v>
      </c>
      <c r="B546" s="4">
        <v>53477</v>
      </c>
      <c r="C546" s="5">
        <f t="shared" si="246"/>
        <v>41034</v>
      </c>
      <c r="D546" s="4" t="s">
        <v>30</v>
      </c>
      <c r="E546" s="4">
        <v>27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0.56000000000000005</v>
      </c>
      <c r="U546" s="5">
        <f>C546+1</f>
        <v>41035</v>
      </c>
    </row>
    <row r="547" spans="1:21" ht="12" customHeight="1">
      <c r="A547" s="4">
        <v>7495</v>
      </c>
      <c r="B547" s="4">
        <v>53477</v>
      </c>
      <c r="C547" s="5">
        <f t="shared" si="246"/>
        <v>41034</v>
      </c>
      <c r="D547" s="4" t="s">
        <v>30</v>
      </c>
      <c r="E547" s="4">
        <v>36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7">C547+2</f>
        <v>41036</v>
      </c>
    </row>
    <row r="548" spans="1:21" ht="12" customHeight="1">
      <c r="A548" s="4">
        <v>7496</v>
      </c>
      <c r="B548" s="4">
        <v>53477</v>
      </c>
      <c r="C548" s="5">
        <f t="shared" si="246"/>
        <v>41034</v>
      </c>
      <c r="D548" s="4" t="s">
        <v>30</v>
      </c>
      <c r="E548" s="4">
        <v>28</v>
      </c>
      <c r="F548" s="4">
        <v>4479.16</v>
      </c>
      <c r="G548" s="4">
        <v>7.0000000000000007E-2</v>
      </c>
      <c r="H548" s="4" t="s">
        <v>22</v>
      </c>
      <c r="I548" s="6">
        <v>610.9</v>
      </c>
      <c r="J548" s="4">
        <v>161.55000000000001</v>
      </c>
      <c r="K548" s="4">
        <v>19.989999999999998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7"/>
        <v>41036</v>
      </c>
    </row>
    <row r="549" spans="1:21" ht="12" customHeight="1">
      <c r="A549" s="4">
        <v>7522</v>
      </c>
      <c r="B549" s="4">
        <v>53703</v>
      </c>
      <c r="C549" s="5">
        <f>DATE(2012,12,31)-931</f>
        <v>40343</v>
      </c>
      <c r="D549" s="4" t="s">
        <v>45</v>
      </c>
      <c r="E549" s="4">
        <v>14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19.989999999999998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spans="1:21" ht="12" customHeight="1">
      <c r="A550" s="4">
        <v>7562</v>
      </c>
      <c r="B550" s="4">
        <v>54115</v>
      </c>
      <c r="C550" s="5">
        <f t="shared" ref="C550:C551" si="248">DATE(2012,12,31)-359</f>
        <v>40915</v>
      </c>
      <c r="D550" s="4" t="s">
        <v>21</v>
      </c>
      <c r="E550" s="4">
        <v>24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49">C550+5</f>
        <v>40920</v>
      </c>
    </row>
    <row r="551" spans="1:21" ht="12" customHeight="1">
      <c r="A551" s="4">
        <v>7563</v>
      </c>
      <c r="B551" s="4">
        <v>54115</v>
      </c>
      <c r="C551" s="5">
        <f t="shared" si="248"/>
        <v>40915</v>
      </c>
      <c r="D551" s="4" t="s">
        <v>21</v>
      </c>
      <c r="E551" s="4">
        <v>39</v>
      </c>
      <c r="F551" s="4">
        <v>197.11</v>
      </c>
      <c r="G551" s="4">
        <v>0.03</v>
      </c>
      <c r="H551" s="4" t="s">
        <v>22</v>
      </c>
      <c r="I551" s="6">
        <v>-89.424000000000007</v>
      </c>
      <c r="J551" s="4">
        <v>4.9800000000000004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49"/>
        <v>40920</v>
      </c>
    </row>
    <row r="552" spans="1:21" ht="12" customHeight="1">
      <c r="A552" s="4">
        <v>7607</v>
      </c>
      <c r="B552" s="4">
        <v>54437</v>
      </c>
      <c r="C552" s="5">
        <f>DATE(2012,12,31)-743</f>
        <v>40531</v>
      </c>
      <c r="D552" s="4" t="s">
        <v>30</v>
      </c>
      <c r="E552" s="4">
        <v>15</v>
      </c>
      <c r="F552" s="4">
        <v>653.87099999999998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spans="1:21" ht="12" customHeight="1">
      <c r="A553" s="4">
        <v>7616</v>
      </c>
      <c r="B553" s="4">
        <v>54501</v>
      </c>
      <c r="C553" s="5">
        <f t="shared" ref="C553:C555" si="250">DATE(2012,12,31)-32</f>
        <v>41242</v>
      </c>
      <c r="D553" s="4" t="s">
        <v>78</v>
      </c>
      <c r="E553" s="4">
        <v>36</v>
      </c>
      <c r="F553" s="4">
        <v>2039.0820000000001</v>
      </c>
      <c r="G553" s="4">
        <v>0.01</v>
      </c>
      <c r="H553" s="4" t="s">
        <v>22</v>
      </c>
      <c r="I553" s="6">
        <v>481.69800000000004</v>
      </c>
      <c r="J553" s="4">
        <v>65.989999999999995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0.56999999999999995</v>
      </c>
      <c r="U553" s="5">
        <f>C553+1</f>
        <v>41243</v>
      </c>
    </row>
    <row r="554" spans="1:21" ht="12" customHeight="1">
      <c r="A554" s="4">
        <v>7617</v>
      </c>
      <c r="B554" s="4">
        <v>54501</v>
      </c>
      <c r="C554" s="5">
        <f t="shared" si="250"/>
        <v>41242</v>
      </c>
      <c r="D554" s="4" t="s">
        <v>78</v>
      </c>
      <c r="E554" s="4">
        <v>16</v>
      </c>
      <c r="F554" s="4">
        <v>225.46</v>
      </c>
      <c r="G554" s="4">
        <v>0.09</v>
      </c>
      <c r="H554" s="4" t="s">
        <v>22</v>
      </c>
      <c r="I554" s="6">
        <v>-33.025199999999998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1">C554+2</f>
        <v>41244</v>
      </c>
    </row>
    <row r="555" spans="1:21" ht="12" customHeight="1">
      <c r="A555" s="4">
        <v>7618</v>
      </c>
      <c r="B555" s="4">
        <v>54501</v>
      </c>
      <c r="C555" s="5">
        <f t="shared" si="250"/>
        <v>41242</v>
      </c>
      <c r="D555" s="4" t="s">
        <v>78</v>
      </c>
      <c r="E555" s="4">
        <v>38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1"/>
        <v>41244</v>
      </c>
    </row>
    <row r="556" spans="1:21" ht="12" customHeight="1">
      <c r="A556" s="4">
        <v>7713</v>
      </c>
      <c r="B556" s="4">
        <v>55271</v>
      </c>
      <c r="C556" s="5">
        <f>DATE(2012,12,31)-661</f>
        <v>40613</v>
      </c>
      <c r="D556" s="4" t="s">
        <v>63</v>
      </c>
      <c r="E556" s="4">
        <v>16</v>
      </c>
      <c r="F556" s="4">
        <v>1648.33</v>
      </c>
      <c r="G556" s="4">
        <v>7.0000000000000007E-2</v>
      </c>
      <c r="H556" s="4" t="s">
        <v>31</v>
      </c>
      <c r="I556" s="6">
        <v>-210.14</v>
      </c>
      <c r="J556" s="4">
        <v>100.89</v>
      </c>
      <c r="K556" s="4">
        <v>42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1"/>
        <v>40615</v>
      </c>
    </row>
    <row r="557" spans="1:21" ht="12" customHeight="1">
      <c r="A557" s="4">
        <v>7722</v>
      </c>
      <c r="B557" s="4">
        <v>55331</v>
      </c>
      <c r="C557" s="5">
        <f>DATE(2012,12,31)-749</f>
        <v>40525</v>
      </c>
      <c r="D557" s="4" t="s">
        <v>30</v>
      </c>
      <c r="E557" s="4">
        <v>13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1"/>
        <v>40527</v>
      </c>
    </row>
    <row r="558" spans="1:21" ht="12" customHeight="1">
      <c r="A558" s="4">
        <v>7769</v>
      </c>
      <c r="B558" s="4">
        <v>55618</v>
      </c>
      <c r="C558" s="5">
        <f>DATE(2012,12,31)-345</f>
        <v>40929</v>
      </c>
      <c r="D558" s="4" t="s">
        <v>63</v>
      </c>
      <c r="E558" s="4">
        <v>48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0.56999999999999995</v>
      </c>
      <c r="U558" s="5">
        <f>C558+1</f>
        <v>40930</v>
      </c>
    </row>
    <row r="559" spans="1:21" ht="12" customHeight="1">
      <c r="A559" s="4">
        <v>7924</v>
      </c>
      <c r="B559" s="4">
        <v>56645</v>
      </c>
      <c r="C559" s="5">
        <f t="shared" ref="C559:C560" si="252">DATE(2012,12,31)-360</f>
        <v>40914</v>
      </c>
      <c r="D559" s="4" t="s">
        <v>21</v>
      </c>
      <c r="E559" s="4">
        <v>46</v>
      </c>
      <c r="F559" s="4">
        <v>1483.49</v>
      </c>
      <c r="G559" s="4">
        <v>0.02</v>
      </c>
      <c r="H559" s="4" t="s">
        <v>22</v>
      </c>
      <c r="I559" s="6">
        <v>65.819999999999993</v>
      </c>
      <c r="J559" s="4">
        <v>30.98</v>
      </c>
      <c r="K559" s="4">
        <v>17.079999999999998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spans="1:21" ht="12" customHeight="1">
      <c r="A560" s="4">
        <v>7925</v>
      </c>
      <c r="B560" s="4">
        <v>56645</v>
      </c>
      <c r="C560" s="5">
        <f t="shared" si="252"/>
        <v>40914</v>
      </c>
      <c r="D560" s="4" t="s">
        <v>21</v>
      </c>
      <c r="E560" s="4">
        <v>42</v>
      </c>
      <c r="F560" s="4">
        <v>14729.36</v>
      </c>
      <c r="G560" s="4">
        <v>7.0000000000000007E-2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spans="1:21" ht="12" customHeight="1">
      <c r="A561" s="4">
        <v>8001</v>
      </c>
      <c r="B561" s="4">
        <v>57159</v>
      </c>
      <c r="C561" s="5">
        <f t="shared" ref="C561:C562" si="253">DATE(2012,12,31)-1053</f>
        <v>40221</v>
      </c>
      <c r="D561" s="4" t="s">
        <v>78</v>
      </c>
      <c r="E561" s="4">
        <v>17</v>
      </c>
      <c r="F561" s="4">
        <v>4621.1000000000004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spans="1:21" ht="12" customHeight="1">
      <c r="A562" s="4">
        <v>8002</v>
      </c>
      <c r="B562" s="4">
        <v>57159</v>
      </c>
      <c r="C562" s="5">
        <f t="shared" si="253"/>
        <v>40221</v>
      </c>
      <c r="D562" s="4" t="s">
        <v>78</v>
      </c>
      <c r="E562" s="4">
        <v>42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4">C562+0</f>
        <v>40221</v>
      </c>
    </row>
    <row r="563" spans="1:21" ht="12" customHeight="1">
      <c r="A563" s="4">
        <v>8114</v>
      </c>
      <c r="B563" s="4">
        <v>57922</v>
      </c>
      <c r="C563" s="5">
        <f>DATE(2012,12,31)-692</f>
        <v>40582</v>
      </c>
      <c r="D563" s="4" t="s">
        <v>78</v>
      </c>
      <c r="E563" s="4">
        <v>50</v>
      </c>
      <c r="F563" s="4">
        <v>343.26</v>
      </c>
      <c r="G563" s="4">
        <v>0.04</v>
      </c>
      <c r="H563" s="4" t="s">
        <v>22</v>
      </c>
      <c r="I563" s="6">
        <v>-287.27999999999997</v>
      </c>
      <c r="J563" s="4">
        <v>6.84</v>
      </c>
      <c r="K563" s="4">
        <v>8.3699999999999992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0.57999999999999996</v>
      </c>
      <c r="U563" s="5">
        <f t="shared" si="254"/>
        <v>40582</v>
      </c>
    </row>
    <row r="564" spans="1:21" ht="12" customHeight="1">
      <c r="A564" s="4">
        <v>8132</v>
      </c>
      <c r="B564" s="4">
        <v>58117</v>
      </c>
      <c r="C564" s="5">
        <f>DATE(2012,12,31)-680</f>
        <v>40594</v>
      </c>
      <c r="D564" s="4" t="s">
        <v>78</v>
      </c>
      <c r="E564" s="4">
        <v>42</v>
      </c>
      <c r="F564" s="4">
        <v>134.86000000000001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spans="1:21" ht="12" customHeight="1">
      <c r="A565" s="4">
        <v>8149</v>
      </c>
      <c r="B565" s="4">
        <v>58278</v>
      </c>
      <c r="C565" s="5">
        <f t="shared" ref="C565:C566" si="255">DATE(2012,12,31)-112</f>
        <v>41162</v>
      </c>
      <c r="D565" s="4" t="s">
        <v>30</v>
      </c>
      <c r="E565" s="4">
        <v>37</v>
      </c>
      <c r="F565" s="4">
        <v>3512.9</v>
      </c>
      <c r="G565" s="4">
        <v>0.08</v>
      </c>
      <c r="H565" s="4" t="s">
        <v>22</v>
      </c>
      <c r="I565" s="6">
        <v>2093.6999999999998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spans="1:21" ht="12" customHeight="1">
      <c r="A566" s="4">
        <v>8150</v>
      </c>
      <c r="B566" s="4">
        <v>58278</v>
      </c>
      <c r="C566" s="5">
        <f t="shared" si="255"/>
        <v>41162</v>
      </c>
      <c r="D566" s="4" t="s">
        <v>30</v>
      </c>
      <c r="E566" s="4">
        <v>4</v>
      </c>
      <c r="F566" s="4">
        <v>281.5455</v>
      </c>
      <c r="G566" s="4">
        <v>0.1</v>
      </c>
      <c r="H566" s="4" t="s">
        <v>22</v>
      </c>
      <c r="I566" s="6">
        <v>-434.55500000000001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spans="1:21" ht="12" customHeight="1">
      <c r="A567" s="4">
        <v>8185</v>
      </c>
      <c r="B567" s="4">
        <v>58502</v>
      </c>
      <c r="C567" s="5">
        <f>DATE(2012,12,31)-1053</f>
        <v>40221</v>
      </c>
      <c r="D567" s="4" t="s">
        <v>78</v>
      </c>
      <c r="E567" s="4">
        <v>23</v>
      </c>
      <c r="F567" s="4">
        <v>5186.3100000000004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6">C567+2</f>
        <v>40223</v>
      </c>
    </row>
    <row r="568" spans="1:21" ht="12" customHeight="1">
      <c r="A568" s="4">
        <v>8225</v>
      </c>
      <c r="B568" s="4">
        <v>58788</v>
      </c>
      <c r="C568" s="5">
        <f>DATE(2012,12,31)-1064</f>
        <v>40210</v>
      </c>
      <c r="D568" s="4" t="s">
        <v>21</v>
      </c>
      <c r="E568" s="4">
        <v>31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6"/>
        <v>40212</v>
      </c>
    </row>
    <row r="569" spans="1:21" ht="12" customHeight="1">
      <c r="A569" s="4">
        <v>8245</v>
      </c>
      <c r="B569" s="4">
        <v>58947</v>
      </c>
      <c r="C569" s="5">
        <f t="shared" ref="C569:C570" si="257">DATE(2012,12,31)-462</f>
        <v>40812</v>
      </c>
      <c r="D569" s="4" t="s">
        <v>45</v>
      </c>
      <c r="E569" s="4">
        <v>48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spans="1:21" ht="12" customHeight="1">
      <c r="A570" s="4">
        <v>8246</v>
      </c>
      <c r="B570" s="4">
        <v>58947</v>
      </c>
      <c r="C570" s="5">
        <f t="shared" si="257"/>
        <v>40812</v>
      </c>
      <c r="D570" s="4" t="s">
        <v>45</v>
      </c>
      <c r="E570" s="4">
        <v>28</v>
      </c>
      <c r="F570" s="4">
        <v>135.72</v>
      </c>
      <c r="G570" s="4">
        <v>0.09</v>
      </c>
      <c r="H570" s="4" t="s">
        <v>22</v>
      </c>
      <c r="I570" s="6">
        <v>-67.790000000000006</v>
      </c>
      <c r="J570" s="4">
        <v>4.9800000000000004</v>
      </c>
      <c r="K570" s="4">
        <v>5.0199999999999996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spans="1:21" ht="12" customHeight="1">
      <c r="A571" s="4">
        <v>8263</v>
      </c>
      <c r="B571" s="4">
        <v>59074</v>
      </c>
      <c r="C571" s="5">
        <f>DATE(2012,12,31)-872</f>
        <v>40402</v>
      </c>
      <c r="D571" s="4" t="s">
        <v>21</v>
      </c>
      <c r="E571" s="4">
        <v>37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8">C571+2</f>
        <v>40404</v>
      </c>
    </row>
    <row r="572" spans="1:21" ht="12" customHeight="1">
      <c r="A572" s="4">
        <v>8292</v>
      </c>
      <c r="B572" s="4">
        <v>59233</v>
      </c>
      <c r="C572" s="5">
        <f t="shared" ref="C572:C573" si="259">DATE(2012,12,31)-864</f>
        <v>40410</v>
      </c>
      <c r="D572" s="4" t="s">
        <v>30</v>
      </c>
      <c r="E572" s="4">
        <v>3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35.840000000000003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8"/>
        <v>40412</v>
      </c>
    </row>
    <row r="573" spans="1:21" ht="12" customHeight="1">
      <c r="A573" s="4">
        <v>8293</v>
      </c>
      <c r="B573" s="4">
        <v>59233</v>
      </c>
      <c r="C573" s="5">
        <f t="shared" si="259"/>
        <v>40410</v>
      </c>
      <c r="D573" s="4" t="s">
        <v>30</v>
      </c>
      <c r="E573" s="4">
        <v>30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spans="1:21" ht="12" customHeight="1">
      <c r="A574" s="4">
        <v>8316</v>
      </c>
      <c r="B574" s="4">
        <v>59425</v>
      </c>
      <c r="C574" s="5">
        <f t="shared" ref="C574:C575" si="260">DATE(2012,12,31)-228</f>
        <v>41046</v>
      </c>
      <c r="D574" s="4" t="s">
        <v>63</v>
      </c>
      <c r="E574" s="4">
        <v>24</v>
      </c>
      <c r="F574" s="4">
        <v>2094.12</v>
      </c>
      <c r="G574" s="4">
        <v>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spans="1:21" ht="12" customHeight="1">
      <c r="A575" s="4">
        <v>8317</v>
      </c>
      <c r="B575" s="4">
        <v>59425</v>
      </c>
      <c r="C575" s="5">
        <f t="shared" si="260"/>
        <v>41046</v>
      </c>
      <c r="D575" s="4" t="s">
        <v>63</v>
      </c>
      <c r="E575" s="4">
        <v>46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spans="1:21" ht="12" customHeight="1">
      <c r="A576" s="4">
        <v>8360</v>
      </c>
      <c r="B576" s="4">
        <v>59750</v>
      </c>
      <c r="C576" s="5">
        <f>DATE(2012,12,31)-906</f>
        <v>40368</v>
      </c>
      <c r="D576" s="4" t="s">
        <v>21</v>
      </c>
      <c r="E576" s="4">
        <v>34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spans="1:21" ht="12" customHeight="1">
      <c r="A577" s="4">
        <v>7</v>
      </c>
      <c r="B577" s="4">
        <v>35</v>
      </c>
      <c r="C577" s="5">
        <f t="shared" ref="C577:C578" si="261">DATE(2012,12,31)-436</f>
        <v>40838</v>
      </c>
      <c r="D577" s="4" t="s">
        <v>45</v>
      </c>
      <c r="E577" s="4">
        <v>30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spans="1:21" ht="12" customHeight="1">
      <c r="A578" s="4">
        <v>8</v>
      </c>
      <c r="B578" s="4">
        <v>35</v>
      </c>
      <c r="C578" s="5">
        <f t="shared" si="261"/>
        <v>40838</v>
      </c>
      <c r="D578" s="4" t="s">
        <v>45</v>
      </c>
      <c r="E578" s="4">
        <v>14</v>
      </c>
      <c r="F578" s="4">
        <v>1892.848</v>
      </c>
      <c r="G578" s="4">
        <v>0.01</v>
      </c>
      <c r="H578" s="4" t="s">
        <v>22</v>
      </c>
      <c r="I578" s="6">
        <v>48.987000000000002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0.57999999999999996</v>
      </c>
      <c r="U578" s="5">
        <f>C578+2</f>
        <v>40840</v>
      </c>
    </row>
    <row r="579" spans="1:21" ht="12" customHeight="1">
      <c r="A579" s="4">
        <v>51</v>
      </c>
      <c r="B579" s="4">
        <v>294</v>
      </c>
      <c r="C579" s="5">
        <f>DATE(2012,12,31)-900</f>
        <v>40374</v>
      </c>
      <c r="D579" s="4" t="s">
        <v>63</v>
      </c>
      <c r="E579" s="4">
        <v>35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19.989999999999998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2">C579+1</f>
        <v>40375</v>
      </c>
    </row>
    <row r="580" spans="1:21" ht="12" customHeight="1">
      <c r="A580" s="4">
        <v>76</v>
      </c>
      <c r="B580" s="4">
        <v>450</v>
      </c>
      <c r="C580" s="5">
        <f t="shared" ref="C580:C581" si="263">DATE(2012,12,31)-668</f>
        <v>40606</v>
      </c>
      <c r="D580" s="4" t="s">
        <v>45</v>
      </c>
      <c r="E580" s="4">
        <v>29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0.56000000000000005</v>
      </c>
      <c r="U580" s="5">
        <f t="shared" si="262"/>
        <v>40607</v>
      </c>
    </row>
    <row r="581" spans="1:21" ht="12" customHeight="1">
      <c r="A581" s="4">
        <v>77</v>
      </c>
      <c r="B581" s="4">
        <v>450</v>
      </c>
      <c r="C581" s="5">
        <f t="shared" si="263"/>
        <v>40606</v>
      </c>
      <c r="D581" s="4" t="s">
        <v>45</v>
      </c>
      <c r="E581" s="4">
        <v>35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spans="1:21" ht="12" customHeight="1">
      <c r="A582" s="4">
        <v>333</v>
      </c>
      <c r="B582" s="4">
        <v>2279</v>
      </c>
      <c r="C582" s="5">
        <f t="shared" ref="C582:C583" si="264">DATE(2012,12,31)-1043</f>
        <v>40231</v>
      </c>
      <c r="D582" s="4" t="s">
        <v>63</v>
      </c>
      <c r="E582" s="4">
        <v>49</v>
      </c>
      <c r="F582" s="4">
        <v>4577.18</v>
      </c>
      <c r="G582" s="4">
        <v>0</v>
      </c>
      <c r="H582" s="4" t="s">
        <v>31</v>
      </c>
      <c r="I582" s="6">
        <v>205.83</v>
      </c>
      <c r="J582" s="4">
        <v>90.98</v>
      </c>
      <c r="K582" s="4">
        <v>30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spans="1:21" ht="12" customHeight="1">
      <c r="A583" s="4">
        <v>334</v>
      </c>
      <c r="B583" s="4">
        <v>2279</v>
      </c>
      <c r="C583" s="5">
        <f t="shared" si="264"/>
        <v>40231</v>
      </c>
      <c r="D583" s="4" t="s">
        <v>63</v>
      </c>
      <c r="E583" s="4">
        <v>39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5">C583+2</f>
        <v>40233</v>
      </c>
    </row>
    <row r="584" spans="1:21" ht="12" customHeight="1">
      <c r="A584" s="4">
        <v>353</v>
      </c>
      <c r="B584" s="4">
        <v>2465</v>
      </c>
      <c r="C584" s="5">
        <f>DATE(2012,12,31)-557</f>
        <v>40717</v>
      </c>
      <c r="D584" s="4" t="s">
        <v>78</v>
      </c>
      <c r="E584" s="4">
        <v>28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39.479999999999997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5"/>
        <v>40719</v>
      </c>
    </row>
    <row r="585" spans="1:21" ht="12" customHeight="1">
      <c r="A585" s="4">
        <v>431</v>
      </c>
      <c r="B585" s="4">
        <v>2883</v>
      </c>
      <c r="C585" s="5">
        <f>DATE(2012,12,31)-709</f>
        <v>40565</v>
      </c>
      <c r="D585" s="4" t="s">
        <v>21</v>
      </c>
      <c r="E585" s="4">
        <v>34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5"/>
        <v>40567</v>
      </c>
    </row>
    <row r="586" spans="1:21" ht="12" customHeight="1">
      <c r="A586" s="4">
        <v>485</v>
      </c>
      <c r="B586" s="4">
        <v>3362</v>
      </c>
      <c r="C586" s="5">
        <f t="shared" ref="C586:C587" si="266">DATE(2012,12,31)-522</f>
        <v>40752</v>
      </c>
      <c r="D586" s="4" t="s">
        <v>21</v>
      </c>
      <c r="E586" s="4">
        <v>40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spans="1:21" ht="12" customHeight="1">
      <c r="A587" s="4">
        <v>486</v>
      </c>
      <c r="B587" s="4">
        <v>3362</v>
      </c>
      <c r="C587" s="5">
        <f t="shared" si="266"/>
        <v>40752</v>
      </c>
      <c r="D587" s="4" t="s">
        <v>21</v>
      </c>
      <c r="E587" s="4">
        <v>50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spans="1:21" ht="12" customHeight="1">
      <c r="A588" s="4">
        <v>739</v>
      </c>
      <c r="B588" s="4">
        <v>5318</v>
      </c>
      <c r="C588" s="5">
        <f t="shared" ref="C588:C589" si="267">DATE(2012,12,31)-1003</f>
        <v>40271</v>
      </c>
      <c r="D588" s="4" t="s">
        <v>30</v>
      </c>
      <c r="E588" s="4">
        <v>8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0.55000000000000004</v>
      </c>
      <c r="U588" s="5">
        <f>C588+2</f>
        <v>40273</v>
      </c>
    </row>
    <row r="589" spans="1:21" ht="12" customHeight="1">
      <c r="A589" s="4">
        <v>740</v>
      </c>
      <c r="B589" s="4">
        <v>5318</v>
      </c>
      <c r="C589" s="5">
        <f t="shared" si="267"/>
        <v>40271</v>
      </c>
      <c r="D589" s="4" t="s">
        <v>30</v>
      </c>
      <c r="E589" s="4">
        <v>29</v>
      </c>
      <c r="F589" s="4">
        <v>5010.7415000000001</v>
      </c>
      <c r="G589" s="4">
        <v>0.03</v>
      </c>
      <c r="H589" s="4" t="s">
        <v>56</v>
      </c>
      <c r="I589" s="6">
        <v>1196.3699999999999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8">C589+1</f>
        <v>40272</v>
      </c>
    </row>
    <row r="590" spans="1:21" ht="12" customHeight="1">
      <c r="A590" s="4">
        <v>835</v>
      </c>
      <c r="B590" s="4">
        <v>5988</v>
      </c>
      <c r="C590" s="5">
        <f>DATE(2012,12,31)-771</f>
        <v>40503</v>
      </c>
      <c r="D590" s="4" t="s">
        <v>45</v>
      </c>
      <c r="E590" s="4">
        <v>40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8"/>
        <v>40504</v>
      </c>
    </row>
    <row r="591" spans="1:21" ht="12" customHeight="1">
      <c r="A591" s="4">
        <v>851</v>
      </c>
      <c r="B591" s="4">
        <v>6115</v>
      </c>
      <c r="C591" s="5">
        <f>DATE(2012,12,31)-842</f>
        <v>40432</v>
      </c>
      <c r="D591" s="4" t="s">
        <v>63</v>
      </c>
      <c r="E591" s="4">
        <v>25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8"/>
        <v>40433</v>
      </c>
    </row>
    <row r="592" spans="1:21" ht="12" customHeight="1">
      <c r="A592" s="4">
        <v>882</v>
      </c>
      <c r="B592" s="4">
        <v>6337</v>
      </c>
      <c r="C592" s="5">
        <f t="shared" ref="C592:C593" si="269">DATE(2012,12,31)-488</f>
        <v>40786</v>
      </c>
      <c r="D592" s="4" t="s">
        <v>45</v>
      </c>
      <c r="E592" s="4">
        <v>48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70.709999999999994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spans="1:21" ht="12" customHeight="1">
      <c r="A593" s="4">
        <v>883</v>
      </c>
      <c r="B593" s="4">
        <v>6337</v>
      </c>
      <c r="C593" s="5">
        <f t="shared" si="269"/>
        <v>40786</v>
      </c>
      <c r="D593" s="4" t="s">
        <v>45</v>
      </c>
      <c r="E593" s="4">
        <v>1</v>
      </c>
      <c r="F593" s="4">
        <v>449.42</v>
      </c>
      <c r="G593" s="4">
        <v>7.0000000000000007E-2</v>
      </c>
      <c r="H593" s="4" t="s">
        <v>31</v>
      </c>
      <c r="I593" s="6">
        <v>-261.61200000000002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spans="1:21" ht="12" customHeight="1">
      <c r="A594" s="4">
        <v>1029</v>
      </c>
      <c r="B594" s="4">
        <v>7489</v>
      </c>
      <c r="C594" s="5">
        <f>DATE(2012,12,31)-823</f>
        <v>40451</v>
      </c>
      <c r="D594" s="4" t="s">
        <v>78</v>
      </c>
      <c r="E594" s="4">
        <v>38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spans="1:21" ht="12" customHeight="1">
      <c r="A595" s="4">
        <v>1083</v>
      </c>
      <c r="B595" s="4">
        <v>7968</v>
      </c>
      <c r="C595" s="5">
        <f>DATE(2012,12,31)-838</f>
        <v>40436</v>
      </c>
      <c r="D595" s="4" t="s">
        <v>21</v>
      </c>
      <c r="E595" s="4">
        <v>10</v>
      </c>
      <c r="F595" s="4">
        <v>1449.21</v>
      </c>
      <c r="G595" s="4">
        <v>0.06</v>
      </c>
      <c r="H595" s="4" t="s">
        <v>31</v>
      </c>
      <c r="I595" s="6">
        <v>-270</v>
      </c>
      <c r="J595" s="4">
        <v>150.97999999999999</v>
      </c>
      <c r="K595" s="4">
        <v>30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spans="1:21" ht="12" customHeight="1">
      <c r="A596" s="4">
        <v>1122</v>
      </c>
      <c r="B596" s="4">
        <v>8227</v>
      </c>
      <c r="C596" s="5">
        <f>DATE(2012,12,31)-1086</f>
        <v>40188</v>
      </c>
      <c r="D596" s="4" t="s">
        <v>45</v>
      </c>
      <c r="E596" s="4">
        <v>32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4.7699999999999996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0">C596+1</f>
        <v>40189</v>
      </c>
    </row>
    <row r="597" spans="1:21" ht="12" customHeight="1">
      <c r="A597" s="4">
        <v>1255</v>
      </c>
      <c r="B597" s="4">
        <v>9123</v>
      </c>
      <c r="C597" s="5">
        <f>DATE(2012,12,31)-919</f>
        <v>40355</v>
      </c>
      <c r="D597" s="4" t="s">
        <v>78</v>
      </c>
      <c r="E597" s="4">
        <v>27</v>
      </c>
      <c r="F597" s="4">
        <v>384.9</v>
      </c>
      <c r="G597" s="4">
        <v>7.0000000000000007E-2</v>
      </c>
      <c r="H597" s="4" t="s">
        <v>56</v>
      </c>
      <c r="I597" s="6">
        <v>-108.28</v>
      </c>
      <c r="J597" s="4">
        <v>14.03</v>
      </c>
      <c r="K597" s="4">
        <v>9.3699999999999992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0.56000000000000005</v>
      </c>
      <c r="U597" s="5">
        <f t="shared" si="270"/>
        <v>40356</v>
      </c>
    </row>
    <row r="598" spans="1:21" ht="12" customHeight="1">
      <c r="A598" s="4">
        <v>1339</v>
      </c>
      <c r="B598" s="4">
        <v>9792</v>
      </c>
      <c r="C598" s="5">
        <f>DATE(2012,12,31)-527</f>
        <v>40747</v>
      </c>
      <c r="D598" s="4" t="s">
        <v>21</v>
      </c>
      <c r="E598" s="4">
        <v>14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spans="1:21" ht="12" customHeight="1">
      <c r="A599" s="4">
        <v>1352</v>
      </c>
      <c r="B599" s="4">
        <v>9860</v>
      </c>
      <c r="C599" s="5">
        <f>DATE(2012,12,31)-813</f>
        <v>40461</v>
      </c>
      <c r="D599" s="4" t="s">
        <v>78</v>
      </c>
      <c r="E599" s="4">
        <v>43</v>
      </c>
      <c r="F599" s="4">
        <v>319.69</v>
      </c>
      <c r="G599" s="4">
        <v>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spans="1:21" ht="12" customHeight="1">
      <c r="A600" s="4">
        <v>1436</v>
      </c>
      <c r="B600" s="4">
        <v>10369</v>
      </c>
      <c r="C600" s="5">
        <f t="shared" ref="C600:C601" si="271">DATE(2012,12,31)-418</f>
        <v>40856</v>
      </c>
      <c r="D600" s="4" t="s">
        <v>21</v>
      </c>
      <c r="E600" s="4">
        <v>4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spans="1:21" ht="12" customHeight="1">
      <c r="A601" s="4">
        <v>1437</v>
      </c>
      <c r="B601" s="4">
        <v>10369</v>
      </c>
      <c r="C601" s="5">
        <f t="shared" si="271"/>
        <v>40856</v>
      </c>
      <c r="D601" s="4" t="s">
        <v>21</v>
      </c>
      <c r="E601" s="4">
        <v>23</v>
      </c>
      <c r="F601" s="4">
        <v>683.68</v>
      </c>
      <c r="G601" s="4">
        <v>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spans="1:21" ht="12" customHeight="1">
      <c r="A602" s="4">
        <v>1626</v>
      </c>
      <c r="B602" s="4">
        <v>11776</v>
      </c>
      <c r="C602" s="5">
        <f>DATE(2012,12,31)-311</f>
        <v>40963</v>
      </c>
      <c r="D602" s="4" t="s">
        <v>21</v>
      </c>
      <c r="E602" s="4">
        <v>40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spans="1:21" ht="12" customHeight="1">
      <c r="A603" s="4">
        <v>1631</v>
      </c>
      <c r="B603" s="4">
        <v>11782</v>
      </c>
      <c r="C603" s="5">
        <f t="shared" ref="C603:C604" si="272">DATE(2012,12,31)-156</f>
        <v>41118</v>
      </c>
      <c r="D603" s="4" t="s">
        <v>21</v>
      </c>
      <c r="E603" s="4">
        <v>46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4.9800000000000004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spans="1:21" ht="12" customHeight="1">
      <c r="A604" s="4">
        <v>1632</v>
      </c>
      <c r="B604" s="4">
        <v>11782</v>
      </c>
      <c r="C604" s="5">
        <f t="shared" si="272"/>
        <v>41118</v>
      </c>
      <c r="D604" s="4" t="s">
        <v>21</v>
      </c>
      <c r="E604" s="4">
        <v>27</v>
      </c>
      <c r="F604" s="4">
        <v>1541.7809999999999</v>
      </c>
      <c r="G604" s="4">
        <v>7.0000000000000007E-2</v>
      </c>
      <c r="H604" s="4" t="s">
        <v>22</v>
      </c>
      <c r="I604" s="6">
        <v>14.346</v>
      </c>
      <c r="J604" s="4">
        <v>66.989999999999995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spans="1:21" ht="12" customHeight="1">
      <c r="A605" s="4">
        <v>1690</v>
      </c>
      <c r="B605" s="4">
        <v>12199</v>
      </c>
      <c r="C605" s="5">
        <f t="shared" ref="C605:C606" si="273">DATE(2012,12,31)-383</f>
        <v>40891</v>
      </c>
      <c r="D605" s="4" t="s">
        <v>21</v>
      </c>
      <c r="E605" s="4">
        <v>2</v>
      </c>
      <c r="F605" s="4">
        <v>19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spans="1:21" ht="12" customHeight="1">
      <c r="A606" s="4">
        <v>1691</v>
      </c>
      <c r="B606" s="4">
        <v>12199</v>
      </c>
      <c r="C606" s="5">
        <f t="shared" si="273"/>
        <v>40891</v>
      </c>
      <c r="D606" s="4" t="s">
        <v>21</v>
      </c>
      <c r="E606" s="4">
        <v>50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spans="1:21" ht="12" customHeight="1">
      <c r="A607" s="4">
        <v>2004</v>
      </c>
      <c r="B607" s="4">
        <v>14275</v>
      </c>
      <c r="C607" s="5">
        <f t="shared" ref="C607:C608" si="274">DATE(2012,12,31)-932</f>
        <v>40342</v>
      </c>
      <c r="D607" s="4" t="s">
        <v>21</v>
      </c>
      <c r="E607" s="4">
        <v>20</v>
      </c>
      <c r="F607" s="4">
        <v>42.22</v>
      </c>
      <c r="G607" s="4">
        <v>0.04</v>
      </c>
      <c r="H607" s="4" t="s">
        <v>22</v>
      </c>
      <c r="I607" s="6">
        <v>-7.7279999999999998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5">C607+2</f>
        <v>40344</v>
      </c>
    </row>
    <row r="608" spans="1:21" ht="12" customHeight="1">
      <c r="A608" s="4">
        <v>2005</v>
      </c>
      <c r="B608" s="4">
        <v>14275</v>
      </c>
      <c r="C608" s="5">
        <f t="shared" si="274"/>
        <v>40342</v>
      </c>
      <c r="D608" s="4" t="s">
        <v>21</v>
      </c>
      <c r="E608" s="4">
        <v>4</v>
      </c>
      <c r="F608" s="4">
        <v>653.44000000000005</v>
      </c>
      <c r="G608" s="4">
        <v>0.06</v>
      </c>
      <c r="H608" s="4" t="s">
        <v>31</v>
      </c>
      <c r="I608" s="6">
        <v>-187.75</v>
      </c>
      <c r="J608" s="4">
        <v>160.97999999999999</v>
      </c>
      <c r="K608" s="4">
        <v>30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5"/>
        <v>40344</v>
      </c>
    </row>
    <row r="609" spans="1:21" ht="12" customHeight="1">
      <c r="A609" s="4">
        <v>2043</v>
      </c>
      <c r="B609" s="4">
        <v>14535</v>
      </c>
      <c r="C609" s="5">
        <f>DATE(2012,12,31)-822</f>
        <v>40452</v>
      </c>
      <c r="D609" s="4" t="s">
        <v>45</v>
      </c>
      <c r="E609" s="4">
        <v>22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spans="1:21" ht="12" customHeight="1">
      <c r="A610" s="4">
        <v>2145</v>
      </c>
      <c r="B610" s="4">
        <v>15329</v>
      </c>
      <c r="C610" s="5">
        <f>DATE(2012,12,31)-248</f>
        <v>41026</v>
      </c>
      <c r="D610" s="4" t="s">
        <v>30</v>
      </c>
      <c r="E610" s="4">
        <v>34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spans="1:21" ht="12" customHeight="1">
      <c r="A611" s="4">
        <v>2169</v>
      </c>
      <c r="B611" s="4">
        <v>15621</v>
      </c>
      <c r="C611" s="5">
        <f t="shared" ref="C611:C612" si="276">DATE(2012,12,31)-464</f>
        <v>40810</v>
      </c>
      <c r="D611" s="4" t="s">
        <v>78</v>
      </c>
      <c r="E611" s="4">
        <v>18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spans="1:21" ht="12" customHeight="1">
      <c r="A612" s="4">
        <v>2170</v>
      </c>
      <c r="B612" s="4">
        <v>15621</v>
      </c>
      <c r="C612" s="5">
        <f t="shared" si="276"/>
        <v>40810</v>
      </c>
      <c r="D612" s="4" t="s">
        <v>78</v>
      </c>
      <c r="E612" s="4">
        <v>39</v>
      </c>
      <c r="F612" s="4">
        <v>1105.6600000000001</v>
      </c>
      <c r="G612" s="4">
        <v>0.02</v>
      </c>
      <c r="H612" s="4" t="s">
        <v>22</v>
      </c>
      <c r="I612" s="6">
        <v>-136.19999999999999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0.57999999999999996</v>
      </c>
      <c r="U612" s="5">
        <f>C612+0</f>
        <v>40810</v>
      </c>
    </row>
    <row r="613" spans="1:21" ht="12" customHeight="1">
      <c r="A613" s="4">
        <v>2452</v>
      </c>
      <c r="B613" s="4">
        <v>17826</v>
      </c>
      <c r="C613" s="5">
        <f>DATE(2012,12,31)-184</f>
        <v>41090</v>
      </c>
      <c r="D613" s="4" t="s">
        <v>30</v>
      </c>
      <c r="E613" s="4">
        <v>18</v>
      </c>
      <c r="F613" s="4">
        <v>78.930000000000007</v>
      </c>
      <c r="G613" s="4">
        <v>0.04</v>
      </c>
      <c r="H613" s="4" t="s">
        <v>22</v>
      </c>
      <c r="I613" s="6">
        <v>-88.607500000000002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spans="1:21" ht="12" customHeight="1">
      <c r="A614" s="4">
        <v>2463</v>
      </c>
      <c r="B614" s="4">
        <v>17926</v>
      </c>
      <c r="C614" s="5">
        <f>DATE(2012,12,31)-417</f>
        <v>40857</v>
      </c>
      <c r="D614" s="4" t="s">
        <v>78</v>
      </c>
      <c r="E614" s="4">
        <v>37</v>
      </c>
      <c r="F614" s="4">
        <v>608.33000000000004</v>
      </c>
      <c r="G614" s="4">
        <v>0.02</v>
      </c>
      <c r="H614" s="4" t="s">
        <v>22</v>
      </c>
      <c r="I614" s="6">
        <v>-70.040000000000006</v>
      </c>
      <c r="J614" s="4">
        <v>15.31</v>
      </c>
      <c r="K614" s="4">
        <v>8.7799999999999994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0.56999999999999995</v>
      </c>
      <c r="U614" s="5">
        <f>C614+2</f>
        <v>40859</v>
      </c>
    </row>
    <row r="615" spans="1:21" ht="12" customHeight="1">
      <c r="A615" s="4">
        <v>2745</v>
      </c>
      <c r="B615" s="4">
        <v>19813</v>
      </c>
      <c r="C615" s="5">
        <f>DATE(2012,12,31)-1035</f>
        <v>40239</v>
      </c>
      <c r="D615" s="4" t="s">
        <v>78</v>
      </c>
      <c r="E615" s="4">
        <v>29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0.56000000000000005</v>
      </c>
      <c r="U615" s="5">
        <f t="shared" ref="U615:U616" si="277">C615+1</f>
        <v>40240</v>
      </c>
    </row>
    <row r="616" spans="1:21" ht="12" customHeight="1">
      <c r="A616" s="4">
        <v>2831</v>
      </c>
      <c r="B616" s="4">
        <v>20448</v>
      </c>
      <c r="C616" s="5">
        <f>DATE(2012,12,31)-517</f>
        <v>40757</v>
      </c>
      <c r="D616" s="4" t="s">
        <v>78</v>
      </c>
      <c r="E616" s="4">
        <v>23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7"/>
        <v>40758</v>
      </c>
    </row>
    <row r="617" spans="1:21" ht="12" customHeight="1">
      <c r="A617" s="4">
        <v>3056</v>
      </c>
      <c r="B617" s="4">
        <v>21892</v>
      </c>
      <c r="C617" s="5">
        <f>DATE(2012,12,31)-911</f>
        <v>40363</v>
      </c>
      <c r="D617" s="4" t="s">
        <v>30</v>
      </c>
      <c r="E617" s="4">
        <v>6</v>
      </c>
      <c r="F617" s="4">
        <v>34.880000000000003</v>
      </c>
      <c r="G617" s="4">
        <v>0.06</v>
      </c>
      <c r="H617" s="4" t="s">
        <v>22</v>
      </c>
      <c r="I617" s="6">
        <v>-18.342500000000001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spans="1:21" ht="12" customHeight="1">
      <c r="A618" s="4">
        <v>3204</v>
      </c>
      <c r="B618" s="4">
        <v>22980</v>
      </c>
      <c r="C618" s="5">
        <f>DATE(2012,12,31)-91</f>
        <v>41183</v>
      </c>
      <c r="D618" s="4" t="s">
        <v>45</v>
      </c>
      <c r="E618" s="4">
        <v>17</v>
      </c>
      <c r="F618" s="4">
        <v>224.09</v>
      </c>
      <c r="G618" s="4">
        <v>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0.56999999999999995</v>
      </c>
      <c r="U618" s="5">
        <f>C618+1</f>
        <v>41184</v>
      </c>
    </row>
    <row r="619" spans="1:21" ht="12" customHeight="1">
      <c r="A619" s="4">
        <v>3341</v>
      </c>
      <c r="B619" s="4">
        <v>23907</v>
      </c>
      <c r="C619" s="5">
        <f>DATE(2012,12,31)-536</f>
        <v>40738</v>
      </c>
      <c r="D619" s="4" t="s">
        <v>45</v>
      </c>
      <c r="E619" s="4">
        <v>7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65.989999999999995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0.55000000000000004</v>
      </c>
      <c r="U619" s="5">
        <f>C619+0</f>
        <v>40738</v>
      </c>
    </row>
    <row r="620" spans="1:21" ht="12" customHeight="1">
      <c r="A620" s="4">
        <v>3362</v>
      </c>
      <c r="B620" s="4">
        <v>24064</v>
      </c>
      <c r="C620" s="5">
        <f>DATE(2012,12,31)-890</f>
        <v>40384</v>
      </c>
      <c r="D620" s="4" t="s">
        <v>63</v>
      </c>
      <c r="E620" s="4">
        <v>23</v>
      </c>
      <c r="F620" s="4">
        <v>6366.52</v>
      </c>
      <c r="G620" s="4">
        <v>7.0000000000000007E-2</v>
      </c>
      <c r="H620" s="4" t="s">
        <v>31</v>
      </c>
      <c r="I620" s="6">
        <v>935.80000000000052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0.56999999999999995</v>
      </c>
      <c r="U620" s="5">
        <f>C620+3</f>
        <v>40387</v>
      </c>
    </row>
    <row r="621" spans="1:21" ht="12" customHeight="1">
      <c r="A621" s="4">
        <v>3441</v>
      </c>
      <c r="B621" s="4">
        <v>24576</v>
      </c>
      <c r="C621" s="5">
        <f t="shared" ref="C621:C622" si="278">DATE(2012,12,31)-20</f>
        <v>41254</v>
      </c>
      <c r="D621" s="4" t="s">
        <v>45</v>
      </c>
      <c r="E621" s="4">
        <v>29</v>
      </c>
      <c r="F621" s="4">
        <v>531.06299999999999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4.8099999999999996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0.57999999999999996</v>
      </c>
      <c r="U621" s="5">
        <f t="shared" ref="U621:U623" si="279">C621+2</f>
        <v>41256</v>
      </c>
    </row>
    <row r="622" spans="1:21" ht="12" customHeight="1">
      <c r="A622" s="4">
        <v>3442</v>
      </c>
      <c r="B622" s="4">
        <v>24576</v>
      </c>
      <c r="C622" s="5">
        <f t="shared" si="278"/>
        <v>41254</v>
      </c>
      <c r="D622" s="4" t="s">
        <v>45</v>
      </c>
      <c r="E622" s="4">
        <v>10</v>
      </c>
      <c r="F622" s="4">
        <v>152.84</v>
      </c>
      <c r="G622" s="4">
        <v>0.05</v>
      </c>
      <c r="H622" s="4" t="s">
        <v>22</v>
      </c>
      <c r="I622" s="6">
        <v>38.020000000000003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79"/>
        <v>41256</v>
      </c>
    </row>
    <row r="623" spans="1:21" ht="12" customHeight="1">
      <c r="A623" s="4">
        <v>3541</v>
      </c>
      <c r="B623" s="4">
        <v>25248</v>
      </c>
      <c r="C623" s="5">
        <f t="shared" ref="C623:C624" si="280">DATE(2012,12,31)-396</f>
        <v>40878</v>
      </c>
      <c r="D623" s="4" t="s">
        <v>63</v>
      </c>
      <c r="E623" s="4">
        <v>33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79"/>
        <v>40880</v>
      </c>
    </row>
    <row r="624" spans="1:21" ht="12" customHeight="1">
      <c r="A624" s="4">
        <v>3542</v>
      </c>
      <c r="B624" s="4">
        <v>25248</v>
      </c>
      <c r="C624" s="5">
        <f t="shared" si="280"/>
        <v>40878</v>
      </c>
      <c r="D624" s="4" t="s">
        <v>63</v>
      </c>
      <c r="E624" s="4">
        <v>26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1">C624+1</f>
        <v>40879</v>
      </c>
    </row>
    <row r="625" spans="1:21" ht="12" customHeight="1">
      <c r="A625" s="4">
        <v>3784</v>
      </c>
      <c r="B625" s="4">
        <v>26978</v>
      </c>
      <c r="C625" s="5">
        <f>DATE(2012,12,31)-920</f>
        <v>40354</v>
      </c>
      <c r="D625" s="4" t="s">
        <v>63</v>
      </c>
      <c r="E625" s="4">
        <v>2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9.0299999999999994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1"/>
        <v>40355</v>
      </c>
    </row>
    <row r="626" spans="1:21" ht="12" customHeight="1">
      <c r="A626" s="4">
        <v>3798</v>
      </c>
      <c r="B626" s="4">
        <v>27105</v>
      </c>
      <c r="C626" s="5">
        <f t="shared" ref="C626:C627" si="282">DATE(2012,12,31)-684</f>
        <v>40590</v>
      </c>
      <c r="D626" s="4" t="s">
        <v>45</v>
      </c>
      <c r="E626" s="4">
        <v>37</v>
      </c>
      <c r="F626" s="4">
        <v>223.74</v>
      </c>
      <c r="G626" s="4">
        <v>0.01</v>
      </c>
      <c r="H626" s="4" t="s">
        <v>22</v>
      </c>
      <c r="I626" s="6">
        <v>39.630000000000003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1"/>
        <v>40591</v>
      </c>
    </row>
    <row r="627" spans="1:21" ht="12" customHeight="1">
      <c r="A627" s="4">
        <v>3799</v>
      </c>
      <c r="B627" s="4">
        <v>27105</v>
      </c>
      <c r="C627" s="5">
        <f t="shared" si="282"/>
        <v>40590</v>
      </c>
      <c r="D627" s="4" t="s">
        <v>45</v>
      </c>
      <c r="E627" s="4">
        <v>2</v>
      </c>
      <c r="F627" s="4">
        <v>26.82</v>
      </c>
      <c r="G627" s="4">
        <v>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1"/>
        <v>40591</v>
      </c>
    </row>
    <row r="628" spans="1:21" ht="12" customHeight="1">
      <c r="A628" s="4">
        <v>3940</v>
      </c>
      <c r="B628" s="4">
        <v>28068</v>
      </c>
      <c r="C628" s="5">
        <f>DATE(2012,12,31)-858</f>
        <v>40416</v>
      </c>
      <c r="D628" s="4" t="s">
        <v>21</v>
      </c>
      <c r="E628" s="4">
        <v>23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3">C628+2</f>
        <v>40418</v>
      </c>
    </row>
    <row r="629" spans="1:21" ht="12" customHeight="1">
      <c r="A629" s="4">
        <v>4032</v>
      </c>
      <c r="B629" s="4">
        <v>28802</v>
      </c>
      <c r="C629" s="5">
        <f t="shared" ref="C629:C631" si="284">DATE(2012,12,31)-788</f>
        <v>40486</v>
      </c>
      <c r="D629" s="4" t="s">
        <v>30</v>
      </c>
      <c r="E629" s="4">
        <v>23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17.670000000000002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3"/>
        <v>40488</v>
      </c>
    </row>
    <row r="630" spans="1:21" ht="12" customHeight="1">
      <c r="A630" s="4">
        <v>4033</v>
      </c>
      <c r="B630" s="4">
        <v>28802</v>
      </c>
      <c r="C630" s="5">
        <f t="shared" si="284"/>
        <v>40486</v>
      </c>
      <c r="D630" s="4" t="s">
        <v>30</v>
      </c>
      <c r="E630" s="4">
        <v>36</v>
      </c>
      <c r="F630" s="4">
        <v>336.25</v>
      </c>
      <c r="G630" s="4">
        <v>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spans="1:21" ht="12" customHeight="1">
      <c r="A631" s="4">
        <v>4034</v>
      </c>
      <c r="B631" s="4">
        <v>28802</v>
      </c>
      <c r="C631" s="5">
        <f t="shared" si="284"/>
        <v>40486</v>
      </c>
      <c r="D631" s="4" t="s">
        <v>30</v>
      </c>
      <c r="E631" s="4">
        <v>22</v>
      </c>
      <c r="F631" s="4">
        <v>4001.4684999999995</v>
      </c>
      <c r="G631" s="4">
        <v>0.02</v>
      </c>
      <c r="H631" s="4" t="s">
        <v>22</v>
      </c>
      <c r="I631" s="6">
        <v>884.90700000000004</v>
      </c>
      <c r="J631" s="4">
        <v>205.99</v>
      </c>
      <c r="K631" s="4">
        <v>3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0.57999999999999996</v>
      </c>
      <c r="U631" s="5">
        <f>C631+2</f>
        <v>40488</v>
      </c>
    </row>
    <row r="632" spans="1:21" ht="12" customHeight="1">
      <c r="A632" s="4">
        <v>4813</v>
      </c>
      <c r="B632" s="4">
        <v>34241</v>
      </c>
      <c r="C632" s="5">
        <f>DATE(2012,12,31)-84</f>
        <v>41190</v>
      </c>
      <c r="D632" s="4" t="s">
        <v>21</v>
      </c>
      <c r="E632" s="4">
        <v>4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5">C632+0</f>
        <v>41190</v>
      </c>
    </row>
    <row r="633" spans="1:21" ht="12" customHeight="1">
      <c r="A633" s="4">
        <v>4893</v>
      </c>
      <c r="B633" s="4">
        <v>34816</v>
      </c>
      <c r="C633" s="5">
        <f t="shared" ref="C633:C634" si="286">DATE(2012,12,31)-787</f>
        <v>40487</v>
      </c>
      <c r="D633" s="4" t="s">
        <v>45</v>
      </c>
      <c r="E633" s="4">
        <v>29</v>
      </c>
      <c r="F633" s="4">
        <v>1158.45</v>
      </c>
      <c r="G633" s="4">
        <v>0.1</v>
      </c>
      <c r="H633" s="4" t="s">
        <v>22</v>
      </c>
      <c r="I633" s="6">
        <v>267.16000000000003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0.56000000000000005</v>
      </c>
      <c r="U633" s="5">
        <f t="shared" si="285"/>
        <v>40487</v>
      </c>
    </row>
    <row r="634" spans="1:21" ht="12" customHeight="1">
      <c r="A634" s="4">
        <v>4894</v>
      </c>
      <c r="B634" s="4">
        <v>34816</v>
      </c>
      <c r="C634" s="5">
        <f t="shared" si="286"/>
        <v>40487</v>
      </c>
      <c r="D634" s="4" t="s">
        <v>45</v>
      </c>
      <c r="E634" s="4">
        <v>43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19.989999999999998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7">C634+2</f>
        <v>40489</v>
      </c>
    </row>
    <row r="635" spans="1:21" ht="12" customHeight="1">
      <c r="A635" s="4">
        <v>4917</v>
      </c>
      <c r="B635" s="4">
        <v>35011</v>
      </c>
      <c r="C635" s="5">
        <f>DATE(2012,12,31)-21</f>
        <v>41253</v>
      </c>
      <c r="D635" s="4" t="s">
        <v>45</v>
      </c>
      <c r="E635" s="4">
        <v>14</v>
      </c>
      <c r="F635" s="4">
        <v>154.44999999999999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0.56999999999999995</v>
      </c>
      <c r="U635" s="5">
        <f t="shared" si="287"/>
        <v>41255</v>
      </c>
    </row>
    <row r="636" spans="1:21" ht="12" customHeight="1">
      <c r="A636" s="4">
        <v>5196</v>
      </c>
      <c r="B636" s="4">
        <v>36930</v>
      </c>
      <c r="C636" s="5">
        <f>DATE(2012,12,31)-460</f>
        <v>40814</v>
      </c>
      <c r="D636" s="4" t="s">
        <v>63</v>
      </c>
      <c r="E636" s="4">
        <v>34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7"/>
        <v>40816</v>
      </c>
    </row>
    <row r="637" spans="1:21" ht="12" customHeight="1">
      <c r="A637" s="4">
        <v>5245</v>
      </c>
      <c r="B637" s="4">
        <v>37315</v>
      </c>
      <c r="C637" s="5">
        <f t="shared" ref="C637:C638" si="288">DATE(2012,12,31)-209</f>
        <v>41065</v>
      </c>
      <c r="D637" s="4" t="s">
        <v>21</v>
      </c>
      <c r="E637" s="4">
        <v>43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89">C637+7</f>
        <v>41072</v>
      </c>
    </row>
    <row r="638" spans="1:21" ht="12" customHeight="1">
      <c r="A638" s="4">
        <v>5246</v>
      </c>
      <c r="B638" s="4">
        <v>37315</v>
      </c>
      <c r="C638" s="5">
        <f t="shared" si="288"/>
        <v>41065</v>
      </c>
      <c r="D638" s="4" t="s">
        <v>21</v>
      </c>
      <c r="E638" s="4">
        <v>31</v>
      </c>
      <c r="F638" s="4">
        <v>4726.5949999999993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89"/>
        <v>41072</v>
      </c>
    </row>
    <row r="639" spans="1:21" ht="12" customHeight="1">
      <c r="A639" s="4">
        <v>5340</v>
      </c>
      <c r="B639" s="4">
        <v>37925</v>
      </c>
      <c r="C639" s="5">
        <f t="shared" ref="C639:C640" si="290">DATE(2012,12,31)-827</f>
        <v>40447</v>
      </c>
      <c r="D639" s="4" t="s">
        <v>63</v>
      </c>
      <c r="E639" s="4">
        <v>46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1">C639+1</f>
        <v>40448</v>
      </c>
    </row>
    <row r="640" spans="1:21" ht="12" customHeight="1">
      <c r="A640" s="4">
        <v>5341</v>
      </c>
      <c r="B640" s="4">
        <v>37925</v>
      </c>
      <c r="C640" s="5">
        <f t="shared" si="290"/>
        <v>40447</v>
      </c>
      <c r="D640" s="4" t="s">
        <v>63</v>
      </c>
      <c r="E640" s="4">
        <v>31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65.989999999999995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1"/>
        <v>40448</v>
      </c>
    </row>
    <row r="641" spans="1:21" ht="12" customHeight="1">
      <c r="A641" s="4">
        <v>5389</v>
      </c>
      <c r="B641" s="4">
        <v>38336</v>
      </c>
      <c r="C641" s="5">
        <f t="shared" ref="C641:C642" si="292">DATE(2012,12,31)-87</f>
        <v>41187</v>
      </c>
      <c r="D641" s="4" t="s">
        <v>78</v>
      </c>
      <c r="E641" s="4">
        <v>14</v>
      </c>
      <c r="F641" s="4">
        <v>91.75</v>
      </c>
      <c r="G641" s="4">
        <v>7.0000000000000007E-2</v>
      </c>
      <c r="H641" s="4" t="s">
        <v>22</v>
      </c>
      <c r="I641" s="6">
        <v>2.8220000000000001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1"/>
        <v>41188</v>
      </c>
    </row>
    <row r="642" spans="1:21" ht="12" customHeight="1">
      <c r="A642" s="4">
        <v>5390</v>
      </c>
      <c r="B642" s="4">
        <v>38336</v>
      </c>
      <c r="C642" s="5">
        <f t="shared" si="292"/>
        <v>41187</v>
      </c>
      <c r="D642" s="4" t="s">
        <v>78</v>
      </c>
      <c r="E642" s="4">
        <v>31</v>
      </c>
      <c r="F642" s="4">
        <v>346.57</v>
      </c>
      <c r="G642" s="4">
        <v>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1"/>
        <v>41188</v>
      </c>
    </row>
    <row r="643" spans="1:21" ht="12" customHeight="1">
      <c r="A643" s="4">
        <v>5615</v>
      </c>
      <c r="B643" s="4">
        <v>39783</v>
      </c>
      <c r="C643" s="5">
        <f t="shared" ref="C643:C645" si="293">DATE(2012,12,31)-102</f>
        <v>41172</v>
      </c>
      <c r="D643" s="4" t="s">
        <v>45</v>
      </c>
      <c r="E643" s="4">
        <v>19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4.0599999999999996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4">C643+2</f>
        <v>41174</v>
      </c>
    </row>
    <row r="644" spans="1:21" ht="12" customHeight="1">
      <c r="A644" s="4">
        <v>5616</v>
      </c>
      <c r="B644" s="4">
        <v>39783</v>
      </c>
      <c r="C644" s="5">
        <f t="shared" si="293"/>
        <v>41172</v>
      </c>
      <c r="D644" s="4" t="s">
        <v>45</v>
      </c>
      <c r="E644" s="4">
        <v>31</v>
      </c>
      <c r="F644" s="4">
        <v>295.97000000000003</v>
      </c>
      <c r="G644" s="4">
        <v>0.02</v>
      </c>
      <c r="H644" s="4" t="s">
        <v>22</v>
      </c>
      <c r="I644" s="6">
        <v>5.0149999999999997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4"/>
        <v>41174</v>
      </c>
    </row>
    <row r="645" spans="1:21" ht="12" customHeight="1">
      <c r="A645" s="4">
        <v>5617</v>
      </c>
      <c r="B645" s="4">
        <v>39783</v>
      </c>
      <c r="C645" s="5">
        <f t="shared" si="293"/>
        <v>41172</v>
      </c>
      <c r="D645" s="4" t="s">
        <v>45</v>
      </c>
      <c r="E645" s="4">
        <v>29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spans="1:21" ht="12" customHeight="1">
      <c r="A646" s="4">
        <v>5997</v>
      </c>
      <c r="B646" s="4">
        <v>42500</v>
      </c>
      <c r="C646" s="5">
        <f t="shared" ref="C646:C647" si="295">DATE(2012,12,31)-1060</f>
        <v>40214</v>
      </c>
      <c r="D646" s="4" t="s">
        <v>45</v>
      </c>
      <c r="E646" s="4">
        <v>39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6">C646+2</f>
        <v>40216</v>
      </c>
    </row>
    <row r="647" spans="1:21" ht="12" customHeight="1">
      <c r="A647" s="4">
        <v>5998</v>
      </c>
      <c r="B647" s="4">
        <v>42500</v>
      </c>
      <c r="C647" s="5">
        <f t="shared" si="295"/>
        <v>40214</v>
      </c>
      <c r="D647" s="4" t="s">
        <v>45</v>
      </c>
      <c r="E647" s="4">
        <v>2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6"/>
        <v>40216</v>
      </c>
    </row>
    <row r="648" spans="1:21" ht="12" customHeight="1">
      <c r="A648" s="4">
        <v>6233</v>
      </c>
      <c r="B648" s="4">
        <v>44162</v>
      </c>
      <c r="C648" s="5">
        <f>DATE(2012,12,31)-1018</f>
        <v>40256</v>
      </c>
      <c r="D648" s="4" t="s">
        <v>30</v>
      </c>
      <c r="E648" s="4">
        <v>46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0.56999999999999995</v>
      </c>
      <c r="U648" s="5">
        <f>C648+1</f>
        <v>40257</v>
      </c>
    </row>
    <row r="649" spans="1:21" ht="12" customHeight="1">
      <c r="A649" s="4">
        <v>6246</v>
      </c>
      <c r="B649" s="4">
        <v>44256</v>
      </c>
      <c r="C649" s="5">
        <f t="shared" ref="C649:C651" si="297">DATE(2012,12,31)-408</f>
        <v>40866</v>
      </c>
      <c r="D649" s="4" t="s">
        <v>21</v>
      </c>
      <c r="E649" s="4">
        <v>39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spans="1:21" ht="12" customHeight="1">
      <c r="A650" s="4">
        <v>6247</v>
      </c>
      <c r="B650" s="4">
        <v>44256</v>
      </c>
      <c r="C650" s="5">
        <f t="shared" si="297"/>
        <v>40866</v>
      </c>
      <c r="D650" s="4" t="s">
        <v>21</v>
      </c>
      <c r="E650" s="4">
        <v>17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spans="1:21" ht="12" customHeight="1">
      <c r="A651" s="4">
        <v>6248</v>
      </c>
      <c r="B651" s="4">
        <v>44256</v>
      </c>
      <c r="C651" s="5">
        <f t="shared" si="297"/>
        <v>40866</v>
      </c>
      <c r="D651" s="4" t="s">
        <v>21</v>
      </c>
      <c r="E651" s="4">
        <v>49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spans="1:21" ht="12" customHeight="1">
      <c r="A652" s="4">
        <v>6386</v>
      </c>
      <c r="B652" s="4">
        <v>45377</v>
      </c>
      <c r="C652" s="5">
        <f>DATE(2012,12,31)-638</f>
        <v>40636</v>
      </c>
      <c r="D652" s="4" t="s">
        <v>21</v>
      </c>
      <c r="E652" s="4">
        <v>47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spans="1:21" ht="12" customHeight="1">
      <c r="A653" s="4">
        <v>6658</v>
      </c>
      <c r="B653" s="4">
        <v>47367</v>
      </c>
      <c r="C653" s="5">
        <f t="shared" ref="C653:C654" si="298">DATE(2012,12,31)-625</f>
        <v>40649</v>
      </c>
      <c r="D653" s="4" t="s">
        <v>63</v>
      </c>
      <c r="E653" s="4">
        <v>7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spans="1:21" ht="12" customHeight="1">
      <c r="A654" s="4">
        <v>6659</v>
      </c>
      <c r="B654" s="4">
        <v>47367</v>
      </c>
      <c r="C654" s="5">
        <f t="shared" si="298"/>
        <v>40649</v>
      </c>
      <c r="D654" s="4" t="s">
        <v>63</v>
      </c>
      <c r="E654" s="4">
        <v>6</v>
      </c>
      <c r="F654" s="4">
        <v>21.07</v>
      </c>
      <c r="G654" s="4">
        <v>0.08</v>
      </c>
      <c r="H654" s="4" t="s">
        <v>22</v>
      </c>
      <c r="I654" s="6">
        <v>2.2799999999999998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spans="1:21" ht="12" customHeight="1">
      <c r="A655" s="4">
        <v>6705</v>
      </c>
      <c r="B655" s="4">
        <v>47750</v>
      </c>
      <c r="C655" s="5">
        <f t="shared" ref="C655:C656" si="299">DATE(2012,12,31)-930</f>
        <v>40344</v>
      </c>
      <c r="D655" s="4" t="s">
        <v>21</v>
      </c>
      <c r="E655" s="4">
        <v>37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0">C655+5</f>
        <v>40349</v>
      </c>
    </row>
    <row r="656" spans="1:21" ht="12" customHeight="1">
      <c r="A656" s="4">
        <v>6706</v>
      </c>
      <c r="B656" s="4">
        <v>47750</v>
      </c>
      <c r="C656" s="5">
        <f t="shared" si="299"/>
        <v>40344</v>
      </c>
      <c r="D656" s="4" t="s">
        <v>21</v>
      </c>
      <c r="E656" s="4">
        <v>43</v>
      </c>
      <c r="F656" s="4">
        <v>1097.5999999999999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0"/>
        <v>40349</v>
      </c>
    </row>
    <row r="657" spans="1:21" ht="12" customHeight="1">
      <c r="A657" s="4">
        <v>6938</v>
      </c>
      <c r="B657" s="4">
        <v>49510</v>
      </c>
      <c r="C657" s="5">
        <f>DATE(2012,12,31)-286</f>
        <v>40988</v>
      </c>
      <c r="D657" s="4" t="s">
        <v>78</v>
      </c>
      <c r="E657" s="4">
        <v>16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spans="1:21" ht="12" customHeight="1">
      <c r="A658" s="4">
        <v>6949</v>
      </c>
      <c r="B658" s="4">
        <v>49634</v>
      </c>
      <c r="C658" s="5">
        <f>DATE(2012,12,31)-283</f>
        <v>40991</v>
      </c>
      <c r="D658" s="4" t="s">
        <v>45</v>
      </c>
      <c r="E658" s="4">
        <v>45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spans="1:21" ht="12" customHeight="1">
      <c r="A659" s="4">
        <v>7035</v>
      </c>
      <c r="B659" s="4">
        <v>50210</v>
      </c>
      <c r="C659" s="5">
        <f t="shared" ref="C659:C660" si="301">DATE(2012,12,31)-896</f>
        <v>40378</v>
      </c>
      <c r="D659" s="4" t="s">
        <v>21</v>
      </c>
      <c r="E659" s="4">
        <v>47</v>
      </c>
      <c r="F659" s="4">
        <v>178.51</v>
      </c>
      <c r="G659" s="4">
        <v>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spans="1:21" ht="12" customHeight="1">
      <c r="A660" s="4">
        <v>7036</v>
      </c>
      <c r="B660" s="4">
        <v>50210</v>
      </c>
      <c r="C660" s="5">
        <f t="shared" si="301"/>
        <v>40378</v>
      </c>
      <c r="D660" s="4" t="s">
        <v>21</v>
      </c>
      <c r="E660" s="4">
        <v>15</v>
      </c>
      <c r="F660" s="4">
        <v>31.32</v>
      </c>
      <c r="G660" s="4">
        <v>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spans="1:21" ht="12" customHeight="1">
      <c r="A661" s="4">
        <v>7079</v>
      </c>
      <c r="B661" s="4">
        <v>50503</v>
      </c>
      <c r="C661" s="5">
        <f>DATE(2012,12,31)-40</f>
        <v>41234</v>
      </c>
      <c r="D661" s="4" t="s">
        <v>63</v>
      </c>
      <c r="E661" s="4">
        <v>28</v>
      </c>
      <c r="F661" s="4">
        <v>1538.8655000000001</v>
      </c>
      <c r="G661" s="4">
        <v>0.05</v>
      </c>
      <c r="H661" s="4" t="s">
        <v>22</v>
      </c>
      <c r="I661" s="6">
        <v>-186.32899999999998</v>
      </c>
      <c r="J661" s="4">
        <v>65.989999999999995</v>
      </c>
      <c r="K661" s="4">
        <v>19.989999999999998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2">C661+2</f>
        <v>41236</v>
      </c>
    </row>
    <row r="662" spans="1:21" ht="12" customHeight="1">
      <c r="A662" s="4">
        <v>7159</v>
      </c>
      <c r="B662" s="4">
        <v>51073</v>
      </c>
      <c r="C662" s="5">
        <f t="shared" ref="C662:C663" si="303">DATE(2012,12,31)-962</f>
        <v>40312</v>
      </c>
      <c r="D662" s="4" t="s">
        <v>45</v>
      </c>
      <c r="E662" s="4">
        <v>17</v>
      </c>
      <c r="F662" s="4">
        <v>2475.08</v>
      </c>
      <c r="G662" s="4">
        <v>0</v>
      </c>
      <c r="H662" s="4" t="s">
        <v>56</v>
      </c>
      <c r="I662" s="6">
        <v>958.8</v>
      </c>
      <c r="J662" s="4">
        <v>136.97999999999999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2"/>
        <v>40314</v>
      </c>
    </row>
    <row r="663" spans="1:21" ht="12" customHeight="1">
      <c r="A663" s="4">
        <v>7160</v>
      </c>
      <c r="B663" s="4">
        <v>51073</v>
      </c>
      <c r="C663" s="5">
        <f t="shared" si="303"/>
        <v>40312</v>
      </c>
      <c r="D663" s="4" t="s">
        <v>45</v>
      </c>
      <c r="E663" s="4">
        <v>49</v>
      </c>
      <c r="F663" s="4">
        <v>1610.42</v>
      </c>
      <c r="G663" s="4">
        <v>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4">C663+1</f>
        <v>40313</v>
      </c>
    </row>
    <row r="664" spans="1:21" ht="12" customHeight="1">
      <c r="A664" s="4">
        <v>7235</v>
      </c>
      <c r="B664" s="4">
        <v>51584</v>
      </c>
      <c r="C664" s="5">
        <f>DATE(2012,12,31)-806</f>
        <v>40468</v>
      </c>
      <c r="D664" s="4" t="s">
        <v>78</v>
      </c>
      <c r="E664" s="4">
        <v>48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4"/>
        <v>40469</v>
      </c>
    </row>
    <row r="665" spans="1:21" ht="12" customHeight="1">
      <c r="A665" s="4">
        <v>7273</v>
      </c>
      <c r="B665" s="4">
        <v>51879</v>
      </c>
      <c r="C665" s="5">
        <f t="shared" ref="C665:C666" si="305">DATE(2012,12,31)-860</f>
        <v>40414</v>
      </c>
      <c r="D665" s="4" t="s">
        <v>45</v>
      </c>
      <c r="E665" s="4">
        <v>26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19.989999999999998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spans="1:21" ht="12" customHeight="1">
      <c r="A666" s="4">
        <v>7274</v>
      </c>
      <c r="B666" s="4">
        <v>51879</v>
      </c>
      <c r="C666" s="5">
        <f t="shared" si="305"/>
        <v>40414</v>
      </c>
      <c r="D666" s="4" t="s">
        <v>45</v>
      </c>
      <c r="E666" s="4">
        <v>46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6">C666+1</f>
        <v>40415</v>
      </c>
    </row>
    <row r="667" spans="1:21" ht="12" customHeight="1">
      <c r="A667" s="4">
        <v>7335</v>
      </c>
      <c r="B667" s="4">
        <v>52288</v>
      </c>
      <c r="C667" s="5">
        <f>DATE(2012,12,31)-509</f>
        <v>40765</v>
      </c>
      <c r="D667" s="4" t="s">
        <v>30</v>
      </c>
      <c r="E667" s="4">
        <v>19</v>
      </c>
      <c r="F667" s="4">
        <v>1410.44</v>
      </c>
      <c r="G667" s="4">
        <v>7.0000000000000007E-2</v>
      </c>
      <c r="H667" s="4" t="s">
        <v>22</v>
      </c>
      <c r="I667" s="6">
        <v>545.11</v>
      </c>
      <c r="J667" s="4">
        <v>78.69</v>
      </c>
      <c r="K667" s="4">
        <v>19.989999999999998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6"/>
        <v>40766</v>
      </c>
    </row>
    <row r="668" spans="1:21" ht="12" customHeight="1">
      <c r="A668" s="4">
        <v>7502</v>
      </c>
      <c r="B668" s="4">
        <v>53536</v>
      </c>
      <c r="C668" s="5">
        <f t="shared" ref="C668:C669" si="307">DATE(2012,12,31)-62</f>
        <v>41212</v>
      </c>
      <c r="D668" s="4" t="s">
        <v>30</v>
      </c>
      <c r="E668" s="4">
        <v>35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8">C668+2</f>
        <v>41214</v>
      </c>
    </row>
    <row r="669" spans="1:21" ht="12" customHeight="1">
      <c r="A669" s="4">
        <v>7503</v>
      </c>
      <c r="B669" s="4">
        <v>53536</v>
      </c>
      <c r="C669" s="5">
        <f t="shared" si="307"/>
        <v>41212</v>
      </c>
      <c r="D669" s="4" t="s">
        <v>30</v>
      </c>
      <c r="E669" s="4">
        <v>5</v>
      </c>
      <c r="F669" s="4">
        <v>1015.4</v>
      </c>
      <c r="G669" s="4">
        <v>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8"/>
        <v>41214</v>
      </c>
    </row>
    <row r="670" spans="1:21" ht="12" customHeight="1">
      <c r="A670" s="4">
        <v>7506</v>
      </c>
      <c r="B670" s="4">
        <v>53572</v>
      </c>
      <c r="C670" s="5">
        <f>DATE(2012,12,31)-969</f>
        <v>40305</v>
      </c>
      <c r="D670" s="4" t="s">
        <v>63</v>
      </c>
      <c r="E670" s="4">
        <v>17</v>
      </c>
      <c r="F670" s="4">
        <v>184.09</v>
      </c>
      <c r="G670" s="4">
        <v>7.0000000000000007E-2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spans="1:21" ht="12" customHeight="1">
      <c r="A671" s="4">
        <v>7533</v>
      </c>
      <c r="B671" s="4">
        <v>53825</v>
      </c>
      <c r="C671" s="5">
        <f>DATE(2012,12,31)-632</f>
        <v>40642</v>
      </c>
      <c r="D671" s="4" t="s">
        <v>21</v>
      </c>
      <c r="E671" s="4">
        <v>36</v>
      </c>
      <c r="F671" s="4">
        <v>1646.05</v>
      </c>
      <c r="G671" s="4">
        <v>0.08</v>
      </c>
      <c r="H671" s="4" t="s">
        <v>22</v>
      </c>
      <c r="I671" s="6">
        <v>649.79999999999995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spans="1:21" ht="12" customHeight="1">
      <c r="A672" s="4">
        <v>7534</v>
      </c>
      <c r="B672" s="4">
        <v>53863</v>
      </c>
      <c r="C672" s="5">
        <f>DATE(2012,12,31)-942</f>
        <v>40332</v>
      </c>
      <c r="D672" s="4" t="s">
        <v>30</v>
      </c>
      <c r="E672" s="4">
        <v>46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161.55000000000001</v>
      </c>
      <c r="K672" s="4">
        <v>19.989999999999998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spans="1:21" ht="12" customHeight="1">
      <c r="A673" s="4">
        <v>7565</v>
      </c>
      <c r="B673" s="4">
        <v>54119</v>
      </c>
      <c r="C673" s="5">
        <f t="shared" ref="C673:C674" si="309">DATE(2012,12,31)-954</f>
        <v>40320</v>
      </c>
      <c r="D673" s="4" t="s">
        <v>63</v>
      </c>
      <c r="E673" s="4">
        <v>45</v>
      </c>
      <c r="F673" s="4">
        <v>261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spans="1:21" ht="12" customHeight="1">
      <c r="A674" s="4">
        <v>7566</v>
      </c>
      <c r="B674" s="4">
        <v>54119</v>
      </c>
      <c r="C674" s="5">
        <f t="shared" si="309"/>
        <v>40320</v>
      </c>
      <c r="D674" s="4" t="s">
        <v>63</v>
      </c>
      <c r="E674" s="4">
        <v>4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spans="1:21" ht="12" customHeight="1">
      <c r="A675" s="4">
        <v>7861</v>
      </c>
      <c r="B675" s="4">
        <v>56224</v>
      </c>
      <c r="C675" s="5">
        <f t="shared" ref="C675:C678" si="310">DATE(2012,12,31)-67</f>
        <v>41207</v>
      </c>
      <c r="D675" s="4" t="s">
        <v>63</v>
      </c>
      <c r="E675" s="4">
        <v>35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spans="1:21" ht="12" customHeight="1">
      <c r="A676" s="4">
        <v>7862</v>
      </c>
      <c r="B676" s="4">
        <v>56224</v>
      </c>
      <c r="C676" s="5">
        <f t="shared" si="310"/>
        <v>41207</v>
      </c>
      <c r="D676" s="4" t="s">
        <v>63</v>
      </c>
      <c r="E676" s="4">
        <v>32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74.349999999999994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0.56999999999999995</v>
      </c>
      <c r="U676" s="5">
        <f>C676+1</f>
        <v>41208</v>
      </c>
    </row>
    <row r="677" spans="1:21" ht="12" customHeight="1">
      <c r="A677" s="4">
        <v>7863</v>
      </c>
      <c r="B677" s="4">
        <v>56224</v>
      </c>
      <c r="C677" s="5">
        <f t="shared" si="310"/>
        <v>41207</v>
      </c>
      <c r="D677" s="4" t="s">
        <v>63</v>
      </c>
      <c r="E677" s="4">
        <v>46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spans="1:21" ht="12" customHeight="1">
      <c r="A678" s="4">
        <v>7864</v>
      </c>
      <c r="B678" s="4">
        <v>56224</v>
      </c>
      <c r="C678" s="5">
        <f t="shared" si="310"/>
        <v>41207</v>
      </c>
      <c r="D678" s="4" t="s">
        <v>63</v>
      </c>
      <c r="E678" s="4">
        <v>9</v>
      </c>
      <c r="F678" s="4">
        <v>902.024</v>
      </c>
      <c r="G678" s="4">
        <v>0.04</v>
      </c>
      <c r="H678" s="4" t="s">
        <v>31</v>
      </c>
      <c r="I678" s="6">
        <v>-153.25200000000001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spans="1:21" ht="12" customHeight="1">
      <c r="A679" s="4">
        <v>7873</v>
      </c>
      <c r="B679" s="4">
        <v>56293</v>
      </c>
      <c r="C679" s="5">
        <f t="shared" ref="C679:C680" si="311">DATE(2012,12,31)-1091</f>
        <v>40183</v>
      </c>
      <c r="D679" s="4" t="s">
        <v>45</v>
      </c>
      <c r="E679" s="4">
        <v>34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19.989999999999998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spans="1:21" ht="12" customHeight="1">
      <c r="A680" s="4">
        <v>7874</v>
      </c>
      <c r="B680" s="4">
        <v>56293</v>
      </c>
      <c r="C680" s="5">
        <f t="shared" si="311"/>
        <v>40183</v>
      </c>
      <c r="D680" s="4" t="s">
        <v>45</v>
      </c>
      <c r="E680" s="4">
        <v>44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0.57999999999999996</v>
      </c>
      <c r="U680" s="5">
        <f t="shared" ref="U680:U682" si="312">C680+1</f>
        <v>40184</v>
      </c>
    </row>
    <row r="681" spans="1:21" ht="12" customHeight="1">
      <c r="A681" s="4">
        <v>8116</v>
      </c>
      <c r="B681" s="4">
        <v>57959</v>
      </c>
      <c r="C681" s="5">
        <f t="shared" ref="C681:C682" si="313">DATE(2012,12,31)-367</f>
        <v>40907</v>
      </c>
      <c r="D681" s="4" t="s">
        <v>63</v>
      </c>
      <c r="E681" s="4">
        <v>40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2"/>
        <v>40908</v>
      </c>
    </row>
    <row r="682" spans="1:21" ht="12" customHeight="1">
      <c r="A682" s="4">
        <v>8117</v>
      </c>
      <c r="B682" s="4">
        <v>57959</v>
      </c>
      <c r="C682" s="5">
        <f t="shared" si="313"/>
        <v>40907</v>
      </c>
      <c r="D682" s="4" t="s">
        <v>63</v>
      </c>
      <c r="E682" s="4">
        <v>48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2"/>
        <v>40908</v>
      </c>
    </row>
    <row r="683" spans="1:21" ht="12" customHeight="1">
      <c r="A683" s="4">
        <v>8184</v>
      </c>
      <c r="B683" s="4">
        <v>58500</v>
      </c>
      <c r="C683" s="5">
        <f>DATE(2012,12,31)-686</f>
        <v>40588</v>
      </c>
      <c r="D683" s="4" t="s">
        <v>21</v>
      </c>
      <c r="E683" s="4">
        <v>17</v>
      </c>
      <c r="F683" s="4">
        <v>1529.0139999999999</v>
      </c>
      <c r="G683" s="4">
        <v>7.0000000000000007E-2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0.56999999999999995</v>
      </c>
      <c r="U683" s="5">
        <f>C683+0</f>
        <v>40588</v>
      </c>
    </row>
    <row r="684" spans="1:21" ht="12" customHeight="1">
      <c r="A684" s="4">
        <v>8335</v>
      </c>
      <c r="B684" s="4">
        <v>59584</v>
      </c>
      <c r="C684" s="5">
        <f t="shared" ref="C684:C685" si="314">DATE(2012,12,31)-948</f>
        <v>40326</v>
      </c>
      <c r="D684" s="4" t="s">
        <v>63</v>
      </c>
      <c r="E684" s="4">
        <v>3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35.840000000000003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spans="1:21" ht="12" customHeight="1">
      <c r="A685" s="4">
        <v>8336</v>
      </c>
      <c r="B685" s="4">
        <v>59584</v>
      </c>
      <c r="C685" s="5">
        <f t="shared" si="314"/>
        <v>40326</v>
      </c>
      <c r="D685" s="4" t="s">
        <v>63</v>
      </c>
      <c r="E685" s="4">
        <v>7</v>
      </c>
      <c r="F685" s="4">
        <v>1120.27</v>
      </c>
      <c r="G685" s="4">
        <v>0</v>
      </c>
      <c r="H685" s="4" t="s">
        <v>22</v>
      </c>
      <c r="I685" s="6">
        <v>16.809999999999999</v>
      </c>
      <c r="J685" s="4">
        <v>150.97999999999999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spans="1:21" ht="12" customHeight="1">
      <c r="A686" s="4">
        <v>45</v>
      </c>
      <c r="B686" s="4">
        <v>261</v>
      </c>
      <c r="C686" s="5">
        <f>DATE(2012,12,31)-917</f>
        <v>40357</v>
      </c>
      <c r="D686" s="4" t="s">
        <v>63</v>
      </c>
      <c r="E686" s="4">
        <v>47</v>
      </c>
      <c r="F686" s="4">
        <v>5677.6089999999995</v>
      </c>
      <c r="G686" s="4">
        <v>0.04</v>
      </c>
      <c r="H686" s="4" t="s">
        <v>22</v>
      </c>
      <c r="I686" s="6">
        <v>1680.7860000000001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spans="1:21" ht="12" customHeight="1">
      <c r="A687" s="4">
        <v>143</v>
      </c>
      <c r="B687" s="4">
        <v>928</v>
      </c>
      <c r="C687" s="5">
        <f t="shared" ref="C687:C688" si="315">DATE(2012,12,31)-671</f>
        <v>40603</v>
      </c>
      <c r="D687" s="4" t="s">
        <v>21</v>
      </c>
      <c r="E687" s="4">
        <v>21</v>
      </c>
      <c r="F687" s="4">
        <v>1222.68</v>
      </c>
      <c r="G687" s="4">
        <v>0.06</v>
      </c>
      <c r="H687" s="4" t="s">
        <v>56</v>
      </c>
      <c r="I687" s="6">
        <v>300.97000000000003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0.56999999999999995</v>
      </c>
      <c r="U687" s="5">
        <f>C687+5</f>
        <v>40608</v>
      </c>
    </row>
    <row r="688" spans="1:21" ht="12" customHeight="1">
      <c r="A688" s="4">
        <v>144</v>
      </c>
      <c r="B688" s="4">
        <v>928</v>
      </c>
      <c r="C688" s="5">
        <f t="shared" si="315"/>
        <v>40603</v>
      </c>
      <c r="D688" s="4" t="s">
        <v>21</v>
      </c>
      <c r="E688" s="4">
        <v>26</v>
      </c>
      <c r="F688" s="4">
        <v>390.2</v>
      </c>
      <c r="G688" s="4">
        <v>0.02</v>
      </c>
      <c r="H688" s="4" t="s">
        <v>56</v>
      </c>
      <c r="I688" s="6">
        <v>45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6">C688+2</f>
        <v>40605</v>
      </c>
    </row>
    <row r="689" spans="1:21" ht="12" customHeight="1">
      <c r="A689" s="4">
        <v>191</v>
      </c>
      <c r="B689" s="4">
        <v>1282</v>
      </c>
      <c r="C689" s="5">
        <f t="shared" ref="C689:C690" si="317">DATE(2012,12,31)-308</f>
        <v>40966</v>
      </c>
      <c r="D689" s="4" t="s">
        <v>45</v>
      </c>
      <c r="E689" s="4">
        <v>26</v>
      </c>
      <c r="F689" s="4">
        <v>892.38</v>
      </c>
      <c r="G689" s="4">
        <v>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6"/>
        <v>40968</v>
      </c>
    </row>
    <row r="690" spans="1:21" ht="12" customHeight="1">
      <c r="A690" s="4">
        <v>192</v>
      </c>
      <c r="B690" s="4">
        <v>1282</v>
      </c>
      <c r="C690" s="5">
        <f t="shared" si="317"/>
        <v>40966</v>
      </c>
      <c r="D690" s="4" t="s">
        <v>45</v>
      </c>
      <c r="E690" s="4">
        <v>10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6"/>
        <v>40968</v>
      </c>
    </row>
    <row r="691" spans="1:21" ht="12" customHeight="1">
      <c r="A691" s="4">
        <v>267</v>
      </c>
      <c r="B691" s="4">
        <v>1856</v>
      </c>
      <c r="C691" s="5">
        <f t="shared" ref="C691:C693" si="318">DATE(2012,12,31)-287</f>
        <v>40987</v>
      </c>
      <c r="D691" s="4" t="s">
        <v>45</v>
      </c>
      <c r="E691" s="4">
        <v>24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6"/>
        <v>40989</v>
      </c>
    </row>
    <row r="692" spans="1:21" ht="12" customHeight="1">
      <c r="A692" s="4">
        <v>268</v>
      </c>
      <c r="B692" s="4">
        <v>1856</v>
      </c>
      <c r="C692" s="5">
        <f t="shared" si="318"/>
        <v>40987</v>
      </c>
      <c r="D692" s="4" t="s">
        <v>45</v>
      </c>
      <c r="E692" s="4">
        <v>43</v>
      </c>
      <c r="F692" s="4">
        <v>4374.6864999999998</v>
      </c>
      <c r="G692" s="4">
        <v>0.05</v>
      </c>
      <c r="H692" s="4" t="s">
        <v>22</v>
      </c>
      <c r="I692" s="6">
        <v>973.16099999999994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0.56999999999999995</v>
      </c>
      <c r="U692" s="5">
        <f t="shared" ref="U692:U694" si="319">C692+1</f>
        <v>40988</v>
      </c>
    </row>
    <row r="693" spans="1:21" ht="12" customHeight="1">
      <c r="A693" s="4">
        <v>269</v>
      </c>
      <c r="B693" s="4">
        <v>1856</v>
      </c>
      <c r="C693" s="5">
        <f t="shared" si="318"/>
        <v>40987</v>
      </c>
      <c r="D693" s="4" t="s">
        <v>45</v>
      </c>
      <c r="E693" s="4">
        <v>44</v>
      </c>
      <c r="F693" s="4">
        <v>4283.2350000000006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8.8000000000000007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19"/>
        <v>40988</v>
      </c>
    </row>
    <row r="694" spans="1:21" ht="12" customHeight="1">
      <c r="A694" s="4">
        <v>280</v>
      </c>
      <c r="B694" s="4">
        <v>1925</v>
      </c>
      <c r="C694" s="5">
        <f>DATE(2012,12,31)-302</f>
        <v>40972</v>
      </c>
      <c r="D694" s="4" t="s">
        <v>78</v>
      </c>
      <c r="E694" s="4">
        <v>7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19"/>
        <v>40973</v>
      </c>
    </row>
    <row r="695" spans="1:21" ht="12" customHeight="1">
      <c r="A695" s="4">
        <v>424</v>
      </c>
      <c r="B695" s="4">
        <v>2848</v>
      </c>
      <c r="C695" s="5">
        <f t="shared" ref="C695:C696" si="320">DATE(2012,12,31)-297</f>
        <v>40977</v>
      </c>
      <c r="D695" s="4" t="s">
        <v>78</v>
      </c>
      <c r="E695" s="4">
        <v>35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1">C695+2</f>
        <v>40979</v>
      </c>
    </row>
    <row r="696" spans="1:21" ht="12" customHeight="1">
      <c r="A696" s="4">
        <v>425</v>
      </c>
      <c r="B696" s="4">
        <v>2848</v>
      </c>
      <c r="C696" s="5">
        <f t="shared" si="320"/>
        <v>40977</v>
      </c>
      <c r="D696" s="4" t="s">
        <v>78</v>
      </c>
      <c r="E696" s="4">
        <v>8</v>
      </c>
      <c r="F696" s="4">
        <v>863.58299999999997</v>
      </c>
      <c r="G696" s="4">
        <v>0.04</v>
      </c>
      <c r="H696" s="4" t="s">
        <v>22</v>
      </c>
      <c r="I696" s="6">
        <v>-264.27499999999998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0.55000000000000004</v>
      </c>
      <c r="U696" s="5">
        <f t="shared" si="321"/>
        <v>40979</v>
      </c>
    </row>
    <row r="697" spans="1:21" ht="12" customHeight="1">
      <c r="A697" s="4">
        <v>767</v>
      </c>
      <c r="B697" s="4">
        <v>5504</v>
      </c>
      <c r="C697" s="5">
        <f t="shared" ref="C697:C698" si="322">DATE(2012,12,31)-1091</f>
        <v>40183</v>
      </c>
      <c r="D697" s="4" t="s">
        <v>30</v>
      </c>
      <c r="E697" s="4">
        <v>6</v>
      </c>
      <c r="F697" s="4">
        <v>49.55</v>
      </c>
      <c r="G697" s="4">
        <v>0.06</v>
      </c>
      <c r="H697" s="4" t="s">
        <v>56</v>
      </c>
      <c r="I697" s="6">
        <v>-20.329999999999998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1"/>
        <v>40185</v>
      </c>
    </row>
    <row r="698" spans="1:21" ht="12" customHeight="1">
      <c r="A698" s="4">
        <v>768</v>
      </c>
      <c r="B698" s="4">
        <v>5504</v>
      </c>
      <c r="C698" s="5">
        <f t="shared" si="322"/>
        <v>40183</v>
      </c>
      <c r="D698" s="4" t="s">
        <v>30</v>
      </c>
      <c r="E698" s="4">
        <v>15</v>
      </c>
      <c r="F698" s="4">
        <v>606.55999999999995</v>
      </c>
      <c r="G698" s="4">
        <v>0.04</v>
      </c>
      <c r="H698" s="4" t="s">
        <v>22</v>
      </c>
      <c r="I698" s="6">
        <v>20.231999999999999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0.56000000000000005</v>
      </c>
      <c r="U698" s="5">
        <f t="shared" si="321"/>
        <v>40185</v>
      </c>
    </row>
    <row r="699" spans="1:21" ht="12" customHeight="1">
      <c r="A699" s="4">
        <v>1153</v>
      </c>
      <c r="B699" s="4">
        <v>8390</v>
      </c>
      <c r="C699" s="5">
        <f>DATE(2012,12,31)-254</f>
        <v>41020</v>
      </c>
      <c r="D699" s="4" t="s">
        <v>63</v>
      </c>
      <c r="E699" s="4">
        <v>24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spans="1:21" ht="12" customHeight="1">
      <c r="A700" s="4">
        <v>1305</v>
      </c>
      <c r="B700" s="4">
        <v>9573</v>
      </c>
      <c r="C700" s="5">
        <f>DATE(2012,12,31)-201</f>
        <v>41073</v>
      </c>
      <c r="D700" s="4" t="s">
        <v>63</v>
      </c>
      <c r="E700" s="4">
        <v>41</v>
      </c>
      <c r="F700" s="4">
        <v>133.22999999999999</v>
      </c>
      <c r="G700" s="4">
        <v>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3">C700+1</f>
        <v>41074</v>
      </c>
    </row>
    <row r="701" spans="1:21" ht="12" customHeight="1">
      <c r="A701" s="4">
        <v>1356</v>
      </c>
      <c r="B701" s="4">
        <v>9892</v>
      </c>
      <c r="C701" s="5">
        <f>DATE(2012,12,31)-168</f>
        <v>41106</v>
      </c>
      <c r="D701" s="4" t="s">
        <v>63</v>
      </c>
      <c r="E701" s="4">
        <v>50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3"/>
        <v>41107</v>
      </c>
    </row>
    <row r="702" spans="1:21" ht="12" customHeight="1">
      <c r="A702" s="4">
        <v>1395</v>
      </c>
      <c r="B702" s="4">
        <v>10144</v>
      </c>
      <c r="C702" s="5">
        <f t="shared" ref="C702:C704" si="324">DATE(2012,12,31)-729</f>
        <v>40545</v>
      </c>
      <c r="D702" s="4" t="s">
        <v>78</v>
      </c>
      <c r="E702" s="4">
        <v>16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5">C702+2</f>
        <v>40547</v>
      </c>
    </row>
    <row r="703" spans="1:21" ht="12" customHeight="1">
      <c r="A703" s="4">
        <v>1396</v>
      </c>
      <c r="B703" s="4">
        <v>10144</v>
      </c>
      <c r="C703" s="5">
        <f t="shared" si="324"/>
        <v>40545</v>
      </c>
      <c r="D703" s="4" t="s">
        <v>78</v>
      </c>
      <c r="E703" s="4">
        <v>1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160.97999999999999</v>
      </c>
      <c r="K703" s="4">
        <v>30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5"/>
        <v>40547</v>
      </c>
    </row>
    <row r="704" spans="1:21" ht="12" customHeight="1">
      <c r="A704" s="4">
        <v>1397</v>
      </c>
      <c r="B704" s="4">
        <v>10144</v>
      </c>
      <c r="C704" s="5">
        <f t="shared" si="324"/>
        <v>40545</v>
      </c>
      <c r="D704" s="4" t="s">
        <v>78</v>
      </c>
      <c r="E704" s="4">
        <v>24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spans="1:21" ht="12" customHeight="1">
      <c r="A705" s="4">
        <v>1440</v>
      </c>
      <c r="B705" s="4">
        <v>10432</v>
      </c>
      <c r="C705" s="5">
        <f>DATE(2012,12,31)-361</f>
        <v>40913</v>
      </c>
      <c r="D705" s="4" t="s">
        <v>21</v>
      </c>
      <c r="E705" s="4">
        <v>13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19.989999999999998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spans="1:21" ht="12" customHeight="1">
      <c r="A706" s="4">
        <v>1791</v>
      </c>
      <c r="B706" s="4">
        <v>12806</v>
      </c>
      <c r="C706" s="5">
        <f>DATE(2012,12,31)-373</f>
        <v>40901</v>
      </c>
      <c r="D706" s="4" t="s">
        <v>45</v>
      </c>
      <c r="E706" s="4">
        <v>20</v>
      </c>
      <c r="F706" s="4">
        <v>761.23</v>
      </c>
      <c r="G706" s="4">
        <v>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spans="1:21" ht="12" customHeight="1">
      <c r="A707" s="4">
        <v>1837</v>
      </c>
      <c r="B707" s="4">
        <v>13158</v>
      </c>
      <c r="C707" s="5">
        <f>DATE(2012,12,31)-41</f>
        <v>41233</v>
      </c>
      <c r="D707" s="4" t="s">
        <v>78</v>
      </c>
      <c r="E707" s="4">
        <v>26</v>
      </c>
      <c r="F707" s="4">
        <v>187.16</v>
      </c>
      <c r="G707" s="4">
        <v>0.01</v>
      </c>
      <c r="H707" s="4" t="s">
        <v>22</v>
      </c>
      <c r="I707" s="6">
        <v>29.324999999999999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spans="1:21" ht="12" customHeight="1">
      <c r="A708" s="4">
        <v>1876</v>
      </c>
      <c r="B708" s="4">
        <v>13507</v>
      </c>
      <c r="C708" s="5">
        <f>DATE(2012,12,31)-2</f>
        <v>41272</v>
      </c>
      <c r="D708" s="4" t="s">
        <v>63</v>
      </c>
      <c r="E708" s="4">
        <v>27</v>
      </c>
      <c r="F708" s="4">
        <v>176.1</v>
      </c>
      <c r="G708" s="4">
        <v>0.09</v>
      </c>
      <c r="H708" s="4" t="s">
        <v>22</v>
      </c>
      <c r="I708" s="6">
        <v>-75.709999999999994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6">C708+1</f>
        <v>41273</v>
      </c>
    </row>
    <row r="709" spans="1:21" ht="12" customHeight="1">
      <c r="A709" s="4">
        <v>2014</v>
      </c>
      <c r="B709" s="4">
        <v>14375</v>
      </c>
      <c r="C709" s="5">
        <f>DATE(2012,12,31)-1065</f>
        <v>40209</v>
      </c>
      <c r="D709" s="4" t="s">
        <v>63</v>
      </c>
      <c r="E709" s="4">
        <v>7</v>
      </c>
      <c r="F709" s="4">
        <v>44.05</v>
      </c>
      <c r="G709" s="4">
        <v>7.0000000000000007E-2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6"/>
        <v>40210</v>
      </c>
    </row>
    <row r="710" spans="1:21" ht="12" customHeight="1">
      <c r="A710" s="4">
        <v>2077</v>
      </c>
      <c r="B710" s="4">
        <v>14852</v>
      </c>
      <c r="C710" s="5">
        <f>DATE(2012,12,31)-373</f>
        <v>40901</v>
      </c>
      <c r="D710" s="4" t="s">
        <v>63</v>
      </c>
      <c r="E710" s="4">
        <v>9</v>
      </c>
      <c r="F710" s="4">
        <v>3800.4</v>
      </c>
      <c r="G710" s="4">
        <v>0.03</v>
      </c>
      <c r="H710" s="4" t="s">
        <v>56</v>
      </c>
      <c r="I710" s="6">
        <v>1234.5740000000001</v>
      </c>
      <c r="J710" s="4">
        <v>420.98</v>
      </c>
      <c r="K710" s="4">
        <v>19.989999999999998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spans="1:21" ht="12" customHeight="1">
      <c r="A711" s="4">
        <v>2256</v>
      </c>
      <c r="B711" s="4">
        <v>16230</v>
      </c>
      <c r="C711" s="5">
        <f t="shared" ref="C711:C714" si="327">DATE(2012,12,31)-1038</f>
        <v>40236</v>
      </c>
      <c r="D711" s="4" t="s">
        <v>21</v>
      </c>
      <c r="E711" s="4">
        <v>2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8">C711+2</f>
        <v>40238</v>
      </c>
    </row>
    <row r="712" spans="1:21" ht="12" customHeight="1">
      <c r="A712" s="4">
        <v>2257</v>
      </c>
      <c r="B712" s="4">
        <v>16230</v>
      </c>
      <c r="C712" s="5">
        <f t="shared" si="327"/>
        <v>40236</v>
      </c>
      <c r="D712" s="4" t="s">
        <v>21</v>
      </c>
      <c r="E712" s="4">
        <v>27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130.97999999999999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8"/>
        <v>40238</v>
      </c>
    </row>
    <row r="713" spans="1:21" ht="12" customHeight="1">
      <c r="A713" s="4">
        <v>2258</v>
      </c>
      <c r="B713" s="4">
        <v>16230</v>
      </c>
      <c r="C713" s="5">
        <f t="shared" si="327"/>
        <v>40236</v>
      </c>
      <c r="D713" s="4" t="s">
        <v>21</v>
      </c>
      <c r="E713" s="4">
        <v>15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spans="1:21" ht="12" customHeight="1">
      <c r="A714" s="4">
        <v>2259</v>
      </c>
      <c r="B714" s="4">
        <v>16230</v>
      </c>
      <c r="C714" s="5">
        <f t="shared" si="327"/>
        <v>40236</v>
      </c>
      <c r="D714" s="4" t="s">
        <v>21</v>
      </c>
      <c r="E714" s="4">
        <v>40</v>
      </c>
      <c r="F714" s="4">
        <v>4538.66</v>
      </c>
      <c r="G714" s="4">
        <v>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spans="1:21" ht="12" customHeight="1">
      <c r="A715" s="4">
        <v>2635</v>
      </c>
      <c r="B715" s="4">
        <v>19074</v>
      </c>
      <c r="C715" s="5">
        <f>DATE(2012,12,31)-189</f>
        <v>41085</v>
      </c>
      <c r="D715" s="4" t="s">
        <v>78</v>
      </c>
      <c r="E715" s="4">
        <v>17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0.57999999999999996</v>
      </c>
      <c r="U715" s="5">
        <f t="shared" ref="U715:U719" si="329">C715+2</f>
        <v>41087</v>
      </c>
    </row>
    <row r="716" spans="1:21" ht="12" customHeight="1">
      <c r="A716" s="4">
        <v>2801</v>
      </c>
      <c r="B716" s="4">
        <v>20194</v>
      </c>
      <c r="C716" s="5">
        <f>DATE(2012,12,31)-293</f>
        <v>40981</v>
      </c>
      <c r="D716" s="4" t="s">
        <v>30</v>
      </c>
      <c r="E716" s="4">
        <v>10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20.239999999999998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29"/>
        <v>40983</v>
      </c>
    </row>
    <row r="717" spans="1:21" ht="12" customHeight="1">
      <c r="A717" s="4">
        <v>2912</v>
      </c>
      <c r="B717" s="4">
        <v>21024</v>
      </c>
      <c r="C717" s="5">
        <f>DATE(2012,12,31)-734</f>
        <v>40540</v>
      </c>
      <c r="D717" s="4" t="s">
        <v>63</v>
      </c>
      <c r="E717" s="4">
        <v>34</v>
      </c>
      <c r="F717" s="4">
        <v>195.49</v>
      </c>
      <c r="G717" s="4">
        <v>0.05</v>
      </c>
      <c r="H717" s="4" t="s">
        <v>22</v>
      </c>
      <c r="I717" s="6">
        <v>33.799999999999997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0.55000000000000004</v>
      </c>
      <c r="U717" s="5">
        <f t="shared" si="329"/>
        <v>40542</v>
      </c>
    </row>
    <row r="718" spans="1:21" ht="12" customHeight="1">
      <c r="A718" s="4">
        <v>2978</v>
      </c>
      <c r="B718" s="4">
        <v>21509</v>
      </c>
      <c r="C718" s="5">
        <f>DATE(2012,12,31)-181</f>
        <v>41093</v>
      </c>
      <c r="D718" s="4" t="s">
        <v>30</v>
      </c>
      <c r="E718" s="4">
        <v>13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29"/>
        <v>41095</v>
      </c>
    </row>
    <row r="719" spans="1:21" ht="12" customHeight="1">
      <c r="A719" s="4">
        <v>3042</v>
      </c>
      <c r="B719" s="4">
        <v>21856</v>
      </c>
      <c r="C719" s="5">
        <f t="shared" ref="C719:C720" si="330">DATE(2012,12,31)-270</f>
        <v>41004</v>
      </c>
      <c r="D719" s="4" t="s">
        <v>45</v>
      </c>
      <c r="E719" s="4">
        <v>47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29"/>
        <v>41006</v>
      </c>
    </row>
    <row r="720" spans="1:21" ht="12" customHeight="1">
      <c r="A720" s="4">
        <v>3043</v>
      </c>
      <c r="B720" s="4">
        <v>21856</v>
      </c>
      <c r="C720" s="5">
        <f t="shared" si="330"/>
        <v>41004</v>
      </c>
      <c r="D720" s="4" t="s">
        <v>45</v>
      </c>
      <c r="E720" s="4">
        <v>26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spans="1:21" ht="12" customHeight="1">
      <c r="A721" s="4">
        <v>3141</v>
      </c>
      <c r="B721" s="4">
        <v>22534</v>
      </c>
      <c r="C721" s="5">
        <f>DATE(2012,12,31)-532</f>
        <v>40742</v>
      </c>
      <c r="D721" s="4" t="s">
        <v>63</v>
      </c>
      <c r="E721" s="4">
        <v>3</v>
      </c>
      <c r="F721" s="4">
        <v>279.33</v>
      </c>
      <c r="G721" s="4">
        <v>0</v>
      </c>
      <c r="H721" s="4" t="s">
        <v>22</v>
      </c>
      <c r="I721" s="6">
        <v>-44.18</v>
      </c>
      <c r="J721" s="4">
        <v>83.93</v>
      </c>
      <c r="K721" s="4">
        <v>19.989999999999998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spans="1:21" ht="12" customHeight="1">
      <c r="A722" s="4">
        <v>3154</v>
      </c>
      <c r="B722" s="4">
        <v>22629</v>
      </c>
      <c r="C722" s="5">
        <f>DATE(2012,12,31)-991</f>
        <v>40283</v>
      </c>
      <c r="D722" s="4" t="s">
        <v>21</v>
      </c>
      <c r="E722" s="4">
        <v>5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spans="1:21" ht="12" customHeight="1">
      <c r="A723" s="4">
        <v>3208</v>
      </c>
      <c r="B723" s="4">
        <v>23011</v>
      </c>
      <c r="C723" s="5">
        <f>DATE(2012,12,31)-930</f>
        <v>40344</v>
      </c>
      <c r="D723" s="4" t="s">
        <v>21</v>
      </c>
      <c r="E723" s="4">
        <v>1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spans="1:21" ht="12" customHeight="1">
      <c r="A724" s="4">
        <v>3368</v>
      </c>
      <c r="B724" s="4">
        <v>24070</v>
      </c>
      <c r="C724" s="5">
        <f t="shared" ref="C724:C726" si="331">DATE(2012,12,31)-657</f>
        <v>40617</v>
      </c>
      <c r="D724" s="4" t="s">
        <v>30</v>
      </c>
      <c r="E724" s="4">
        <v>36</v>
      </c>
      <c r="F724" s="4">
        <v>170.42</v>
      </c>
      <c r="G724" s="4">
        <v>0.1</v>
      </c>
      <c r="H724" s="4" t="s">
        <v>22</v>
      </c>
      <c r="I724" s="6">
        <v>-98.313499999999991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2">C724+1</f>
        <v>40618</v>
      </c>
    </row>
    <row r="725" spans="1:21" ht="12" customHeight="1">
      <c r="A725" s="4">
        <v>3369</v>
      </c>
      <c r="B725" s="4">
        <v>24070</v>
      </c>
      <c r="C725" s="5">
        <f t="shared" si="331"/>
        <v>40617</v>
      </c>
      <c r="D725" s="4" t="s">
        <v>30</v>
      </c>
      <c r="E725" s="4">
        <v>3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0.56999999999999995</v>
      </c>
      <c r="U725" s="5">
        <f t="shared" si="332"/>
        <v>40618</v>
      </c>
    </row>
    <row r="726" spans="1:21" ht="12" customHeight="1">
      <c r="A726" s="4">
        <v>3370</v>
      </c>
      <c r="B726" s="4">
        <v>24070</v>
      </c>
      <c r="C726" s="5">
        <f t="shared" si="331"/>
        <v>40617</v>
      </c>
      <c r="D726" s="4" t="s">
        <v>30</v>
      </c>
      <c r="E726" s="4">
        <v>48</v>
      </c>
      <c r="F726" s="4">
        <v>294.26</v>
      </c>
      <c r="G726" s="4">
        <v>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2"/>
        <v>40618</v>
      </c>
    </row>
    <row r="727" spans="1:21" ht="12" customHeight="1">
      <c r="A727" s="4">
        <v>3691</v>
      </c>
      <c r="B727" s="4">
        <v>26373</v>
      </c>
      <c r="C727" s="5">
        <f>DATE(2012,12,31)-893</f>
        <v>40381</v>
      </c>
      <c r="D727" s="4" t="s">
        <v>63</v>
      </c>
      <c r="E727" s="4">
        <v>7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0.56999999999999995</v>
      </c>
      <c r="U727" s="5">
        <f>C727+3</f>
        <v>40384</v>
      </c>
    </row>
    <row r="728" spans="1:21" ht="12" customHeight="1">
      <c r="A728" s="4">
        <v>3781</v>
      </c>
      <c r="B728" s="4">
        <v>26978</v>
      </c>
      <c r="C728" s="5">
        <f t="shared" ref="C728:C730" si="333">DATE(2012,12,31)-920</f>
        <v>40354</v>
      </c>
      <c r="D728" s="4" t="s">
        <v>63</v>
      </c>
      <c r="E728" s="4">
        <v>46</v>
      </c>
      <c r="F728" s="4">
        <v>27875.54</v>
      </c>
      <c r="G728" s="4">
        <v>0</v>
      </c>
      <c r="H728" s="4" t="s">
        <v>22</v>
      </c>
      <c r="I728" s="6">
        <v>-635.69000000000005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4">C728+2</f>
        <v>40356</v>
      </c>
    </row>
    <row r="729" spans="1:21" ht="12" customHeight="1">
      <c r="A729" s="4">
        <v>3782</v>
      </c>
      <c r="B729" s="4">
        <v>26978</v>
      </c>
      <c r="C729" s="5">
        <f t="shared" si="333"/>
        <v>40354</v>
      </c>
      <c r="D729" s="4" t="s">
        <v>63</v>
      </c>
      <c r="E729" s="4">
        <v>49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4"/>
        <v>40356</v>
      </c>
    </row>
    <row r="730" spans="1:21" ht="12" customHeight="1">
      <c r="A730" s="4">
        <v>3783</v>
      </c>
      <c r="B730" s="4">
        <v>26978</v>
      </c>
      <c r="C730" s="5">
        <f t="shared" si="333"/>
        <v>40354</v>
      </c>
      <c r="D730" s="4" t="s">
        <v>63</v>
      </c>
      <c r="E730" s="4">
        <v>47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8.7799999999999994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0.56999999999999995</v>
      </c>
      <c r="U730" s="5">
        <f t="shared" si="334"/>
        <v>40356</v>
      </c>
    </row>
    <row r="731" spans="1:21" ht="12" customHeight="1">
      <c r="A731" s="4">
        <v>3815</v>
      </c>
      <c r="B731" s="4">
        <v>27174</v>
      </c>
      <c r="C731" s="5">
        <f>DATE(2012,12,31)-450</f>
        <v>40824</v>
      </c>
      <c r="D731" s="4" t="s">
        <v>78</v>
      </c>
      <c r="E731" s="4">
        <v>17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4"/>
        <v>40826</v>
      </c>
    </row>
    <row r="732" spans="1:21" ht="12" customHeight="1">
      <c r="A732" s="4">
        <v>3910</v>
      </c>
      <c r="B732" s="4">
        <v>27876</v>
      </c>
      <c r="C732" s="5">
        <f>DATE(2012,12,31)-846</f>
        <v>40428</v>
      </c>
      <c r="D732" s="4" t="s">
        <v>21</v>
      </c>
      <c r="E732" s="4">
        <v>44</v>
      </c>
      <c r="F732" s="4">
        <v>777.63</v>
      </c>
      <c r="G732" s="4">
        <v>0.03</v>
      </c>
      <c r="H732" s="4" t="s">
        <v>22</v>
      </c>
      <c r="I732" s="6">
        <v>-70.540000000000006</v>
      </c>
      <c r="J732" s="4">
        <v>16.989999999999998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0.56000000000000005</v>
      </c>
      <c r="U732" s="5">
        <f>C732+7</f>
        <v>40435</v>
      </c>
    </row>
    <row r="733" spans="1:21" ht="12" customHeight="1">
      <c r="A733" s="4">
        <v>4005</v>
      </c>
      <c r="B733" s="4">
        <v>28582</v>
      </c>
      <c r="C733" s="5">
        <f t="shared" ref="C733:C734" si="335">DATE(2012,12,31)-344</f>
        <v>40930</v>
      </c>
      <c r="D733" s="4" t="s">
        <v>45</v>
      </c>
      <c r="E733" s="4">
        <v>40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6">C733+1</f>
        <v>40931</v>
      </c>
    </row>
    <row r="734" spans="1:21" ht="12" customHeight="1">
      <c r="A734" s="4">
        <v>4006</v>
      </c>
      <c r="B734" s="4">
        <v>28582</v>
      </c>
      <c r="C734" s="5">
        <f t="shared" si="335"/>
        <v>40930</v>
      </c>
      <c r="D734" s="4" t="s">
        <v>45</v>
      </c>
      <c r="E734" s="4">
        <v>45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6"/>
        <v>40931</v>
      </c>
    </row>
    <row r="735" spans="1:21" ht="12" customHeight="1">
      <c r="A735" s="4">
        <v>4048</v>
      </c>
      <c r="B735" s="4">
        <v>28868</v>
      </c>
      <c r="C735" s="5">
        <f>DATE(2012,12,31)-270</f>
        <v>41004</v>
      </c>
      <c r="D735" s="4" t="s">
        <v>30</v>
      </c>
      <c r="E735" s="4">
        <v>30</v>
      </c>
      <c r="F735" s="4">
        <v>204.49</v>
      </c>
      <c r="G735" s="4">
        <v>0.05</v>
      </c>
      <c r="H735" s="4" t="s">
        <v>22</v>
      </c>
      <c r="I735" s="6">
        <v>-142.30000000000001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6"/>
        <v>41005</v>
      </c>
    </row>
    <row r="736" spans="1:21" ht="12" customHeight="1">
      <c r="A736" s="4">
        <v>4209</v>
      </c>
      <c r="B736" s="4">
        <v>29921</v>
      </c>
      <c r="C736" s="5">
        <f>DATE(2012,12,31)-283</f>
        <v>40991</v>
      </c>
      <c r="D736" s="4" t="s">
        <v>63</v>
      </c>
      <c r="E736" s="4">
        <v>33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7">C736+2</f>
        <v>40993</v>
      </c>
    </row>
    <row r="737" spans="1:21" ht="12" customHeight="1">
      <c r="A737" s="4">
        <v>4307</v>
      </c>
      <c r="B737" s="4">
        <v>30659</v>
      </c>
      <c r="C737" s="5">
        <f>DATE(2012,12,31)-475</f>
        <v>40799</v>
      </c>
      <c r="D737" s="4" t="s">
        <v>78</v>
      </c>
      <c r="E737" s="4">
        <v>45</v>
      </c>
      <c r="F737" s="4">
        <v>3116.7714999999998</v>
      </c>
      <c r="G737" s="4">
        <v>0.08</v>
      </c>
      <c r="H737" s="4" t="s">
        <v>22</v>
      </c>
      <c r="I737" s="6">
        <v>-106.51300000000001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7"/>
        <v>40801</v>
      </c>
    </row>
    <row r="738" spans="1:21" ht="12" customHeight="1">
      <c r="A738" s="4">
        <v>4308</v>
      </c>
      <c r="B738" s="4">
        <v>30660</v>
      </c>
      <c r="C738" s="5">
        <f>DATE(2012,12,31)-117</f>
        <v>41157</v>
      </c>
      <c r="D738" s="4" t="s">
        <v>78</v>
      </c>
      <c r="E738" s="4">
        <v>16</v>
      </c>
      <c r="F738" s="4">
        <v>986.27199999999993</v>
      </c>
      <c r="G738" s="4">
        <v>0.02</v>
      </c>
      <c r="H738" s="4" t="s">
        <v>22</v>
      </c>
      <c r="I738" s="6">
        <v>-647.13599999999997</v>
      </c>
      <c r="J738" s="4">
        <v>71.37</v>
      </c>
      <c r="K738" s="4">
        <v>69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spans="1:21" ht="12" customHeight="1">
      <c r="A739" s="4">
        <v>4332</v>
      </c>
      <c r="B739" s="4">
        <v>30883</v>
      </c>
      <c r="C739" s="5">
        <f>DATE(2012,12,31)-863</f>
        <v>40411</v>
      </c>
      <c r="D739" s="4" t="s">
        <v>63</v>
      </c>
      <c r="E739" s="4">
        <v>30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spans="1:21" ht="12" customHeight="1">
      <c r="A740" s="4">
        <v>4619</v>
      </c>
      <c r="B740" s="4">
        <v>32871</v>
      </c>
      <c r="C740" s="5">
        <f>DATE(2012,12,31)-66</f>
        <v>41208</v>
      </c>
      <c r="D740" s="4" t="s">
        <v>30</v>
      </c>
      <c r="E740" s="4">
        <v>42</v>
      </c>
      <c r="F740" s="4">
        <v>939.77</v>
      </c>
      <c r="G740" s="4">
        <v>0</v>
      </c>
      <c r="H740" s="4" t="s">
        <v>56</v>
      </c>
      <c r="I740" s="6">
        <v>9.7200000000000006</v>
      </c>
      <c r="J740" s="4">
        <v>20.97</v>
      </c>
      <c r="K740" s="4">
        <v>4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spans="1:21" ht="12" customHeight="1">
      <c r="A741" s="4">
        <v>4718</v>
      </c>
      <c r="B741" s="4">
        <v>33600</v>
      </c>
      <c r="C741" s="5">
        <f>DATE(2012,12,31)-817</f>
        <v>40457</v>
      </c>
      <c r="D741" s="4" t="s">
        <v>21</v>
      </c>
      <c r="E741" s="4">
        <v>42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spans="1:21" ht="12" customHeight="1">
      <c r="A742" s="4">
        <v>4722</v>
      </c>
      <c r="B742" s="4">
        <v>33632</v>
      </c>
      <c r="C742" s="5">
        <f>DATE(2012,12,31)-1024</f>
        <v>40250</v>
      </c>
      <c r="D742" s="4" t="s">
        <v>78</v>
      </c>
      <c r="E742" s="4">
        <v>8</v>
      </c>
      <c r="F742" s="4">
        <v>763.6484999999999</v>
      </c>
      <c r="G742" s="4">
        <v>0.06</v>
      </c>
      <c r="H742" s="4" t="s">
        <v>22</v>
      </c>
      <c r="I742" s="6">
        <v>-277.78300000000002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0.56999999999999995</v>
      </c>
      <c r="U742" s="5">
        <f>C742+1</f>
        <v>40251</v>
      </c>
    </row>
    <row r="743" spans="1:21" ht="12" customHeight="1">
      <c r="A743" s="4">
        <v>4727</v>
      </c>
      <c r="B743" s="4">
        <v>33665</v>
      </c>
      <c r="C743" s="5">
        <f>DATE(2012,12,31)-586</f>
        <v>40688</v>
      </c>
      <c r="D743" s="4" t="s">
        <v>21</v>
      </c>
      <c r="E743" s="4">
        <v>45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spans="1:21" ht="12" customHeight="1">
      <c r="A744" s="4">
        <v>4841</v>
      </c>
      <c r="B744" s="4">
        <v>34434</v>
      </c>
      <c r="C744" s="5">
        <f t="shared" ref="C744:C745" si="338">DATE(2012,12,31)-602</f>
        <v>40672</v>
      </c>
      <c r="D744" s="4" t="s">
        <v>45</v>
      </c>
      <c r="E744" s="4">
        <v>16</v>
      </c>
      <c r="F744" s="4">
        <v>32.35</v>
      </c>
      <c r="G744" s="4">
        <v>0.08</v>
      </c>
      <c r="H744" s="4" t="s">
        <v>22</v>
      </c>
      <c r="I744" s="6">
        <v>-63.192500000000003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spans="1:21" ht="12" customHeight="1">
      <c r="A745" s="4">
        <v>4842</v>
      </c>
      <c r="B745" s="4">
        <v>34434</v>
      </c>
      <c r="C745" s="5">
        <f t="shared" si="338"/>
        <v>40672</v>
      </c>
      <c r="D745" s="4" t="s">
        <v>45</v>
      </c>
      <c r="E745" s="4">
        <v>23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4.9800000000000004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39">C745+2</f>
        <v>40674</v>
      </c>
    </row>
    <row r="746" spans="1:21" ht="12" customHeight="1">
      <c r="A746" s="4">
        <v>4885</v>
      </c>
      <c r="B746" s="4">
        <v>34753</v>
      </c>
      <c r="C746" s="5">
        <f>DATE(2012,12,31)-1078</f>
        <v>40196</v>
      </c>
      <c r="D746" s="4" t="s">
        <v>45</v>
      </c>
      <c r="E746" s="4">
        <v>7</v>
      </c>
      <c r="F746" s="4">
        <v>117.062</v>
      </c>
      <c r="G746" s="4">
        <v>0.09</v>
      </c>
      <c r="H746" s="4" t="s">
        <v>22</v>
      </c>
      <c r="I746" s="6">
        <v>-63.700999999999993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0.56999999999999995</v>
      </c>
      <c r="U746" s="5">
        <f t="shared" si="339"/>
        <v>40198</v>
      </c>
    </row>
    <row r="747" spans="1:21" ht="12" customHeight="1">
      <c r="A747" s="4">
        <v>5019</v>
      </c>
      <c r="B747" s="4">
        <v>35812</v>
      </c>
      <c r="C747" s="5">
        <f t="shared" ref="C747:C749" si="340">DATE(2012,12,31)-1074</f>
        <v>40200</v>
      </c>
      <c r="D747" s="4" t="s">
        <v>78</v>
      </c>
      <c r="E747" s="4">
        <v>24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39"/>
        <v>40202</v>
      </c>
    </row>
    <row r="748" spans="1:21" ht="12" customHeight="1">
      <c r="A748" s="4">
        <v>5020</v>
      </c>
      <c r="B748" s="4">
        <v>35812</v>
      </c>
      <c r="C748" s="5">
        <f t="shared" si="340"/>
        <v>40200</v>
      </c>
      <c r="D748" s="4" t="s">
        <v>78</v>
      </c>
      <c r="E748" s="4">
        <v>2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39"/>
        <v>40202</v>
      </c>
    </row>
    <row r="749" spans="1:21" ht="12" customHeight="1">
      <c r="A749" s="4">
        <v>5021</v>
      </c>
      <c r="B749" s="4">
        <v>35812</v>
      </c>
      <c r="C749" s="5">
        <f t="shared" si="340"/>
        <v>40200</v>
      </c>
      <c r="D749" s="4" t="s">
        <v>78</v>
      </c>
      <c r="E749" s="4">
        <v>19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39"/>
        <v>40202</v>
      </c>
    </row>
    <row r="750" spans="1:21" ht="12" customHeight="1">
      <c r="A750" s="4">
        <v>5212</v>
      </c>
      <c r="B750" s="4">
        <v>37063</v>
      </c>
      <c r="C750" s="5">
        <f>DATE(2012,12,31)-22</f>
        <v>41252</v>
      </c>
      <c r="D750" s="4" t="s">
        <v>45</v>
      </c>
      <c r="E750" s="4">
        <v>50</v>
      </c>
      <c r="F750" s="4">
        <v>919</v>
      </c>
      <c r="G750" s="4">
        <v>0</v>
      </c>
      <c r="H750" s="4" t="s">
        <v>22</v>
      </c>
      <c r="I750" s="6">
        <v>89.6</v>
      </c>
      <c r="J750" s="4">
        <v>17.670000000000002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spans="1:21" ht="12" customHeight="1">
      <c r="A751" s="4">
        <v>5315</v>
      </c>
      <c r="B751" s="4">
        <v>37798</v>
      </c>
      <c r="C751" s="5">
        <f>DATE(2012,12,31)-57</f>
        <v>41217</v>
      </c>
      <c r="D751" s="4" t="s">
        <v>30</v>
      </c>
      <c r="E751" s="4">
        <v>23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0.56000000000000005</v>
      </c>
      <c r="U751" s="5">
        <f>C751+0</f>
        <v>41217</v>
      </c>
    </row>
    <row r="752" spans="1:21" ht="12" customHeight="1">
      <c r="A752" s="4">
        <v>5347</v>
      </c>
      <c r="B752" s="4">
        <v>38017</v>
      </c>
      <c r="C752" s="5">
        <f t="shared" ref="C752:C753" si="341">DATE(2012,12,31)-895</f>
        <v>40379</v>
      </c>
      <c r="D752" s="4" t="s">
        <v>21</v>
      </c>
      <c r="E752" s="4">
        <v>26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4.9800000000000004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spans="1:21" ht="12" customHeight="1">
      <c r="A753" s="4">
        <v>5348</v>
      </c>
      <c r="B753" s="4">
        <v>38017</v>
      </c>
      <c r="C753" s="5">
        <f t="shared" si="341"/>
        <v>40379</v>
      </c>
      <c r="D753" s="4" t="s">
        <v>21</v>
      </c>
      <c r="E753" s="4">
        <v>27</v>
      </c>
      <c r="F753" s="4">
        <v>2846.3609999999999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spans="1:21" ht="12" customHeight="1">
      <c r="A754" s="4">
        <v>5380</v>
      </c>
      <c r="B754" s="4">
        <v>38272</v>
      </c>
      <c r="C754" s="5">
        <f>DATE(2012,12,31)-412</f>
        <v>40862</v>
      </c>
      <c r="D754" s="4" t="s">
        <v>78</v>
      </c>
      <c r="E754" s="4">
        <v>39</v>
      </c>
      <c r="F754" s="4">
        <v>71.040000000000006</v>
      </c>
      <c r="G754" s="4">
        <v>7.0000000000000007E-2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spans="1:21" ht="12" customHeight="1">
      <c r="A755" s="4">
        <v>5596</v>
      </c>
      <c r="B755" s="4">
        <v>39655</v>
      </c>
      <c r="C755" s="5">
        <f>DATE(2012,12,31)-283</f>
        <v>40991</v>
      </c>
      <c r="D755" s="4" t="s">
        <v>30</v>
      </c>
      <c r="E755" s="4">
        <v>35</v>
      </c>
      <c r="F755" s="4">
        <v>253.15</v>
      </c>
      <c r="G755" s="4">
        <v>0.03</v>
      </c>
      <c r="H755" s="4" t="s">
        <v>22</v>
      </c>
      <c r="I755" s="6">
        <v>-72.430000000000007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spans="1:21" ht="12" customHeight="1">
      <c r="A756" s="4">
        <v>5744</v>
      </c>
      <c r="B756" s="4">
        <v>40803</v>
      </c>
      <c r="C756" s="5">
        <f t="shared" ref="C756:C757" si="342">DATE(2012,12,31)-628</f>
        <v>40646</v>
      </c>
      <c r="D756" s="4" t="s">
        <v>21</v>
      </c>
      <c r="E756" s="4">
        <v>22</v>
      </c>
      <c r="F756" s="4">
        <v>83.02</v>
      </c>
      <c r="G756" s="4">
        <v>0.08</v>
      </c>
      <c r="H756" s="4" t="s">
        <v>22</v>
      </c>
      <c r="I756" s="6">
        <v>9.2394999999999996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spans="1:21" ht="12" customHeight="1">
      <c r="A757" s="4">
        <v>5745</v>
      </c>
      <c r="B757" s="4">
        <v>40803</v>
      </c>
      <c r="C757" s="5">
        <f t="shared" si="342"/>
        <v>40646</v>
      </c>
      <c r="D757" s="4" t="s">
        <v>21</v>
      </c>
      <c r="E757" s="4">
        <v>35</v>
      </c>
      <c r="F757" s="4">
        <v>10278.790000000001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0.56000000000000005</v>
      </c>
      <c r="U757" s="5">
        <f>C757+2</f>
        <v>40648</v>
      </c>
    </row>
    <row r="758" spans="1:21" ht="12" customHeight="1">
      <c r="A758" s="4">
        <v>5747</v>
      </c>
      <c r="B758" s="4">
        <v>40806</v>
      </c>
      <c r="C758" s="5">
        <f>DATE(2012,12,31)-482</f>
        <v>40792</v>
      </c>
      <c r="D758" s="4" t="s">
        <v>78</v>
      </c>
      <c r="E758" s="4">
        <v>8</v>
      </c>
      <c r="F758" s="4">
        <v>53.14</v>
      </c>
      <c r="G758" s="4">
        <v>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spans="1:21" ht="12" customHeight="1">
      <c r="A759" s="4">
        <v>6147</v>
      </c>
      <c r="B759" s="4">
        <v>43523</v>
      </c>
      <c r="C759" s="5">
        <f>DATE(2012,12,31)-222</f>
        <v>41052</v>
      </c>
      <c r="D759" s="4" t="s">
        <v>63</v>
      </c>
      <c r="E759" s="4">
        <v>50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spans="1:21" ht="12" customHeight="1">
      <c r="A760" s="4">
        <v>6239</v>
      </c>
      <c r="B760" s="4">
        <v>44199</v>
      </c>
      <c r="C760" s="5">
        <f>DATE(2012,12,31)-302</f>
        <v>40972</v>
      </c>
      <c r="D760" s="4" t="s">
        <v>21</v>
      </c>
      <c r="E760" s="4">
        <v>12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spans="1:21" ht="12" customHeight="1">
      <c r="A761" s="4">
        <v>6438</v>
      </c>
      <c r="B761" s="4">
        <v>45763</v>
      </c>
      <c r="C761" s="5">
        <f>DATE(2012,12,31)-908</f>
        <v>40366</v>
      </c>
      <c r="D761" s="4" t="s">
        <v>30</v>
      </c>
      <c r="E761" s="4">
        <v>25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spans="1:21" ht="12" customHeight="1">
      <c r="A762" s="4">
        <v>6761</v>
      </c>
      <c r="B762" s="4">
        <v>48165</v>
      </c>
      <c r="C762" s="5">
        <f>DATE(2012,12,31)-787</f>
        <v>40487</v>
      </c>
      <c r="D762" s="4" t="s">
        <v>30</v>
      </c>
      <c r="E762" s="4">
        <v>28</v>
      </c>
      <c r="F762" s="4">
        <v>199.94</v>
      </c>
      <c r="G762" s="4">
        <v>0.01</v>
      </c>
      <c r="H762" s="4" t="s">
        <v>22</v>
      </c>
      <c r="I762" s="6">
        <v>-147.27000000000001</v>
      </c>
      <c r="J762" s="4">
        <v>6.48</v>
      </c>
      <c r="K762" s="4">
        <v>9.5399999999999991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3">C762+2</f>
        <v>40489</v>
      </c>
    </row>
    <row r="763" spans="1:21" ht="12" customHeight="1">
      <c r="A763" s="4">
        <v>6769</v>
      </c>
      <c r="B763" s="4">
        <v>48197</v>
      </c>
      <c r="C763" s="5">
        <f>DATE(2012,12,31)-240</f>
        <v>41034</v>
      </c>
      <c r="D763" s="4" t="s">
        <v>45</v>
      </c>
      <c r="E763" s="4">
        <v>32</v>
      </c>
      <c r="F763" s="4">
        <v>1282.49</v>
      </c>
      <c r="G763" s="4">
        <v>7.0000000000000007E-2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0.56999999999999995</v>
      </c>
      <c r="U763" s="5">
        <f t="shared" si="343"/>
        <v>41036</v>
      </c>
    </row>
    <row r="764" spans="1:21" ht="12" customHeight="1">
      <c r="A764" s="4">
        <v>6808</v>
      </c>
      <c r="B764" s="4">
        <v>48484</v>
      </c>
      <c r="C764" s="5">
        <f t="shared" ref="C764:C767" si="344">DATE(2012,12,31)-922</f>
        <v>40352</v>
      </c>
      <c r="D764" s="4" t="s">
        <v>63</v>
      </c>
      <c r="E764" s="4">
        <v>22</v>
      </c>
      <c r="F764" s="4">
        <v>346.42</v>
      </c>
      <c r="G764" s="4">
        <v>0.05</v>
      </c>
      <c r="H764" s="4" t="s">
        <v>22</v>
      </c>
      <c r="I764" s="6">
        <v>67.959999999999994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5">C764+1</f>
        <v>40353</v>
      </c>
    </row>
    <row r="765" spans="1:21" ht="12" customHeight="1">
      <c r="A765" s="4">
        <v>6809</v>
      </c>
      <c r="B765" s="4">
        <v>48484</v>
      </c>
      <c r="C765" s="5">
        <f t="shared" si="344"/>
        <v>40352</v>
      </c>
      <c r="D765" s="4" t="s">
        <v>63</v>
      </c>
      <c r="E765" s="4">
        <v>41</v>
      </c>
      <c r="F765" s="4">
        <v>773.44</v>
      </c>
      <c r="G765" s="4">
        <v>0.08</v>
      </c>
      <c r="H765" s="4" t="s">
        <v>56</v>
      </c>
      <c r="I765" s="6">
        <v>133.83000000000001</v>
      </c>
      <c r="J765" s="4">
        <v>20.239999999999998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5"/>
        <v>40353</v>
      </c>
    </row>
    <row r="766" spans="1:21" ht="12" customHeight="1">
      <c r="A766" s="4">
        <v>6810</v>
      </c>
      <c r="B766" s="4">
        <v>48484</v>
      </c>
      <c r="C766" s="5">
        <f t="shared" si="344"/>
        <v>40352</v>
      </c>
      <c r="D766" s="4" t="s">
        <v>63</v>
      </c>
      <c r="E766" s="4">
        <v>43</v>
      </c>
      <c r="F766" s="4">
        <v>881.84</v>
      </c>
      <c r="G766" s="4">
        <v>0</v>
      </c>
      <c r="H766" s="4" t="s">
        <v>22</v>
      </c>
      <c r="I766" s="6">
        <v>153.80000000000001</v>
      </c>
      <c r="J766" s="4">
        <v>18.97</v>
      </c>
      <c r="K766" s="4">
        <v>9.0299999999999994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6">C766+2</f>
        <v>40354</v>
      </c>
    </row>
    <row r="767" spans="1:21" ht="12" customHeight="1">
      <c r="A767" s="4">
        <v>6811</v>
      </c>
      <c r="B767" s="4">
        <v>48484</v>
      </c>
      <c r="C767" s="5">
        <f t="shared" si="344"/>
        <v>40352</v>
      </c>
      <c r="D767" s="4" t="s">
        <v>63</v>
      </c>
      <c r="E767" s="4">
        <v>50</v>
      </c>
      <c r="F767" s="4">
        <v>5067.5725000000002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0.55000000000000004</v>
      </c>
      <c r="U767" s="5">
        <f t="shared" si="346"/>
        <v>40354</v>
      </c>
    </row>
    <row r="768" spans="1:21" ht="12" customHeight="1">
      <c r="A768" s="4">
        <v>6893</v>
      </c>
      <c r="B768" s="4">
        <v>49153</v>
      </c>
      <c r="C768" s="5">
        <f>DATE(2012,12,31)-156</f>
        <v>41118</v>
      </c>
      <c r="D768" s="4" t="s">
        <v>63</v>
      </c>
      <c r="E768" s="4">
        <v>31</v>
      </c>
      <c r="F768" s="4">
        <v>2245.7800000000002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spans="1:21" ht="12" customHeight="1">
      <c r="A769" s="4">
        <v>6958</v>
      </c>
      <c r="B769" s="4">
        <v>49761</v>
      </c>
      <c r="C769" s="5">
        <f>DATE(2012,12,31)-707</f>
        <v>40567</v>
      </c>
      <c r="D769" s="4" t="s">
        <v>45</v>
      </c>
      <c r="E769" s="4">
        <v>45</v>
      </c>
      <c r="F769" s="4">
        <v>1090.5999999999999</v>
      </c>
      <c r="G769" s="4">
        <v>7.0000000000000007E-2</v>
      </c>
      <c r="H769" s="4" t="s">
        <v>22</v>
      </c>
      <c r="I769" s="6">
        <v>300.91000000000003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spans="1:21" ht="12" customHeight="1">
      <c r="A770" s="4">
        <v>7242</v>
      </c>
      <c r="B770" s="4">
        <v>51648</v>
      </c>
      <c r="C770" s="5">
        <f t="shared" ref="C770:C771" si="347">DATE(2012,12,31)-365</f>
        <v>40909</v>
      </c>
      <c r="D770" s="4" t="s">
        <v>21</v>
      </c>
      <c r="E770" s="4">
        <v>45</v>
      </c>
      <c r="F770" s="4">
        <v>2354.8000000000002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19.989999999999998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spans="1:21" ht="12" customHeight="1">
      <c r="A771" s="4">
        <v>7243</v>
      </c>
      <c r="B771" s="4">
        <v>51648</v>
      </c>
      <c r="C771" s="5">
        <f t="shared" si="347"/>
        <v>40909</v>
      </c>
      <c r="D771" s="4" t="s">
        <v>21</v>
      </c>
      <c r="E771" s="4">
        <v>50</v>
      </c>
      <c r="F771" s="4">
        <v>187.88</v>
      </c>
      <c r="G771" s="4">
        <v>0.08</v>
      </c>
      <c r="H771" s="4" t="s">
        <v>22</v>
      </c>
      <c r="I771" s="6">
        <v>-38.229999999999997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spans="1:21" ht="12" customHeight="1">
      <c r="A772" s="4">
        <v>7348</v>
      </c>
      <c r="B772" s="4">
        <v>52326</v>
      </c>
      <c r="C772" s="5">
        <f>DATE(2012,12,31)-880</f>
        <v>40394</v>
      </c>
      <c r="D772" s="4" t="s">
        <v>21</v>
      </c>
      <c r="E772" s="4">
        <v>41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spans="1:21" ht="12" customHeight="1">
      <c r="A773" s="4">
        <v>7400</v>
      </c>
      <c r="B773" s="4">
        <v>52737</v>
      </c>
      <c r="C773" s="5">
        <f>DATE(2012,12,31)-784</f>
        <v>40490</v>
      </c>
      <c r="D773" s="4" t="s">
        <v>45</v>
      </c>
      <c r="E773" s="4">
        <v>14</v>
      </c>
      <c r="F773" s="4">
        <v>125.54</v>
      </c>
      <c r="G773" s="4">
        <v>0.03</v>
      </c>
      <c r="H773" s="4" t="s">
        <v>56</v>
      </c>
      <c r="I773" s="6">
        <v>-15.743499999999999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spans="1:21" ht="12" customHeight="1">
      <c r="A774" s="4">
        <v>7458</v>
      </c>
      <c r="B774" s="4">
        <v>53216</v>
      </c>
      <c r="C774" s="5">
        <f>DATE(2012,12,31)-27</f>
        <v>41247</v>
      </c>
      <c r="D774" s="4" t="s">
        <v>30</v>
      </c>
      <c r="E774" s="4">
        <v>36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spans="1:21" ht="12" customHeight="1">
      <c r="A775" s="4">
        <v>7558</v>
      </c>
      <c r="B775" s="4">
        <v>54081</v>
      </c>
      <c r="C775" s="5">
        <f>DATE(2012,12,31)-662</f>
        <v>40612</v>
      </c>
      <c r="D775" s="4" t="s">
        <v>21</v>
      </c>
      <c r="E775" s="4">
        <v>2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8">C775+2</f>
        <v>40614</v>
      </c>
    </row>
    <row r="776" spans="1:21" ht="12" customHeight="1">
      <c r="A776" s="4">
        <v>7694</v>
      </c>
      <c r="B776" s="4">
        <v>55170</v>
      </c>
      <c r="C776" s="5">
        <f>DATE(2012,12,31)-101</f>
        <v>41173</v>
      </c>
      <c r="D776" s="4" t="s">
        <v>78</v>
      </c>
      <c r="E776" s="4">
        <v>22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0.57999999999999996</v>
      </c>
      <c r="U776" s="5">
        <f t="shared" si="348"/>
        <v>41175</v>
      </c>
    </row>
    <row r="777" spans="1:21" ht="12" customHeight="1">
      <c r="A777" s="4">
        <v>7796</v>
      </c>
      <c r="B777" s="4">
        <v>55777</v>
      </c>
      <c r="C777" s="5">
        <f t="shared" ref="C777:C778" si="349">DATE(2012,12,31)-51</f>
        <v>41223</v>
      </c>
      <c r="D777" s="4" t="s">
        <v>45</v>
      </c>
      <c r="E777" s="4">
        <v>6</v>
      </c>
      <c r="F777" s="4">
        <v>323.52999999999997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19.989999999999998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0.55000000000000004</v>
      </c>
      <c r="U777" s="5">
        <f>C777+1</f>
        <v>41224</v>
      </c>
    </row>
    <row r="778" spans="1:21" ht="12" customHeight="1">
      <c r="A778" s="4">
        <v>7797</v>
      </c>
      <c r="B778" s="4">
        <v>55777</v>
      </c>
      <c r="C778" s="5">
        <f t="shared" si="349"/>
        <v>41223</v>
      </c>
      <c r="D778" s="4" t="s">
        <v>45</v>
      </c>
      <c r="E778" s="4">
        <v>1</v>
      </c>
      <c r="F778" s="4">
        <v>65.747500000000002</v>
      </c>
      <c r="G778" s="4">
        <v>0.1</v>
      </c>
      <c r="H778" s="4" t="s">
        <v>56</v>
      </c>
      <c r="I778" s="6">
        <v>-252.483</v>
      </c>
      <c r="J778" s="4">
        <v>65.989999999999995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spans="1:21" ht="12" customHeight="1">
      <c r="A779" s="4">
        <v>7830</v>
      </c>
      <c r="B779" s="4">
        <v>56001</v>
      </c>
      <c r="C779" s="5">
        <f>DATE(2012,12,31)-994</f>
        <v>40280</v>
      </c>
      <c r="D779" s="4" t="s">
        <v>21</v>
      </c>
      <c r="E779" s="4">
        <v>17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spans="1:21" ht="12" customHeight="1">
      <c r="A780" s="4">
        <v>7921</v>
      </c>
      <c r="B780" s="4">
        <v>56640</v>
      </c>
      <c r="C780" s="5">
        <f t="shared" ref="C780:C781" si="350">DATE(2012,12,31)-494</f>
        <v>40780</v>
      </c>
      <c r="D780" s="4" t="s">
        <v>30</v>
      </c>
      <c r="E780" s="4">
        <v>2</v>
      </c>
      <c r="F780" s="4">
        <v>29.31</v>
      </c>
      <c r="G780" s="4">
        <v>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1">C780+1</f>
        <v>40781</v>
      </c>
    </row>
    <row r="781" spans="1:21" ht="12" customHeight="1">
      <c r="A781" s="4">
        <v>7922</v>
      </c>
      <c r="B781" s="4">
        <v>56640</v>
      </c>
      <c r="C781" s="5">
        <f t="shared" si="350"/>
        <v>40780</v>
      </c>
      <c r="D781" s="4" t="s">
        <v>30</v>
      </c>
      <c r="E781" s="4">
        <v>11</v>
      </c>
      <c r="F781" s="4">
        <v>80.260000000000005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1"/>
        <v>40781</v>
      </c>
    </row>
    <row r="782" spans="1:21" ht="12" customHeight="1">
      <c r="A782" s="4">
        <v>8313</v>
      </c>
      <c r="B782" s="4">
        <v>59393</v>
      </c>
      <c r="C782" s="5">
        <f>DATE(2012,12,31)-772</f>
        <v>40502</v>
      </c>
      <c r="D782" s="4" t="s">
        <v>63</v>
      </c>
      <c r="E782" s="4">
        <v>34</v>
      </c>
      <c r="F782" s="4">
        <v>398.76</v>
      </c>
      <c r="G782" s="4">
        <v>7.0000000000000007E-2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1"/>
        <v>40503</v>
      </c>
    </row>
    <row r="783" spans="1:21" ht="12" customHeight="1">
      <c r="A783" s="4">
        <v>8357</v>
      </c>
      <c r="B783" s="4">
        <v>59712</v>
      </c>
      <c r="C783" s="5">
        <f>DATE(2012,12,31)-930</f>
        <v>40344</v>
      </c>
      <c r="D783" s="4" t="s">
        <v>78</v>
      </c>
      <c r="E783" s="4">
        <v>25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2">C783+2</f>
        <v>40346</v>
      </c>
    </row>
    <row r="784" spans="1:21" ht="12" customHeight="1">
      <c r="A784" s="4">
        <v>8382</v>
      </c>
      <c r="B784" s="4">
        <v>59905</v>
      </c>
      <c r="C784" s="5">
        <f t="shared" ref="C784:C786" si="353">DATE(2012,12,31)-261</f>
        <v>41013</v>
      </c>
      <c r="D784" s="4" t="s">
        <v>30</v>
      </c>
      <c r="E784" s="4">
        <v>19</v>
      </c>
      <c r="F784" s="4">
        <v>159.24</v>
      </c>
      <c r="G784" s="4">
        <v>0.09</v>
      </c>
      <c r="H784" s="4" t="s">
        <v>22</v>
      </c>
      <c r="I784" s="6">
        <v>8.3000000000000007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2"/>
        <v>41015</v>
      </c>
    </row>
    <row r="785" spans="1:21" ht="12" customHeight="1">
      <c r="A785" s="4">
        <v>8383</v>
      </c>
      <c r="B785" s="4">
        <v>59905</v>
      </c>
      <c r="C785" s="5">
        <f t="shared" si="353"/>
        <v>41013</v>
      </c>
      <c r="D785" s="4" t="s">
        <v>30</v>
      </c>
      <c r="E785" s="4">
        <v>6</v>
      </c>
      <c r="F785" s="4">
        <v>48.77</v>
      </c>
      <c r="G785" s="4">
        <v>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2"/>
        <v>41015</v>
      </c>
    </row>
    <row r="786" spans="1:21" ht="12" customHeight="1">
      <c r="A786" s="4">
        <v>8384</v>
      </c>
      <c r="B786" s="4">
        <v>59905</v>
      </c>
      <c r="C786" s="5">
        <f t="shared" si="353"/>
        <v>41013</v>
      </c>
      <c r="D786" s="4" t="s">
        <v>30</v>
      </c>
      <c r="E786" s="4">
        <v>5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spans="1:21" ht="12" customHeight="1">
      <c r="A787" s="4">
        <v>52</v>
      </c>
      <c r="B787" s="4">
        <v>322</v>
      </c>
      <c r="C787" s="5">
        <f t="shared" ref="C787:C788" si="354">DATE(2012,12,31)-288</f>
        <v>40986</v>
      </c>
      <c r="D787" s="4" t="s">
        <v>78</v>
      </c>
      <c r="E787" s="4">
        <v>20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5">C787+2</f>
        <v>40988</v>
      </c>
    </row>
    <row r="788" spans="1:21" ht="12" customHeight="1">
      <c r="A788" s="4">
        <v>53</v>
      </c>
      <c r="B788" s="4">
        <v>322</v>
      </c>
      <c r="C788" s="5">
        <f t="shared" si="354"/>
        <v>40986</v>
      </c>
      <c r="D788" s="4" t="s">
        <v>78</v>
      </c>
      <c r="E788" s="4">
        <v>46</v>
      </c>
      <c r="F788" s="4">
        <v>281</v>
      </c>
      <c r="G788" s="4">
        <v>0.1</v>
      </c>
      <c r="H788" s="4" t="s">
        <v>22</v>
      </c>
      <c r="I788" s="6">
        <v>-291.58999999999997</v>
      </c>
      <c r="J788" s="4">
        <v>6.48</v>
      </c>
      <c r="K788" s="4">
        <v>10.050000000000001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5"/>
        <v>40988</v>
      </c>
    </row>
    <row r="789" spans="1:21" ht="12" customHeight="1">
      <c r="A789" s="4">
        <v>185</v>
      </c>
      <c r="B789" s="4">
        <v>1221</v>
      </c>
      <c r="C789" s="5">
        <f t="shared" ref="C789:C791" si="356">DATE(2012,12,31)-257</f>
        <v>41017</v>
      </c>
      <c r="D789" s="4" t="s">
        <v>45</v>
      </c>
      <c r="E789" s="4">
        <v>1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spans="1:21" ht="12" customHeight="1">
      <c r="A790" s="4">
        <v>186</v>
      </c>
      <c r="B790" s="4">
        <v>1221</v>
      </c>
      <c r="C790" s="5">
        <f t="shared" si="356"/>
        <v>41017</v>
      </c>
      <c r="D790" s="4" t="s">
        <v>45</v>
      </c>
      <c r="E790" s="4">
        <v>11</v>
      </c>
      <c r="F790" s="4">
        <v>10145.14</v>
      </c>
      <c r="G790" s="4">
        <v>0.03</v>
      </c>
      <c r="H790" s="4" t="s">
        <v>22</v>
      </c>
      <c r="I790" s="6">
        <v>3724.5725000000002</v>
      </c>
      <c r="J790" s="4">
        <v>896.99</v>
      </c>
      <c r="K790" s="4">
        <v>19.989999999999998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7">C790+2</f>
        <v>41019</v>
      </c>
    </row>
    <row r="791" spans="1:21" ht="12" customHeight="1">
      <c r="A791" s="4">
        <v>187</v>
      </c>
      <c r="B791" s="4">
        <v>1221</v>
      </c>
      <c r="C791" s="5">
        <f t="shared" si="356"/>
        <v>41017</v>
      </c>
      <c r="D791" s="4" t="s">
        <v>45</v>
      </c>
      <c r="E791" s="4">
        <v>16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7"/>
        <v>41019</v>
      </c>
    </row>
    <row r="792" spans="1:21" ht="12" customHeight="1">
      <c r="A792" s="4">
        <v>222</v>
      </c>
      <c r="B792" s="4">
        <v>1445</v>
      </c>
      <c r="C792" s="5">
        <f t="shared" ref="C792:C793" si="358">DATE(2012,12,31)-722</f>
        <v>40552</v>
      </c>
      <c r="D792" s="4" t="s">
        <v>63</v>
      </c>
      <c r="E792" s="4">
        <v>3</v>
      </c>
      <c r="F792" s="4">
        <v>1326.09</v>
      </c>
      <c r="G792" s="4">
        <v>0</v>
      </c>
      <c r="H792" s="4" t="s">
        <v>22</v>
      </c>
      <c r="I792" s="6">
        <v>-20.5505</v>
      </c>
      <c r="J792" s="4">
        <v>420.98</v>
      </c>
      <c r="K792" s="4">
        <v>19.989999999999998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spans="1:21" ht="12" customHeight="1">
      <c r="A793" s="4">
        <v>223</v>
      </c>
      <c r="B793" s="4">
        <v>1445</v>
      </c>
      <c r="C793" s="5">
        <f t="shared" si="358"/>
        <v>40552</v>
      </c>
      <c r="D793" s="4" t="s">
        <v>63</v>
      </c>
      <c r="E793" s="4">
        <v>30</v>
      </c>
      <c r="F793" s="4">
        <v>339.49</v>
      </c>
      <c r="G793" s="4">
        <v>0.08</v>
      </c>
      <c r="H793" s="4" t="s">
        <v>22</v>
      </c>
      <c r="I793" s="6">
        <v>-74.209999999999994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spans="1:21" ht="12" customHeight="1">
      <c r="A794" s="4">
        <v>393</v>
      </c>
      <c r="B794" s="4">
        <v>2720</v>
      </c>
      <c r="C794" s="5">
        <f>DATE(2012,12,31)-938</f>
        <v>40336</v>
      </c>
      <c r="D794" s="4" t="s">
        <v>78</v>
      </c>
      <c r="E794" s="4">
        <v>36</v>
      </c>
      <c r="F794" s="4">
        <v>2051.0160000000001</v>
      </c>
      <c r="G794" s="4">
        <v>0.02</v>
      </c>
      <c r="H794" s="4" t="s">
        <v>56</v>
      </c>
      <c r="I794" s="6">
        <v>483.96600000000001</v>
      </c>
      <c r="J794" s="4">
        <v>65.989999999999995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spans="1:21" ht="12" customHeight="1">
      <c r="A795" s="4">
        <v>548</v>
      </c>
      <c r="B795" s="4">
        <v>3685</v>
      </c>
      <c r="C795" s="5">
        <f>DATE(2012,12,31)-350</f>
        <v>40924</v>
      </c>
      <c r="D795" s="4" t="s">
        <v>63</v>
      </c>
      <c r="E795" s="4">
        <v>29</v>
      </c>
      <c r="F795" s="4">
        <v>106.78</v>
      </c>
      <c r="G795" s="4">
        <v>0</v>
      </c>
      <c r="H795" s="4" t="s">
        <v>22</v>
      </c>
      <c r="I795" s="6">
        <v>-98.05</v>
      </c>
      <c r="J795" s="4">
        <v>3.28</v>
      </c>
      <c r="K795" s="4">
        <v>5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0.56000000000000005</v>
      </c>
      <c r="U795" s="5">
        <f>C795+1</f>
        <v>40925</v>
      </c>
    </row>
    <row r="796" spans="1:21" ht="12" customHeight="1">
      <c r="A796" s="4">
        <v>549</v>
      </c>
      <c r="B796" s="4">
        <v>3687</v>
      </c>
      <c r="C796" s="5">
        <f>DATE(2012,12,31)-1063</f>
        <v>40211</v>
      </c>
      <c r="D796" s="4" t="s">
        <v>78</v>
      </c>
      <c r="E796" s="4">
        <v>25</v>
      </c>
      <c r="F796" s="4">
        <v>79.37</v>
      </c>
      <c r="G796" s="4">
        <v>7.0000000000000007E-2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59">C796+0</f>
        <v>40211</v>
      </c>
    </row>
    <row r="797" spans="1:21" ht="12" customHeight="1">
      <c r="A797" s="4">
        <v>574</v>
      </c>
      <c r="B797" s="4">
        <v>3907</v>
      </c>
      <c r="C797" s="5">
        <f>DATE(2012,12,31)-135</f>
        <v>41139</v>
      </c>
      <c r="D797" s="4" t="s">
        <v>63</v>
      </c>
      <c r="E797" s="4">
        <v>36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4.4800000000000004</v>
      </c>
      <c r="K797" s="4">
        <v>49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59"/>
        <v>41139</v>
      </c>
    </row>
    <row r="798" spans="1:21" ht="12" customHeight="1">
      <c r="A798" s="4">
        <v>594</v>
      </c>
      <c r="B798" s="4">
        <v>4067</v>
      </c>
      <c r="C798" s="5">
        <f>DATE(2012,12,31)-86</f>
        <v>41188</v>
      </c>
      <c r="D798" s="4" t="s">
        <v>30</v>
      </c>
      <c r="E798" s="4">
        <v>16</v>
      </c>
      <c r="F798" s="4">
        <v>118.38</v>
      </c>
      <c r="G798" s="4">
        <v>0.04</v>
      </c>
      <c r="H798" s="4" t="s">
        <v>22</v>
      </c>
      <c r="I798" s="6">
        <v>-42.457999999999998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0">C798+2</f>
        <v>41190</v>
      </c>
    </row>
    <row r="799" spans="1:21" ht="12" customHeight="1">
      <c r="A799" s="4">
        <v>617</v>
      </c>
      <c r="B799" s="4">
        <v>4257</v>
      </c>
      <c r="C799" s="5">
        <f>DATE(2012,12,31)-648</f>
        <v>40626</v>
      </c>
      <c r="D799" s="4" t="s">
        <v>63</v>
      </c>
      <c r="E799" s="4">
        <v>45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0"/>
        <v>40628</v>
      </c>
    </row>
    <row r="800" spans="1:21" ht="12" customHeight="1">
      <c r="A800" s="4">
        <v>618</v>
      </c>
      <c r="B800" s="4">
        <v>4261</v>
      </c>
      <c r="C800" s="5">
        <f t="shared" ref="C800:C803" si="361">DATE(2012,12,31)-90</f>
        <v>41184</v>
      </c>
      <c r="D800" s="4" t="s">
        <v>78</v>
      </c>
      <c r="E800" s="4">
        <v>22</v>
      </c>
      <c r="F800" s="4">
        <v>1556.87</v>
      </c>
      <c r="G800" s="4">
        <v>0.04</v>
      </c>
      <c r="H800" s="4" t="s">
        <v>31</v>
      </c>
      <c r="I800" s="6">
        <v>-521.41999999999996</v>
      </c>
      <c r="J800" s="4">
        <v>68.81</v>
      </c>
      <c r="K800" s="4">
        <v>60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spans="1:21" ht="12" customHeight="1">
      <c r="A801" s="4">
        <v>619</v>
      </c>
      <c r="B801" s="4">
        <v>4261</v>
      </c>
      <c r="C801" s="5">
        <f t="shared" si="361"/>
        <v>41184</v>
      </c>
      <c r="D801" s="4" t="s">
        <v>78</v>
      </c>
      <c r="E801" s="4">
        <v>33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2">C801+2</f>
        <v>41186</v>
      </c>
    </row>
    <row r="802" spans="1:21" ht="12" customHeight="1">
      <c r="A802" s="4">
        <v>620</v>
      </c>
      <c r="B802" s="4">
        <v>4261</v>
      </c>
      <c r="C802" s="5">
        <f t="shared" si="361"/>
        <v>41184</v>
      </c>
      <c r="D802" s="4" t="s">
        <v>78</v>
      </c>
      <c r="E802" s="4">
        <v>32</v>
      </c>
      <c r="F802" s="4">
        <v>9235.9699999999993</v>
      </c>
      <c r="G802" s="4">
        <v>0.04</v>
      </c>
      <c r="H802" s="4" t="s">
        <v>22</v>
      </c>
      <c r="I802" s="6">
        <v>2848.17</v>
      </c>
      <c r="J802" s="4">
        <v>300.64999999999998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2"/>
        <v>41186</v>
      </c>
    </row>
    <row r="803" spans="1:21" ht="12" customHeight="1">
      <c r="A803" s="4">
        <v>621</v>
      </c>
      <c r="B803" s="4">
        <v>4261</v>
      </c>
      <c r="C803" s="5">
        <f t="shared" si="361"/>
        <v>41184</v>
      </c>
      <c r="D803" s="4" t="s">
        <v>78</v>
      </c>
      <c r="E803" s="4">
        <v>48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2"/>
        <v>41186</v>
      </c>
    </row>
    <row r="804" spans="1:21" ht="12" customHeight="1">
      <c r="A804" s="4">
        <v>622</v>
      </c>
      <c r="B804" s="4">
        <v>4294</v>
      </c>
      <c r="C804" s="5">
        <f>DATE(2012,12,31)-139</f>
        <v>41135</v>
      </c>
      <c r="D804" s="4" t="s">
        <v>63</v>
      </c>
      <c r="E804" s="4">
        <v>8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2"/>
        <v>41137</v>
      </c>
    </row>
    <row r="805" spans="1:21" ht="12" customHeight="1">
      <c r="A805" s="4">
        <v>657</v>
      </c>
      <c r="B805" s="4">
        <v>4642</v>
      </c>
      <c r="C805" s="5">
        <f t="shared" ref="C805:C806" si="363">DATE(2012,12,31)-674</f>
        <v>40600</v>
      </c>
      <c r="D805" s="4" t="s">
        <v>78</v>
      </c>
      <c r="E805" s="4">
        <v>9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spans="1:21" ht="12" customHeight="1">
      <c r="A806" s="4">
        <v>658</v>
      </c>
      <c r="B806" s="4">
        <v>4642</v>
      </c>
      <c r="C806" s="5">
        <f t="shared" si="363"/>
        <v>40600</v>
      </c>
      <c r="D806" s="4" t="s">
        <v>78</v>
      </c>
      <c r="E806" s="4">
        <v>21</v>
      </c>
      <c r="F806" s="4">
        <v>309.62</v>
      </c>
      <c r="G806" s="4">
        <v>0</v>
      </c>
      <c r="H806" s="4" t="s">
        <v>56</v>
      </c>
      <c r="I806" s="6">
        <v>-80.2</v>
      </c>
      <c r="J806" s="4">
        <v>14.03</v>
      </c>
      <c r="K806" s="4">
        <v>9.3699999999999992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0.56000000000000005</v>
      </c>
      <c r="U806" s="5">
        <f>C806+0</f>
        <v>40600</v>
      </c>
    </row>
    <row r="807" spans="1:21" ht="12" customHeight="1">
      <c r="A807" s="4">
        <v>695</v>
      </c>
      <c r="B807" s="4">
        <v>4864</v>
      </c>
      <c r="C807" s="5">
        <f>DATE(2012,12,31)-51</f>
        <v>41223</v>
      </c>
      <c r="D807" s="4" t="s">
        <v>21</v>
      </c>
      <c r="E807" s="4">
        <v>16</v>
      </c>
      <c r="F807" s="4">
        <v>4901.99</v>
      </c>
      <c r="G807" s="4">
        <v>0.04</v>
      </c>
      <c r="H807" s="4" t="s">
        <v>22</v>
      </c>
      <c r="I807" s="6">
        <v>1724.6755000000001</v>
      </c>
      <c r="J807" s="4">
        <v>315.98</v>
      </c>
      <c r="K807" s="4">
        <v>19.989999999999998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spans="1:21" ht="12" customHeight="1">
      <c r="A808" s="4">
        <v>710</v>
      </c>
      <c r="B808" s="4">
        <v>4996</v>
      </c>
      <c r="C808" s="5">
        <f>DATE(2012,12,31)-109</f>
        <v>41165</v>
      </c>
      <c r="D808" s="4" t="s">
        <v>63</v>
      </c>
      <c r="E808" s="4">
        <v>30</v>
      </c>
      <c r="F808" s="4">
        <v>4305.79</v>
      </c>
      <c r="G808" s="4">
        <v>0</v>
      </c>
      <c r="H808" s="4" t="s">
        <v>22</v>
      </c>
      <c r="I808" s="6">
        <v>1020.32</v>
      </c>
      <c r="J808" s="4">
        <v>142.86000000000001</v>
      </c>
      <c r="K808" s="4">
        <v>19.989999999999998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0.56000000000000005</v>
      </c>
      <c r="U808" s="5">
        <f t="shared" ref="U808:U810" si="364">C808+1</f>
        <v>41166</v>
      </c>
    </row>
    <row r="809" spans="1:21" ht="12" customHeight="1">
      <c r="A809" s="4">
        <v>718</v>
      </c>
      <c r="B809" s="4">
        <v>5121</v>
      </c>
      <c r="C809" s="5">
        <f>DATE(2012,12,31)-235</f>
        <v>41039</v>
      </c>
      <c r="D809" s="4" t="s">
        <v>45</v>
      </c>
      <c r="E809" s="4">
        <v>45</v>
      </c>
      <c r="F809" s="4">
        <v>1991.7029999999997</v>
      </c>
      <c r="G809" s="4">
        <v>7.0000000000000007E-2</v>
      </c>
      <c r="H809" s="4" t="s">
        <v>22</v>
      </c>
      <c r="I809" s="6">
        <v>559.10699999999997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0.55000000000000004</v>
      </c>
      <c r="U809" s="5">
        <f t="shared" si="364"/>
        <v>41040</v>
      </c>
    </row>
    <row r="810" spans="1:21" ht="12" customHeight="1">
      <c r="A810" s="4">
        <v>741</v>
      </c>
      <c r="B810" s="4">
        <v>5346</v>
      </c>
      <c r="C810" s="5">
        <f t="shared" ref="C810:C812" si="365">DATE(2012,12,31)-737</f>
        <v>40537</v>
      </c>
      <c r="D810" s="4" t="s">
        <v>78</v>
      </c>
      <c r="E810" s="4">
        <v>34</v>
      </c>
      <c r="F810" s="4">
        <v>2932.99</v>
      </c>
      <c r="G810" s="4">
        <v>7.0000000000000007E-2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4"/>
        <v>40538</v>
      </c>
    </row>
    <row r="811" spans="1:21" ht="12" customHeight="1">
      <c r="A811" s="4">
        <v>742</v>
      </c>
      <c r="B811" s="4">
        <v>5346</v>
      </c>
      <c r="C811" s="5">
        <f t="shared" si="365"/>
        <v>40537</v>
      </c>
      <c r="D811" s="4" t="s">
        <v>78</v>
      </c>
      <c r="E811" s="4">
        <v>45</v>
      </c>
      <c r="F811" s="4">
        <v>9194.7999999999993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6">C811+2</f>
        <v>40539</v>
      </c>
    </row>
    <row r="812" spans="1:21" ht="12" customHeight="1">
      <c r="A812" s="4">
        <v>743</v>
      </c>
      <c r="B812" s="4">
        <v>5346</v>
      </c>
      <c r="C812" s="5">
        <f t="shared" si="365"/>
        <v>40537</v>
      </c>
      <c r="D812" s="4" t="s">
        <v>78</v>
      </c>
      <c r="E812" s="4">
        <v>17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140.97999999999999</v>
      </c>
      <c r="K812" s="4">
        <v>36.090000000000003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6"/>
        <v>40539</v>
      </c>
    </row>
    <row r="813" spans="1:21" ht="12" customHeight="1">
      <c r="A813" s="4">
        <v>766</v>
      </c>
      <c r="B813" s="4">
        <v>5473</v>
      </c>
      <c r="C813" s="5">
        <f>DATE(2012,12,31)-282</f>
        <v>40992</v>
      </c>
      <c r="D813" s="4" t="s">
        <v>45</v>
      </c>
      <c r="E813" s="4">
        <v>42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8.2899999999999991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6"/>
        <v>40994</v>
      </c>
    </row>
    <row r="814" spans="1:21" ht="12" customHeight="1">
      <c r="A814" s="4">
        <v>888</v>
      </c>
      <c r="B814" s="4">
        <v>6374</v>
      </c>
      <c r="C814" s="5">
        <f t="shared" ref="C814:C815" si="367">DATE(2012,12,31)-512</f>
        <v>40762</v>
      </c>
      <c r="D814" s="4" t="s">
        <v>78</v>
      </c>
      <c r="E814" s="4">
        <v>29</v>
      </c>
      <c r="F814" s="4">
        <v>857.42</v>
      </c>
      <c r="G814" s="4">
        <v>7.0000000000000007E-2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spans="1:21" ht="12" customHeight="1">
      <c r="A815" s="4">
        <v>889</v>
      </c>
      <c r="B815" s="4">
        <v>6374</v>
      </c>
      <c r="C815" s="5">
        <f t="shared" si="367"/>
        <v>40762</v>
      </c>
      <c r="D815" s="4" t="s">
        <v>78</v>
      </c>
      <c r="E815" s="4">
        <v>1</v>
      </c>
      <c r="F815" s="4">
        <v>2.2400000000000002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8">C815+2</f>
        <v>40764</v>
      </c>
    </row>
    <row r="816" spans="1:21" ht="12" customHeight="1">
      <c r="A816" s="4">
        <v>992</v>
      </c>
      <c r="B816" s="4">
        <v>7169</v>
      </c>
      <c r="C816" s="5">
        <f t="shared" ref="C816:C817" si="369">DATE(2012,12,31)-1011</f>
        <v>40263</v>
      </c>
      <c r="D816" s="4" t="s">
        <v>63</v>
      </c>
      <c r="E816" s="4">
        <v>22</v>
      </c>
      <c r="F816" s="4">
        <v>446.72</v>
      </c>
      <c r="G816" s="4">
        <v>0.05</v>
      </c>
      <c r="H816" s="4" t="s">
        <v>22</v>
      </c>
      <c r="I816" s="6">
        <v>-39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8"/>
        <v>40265</v>
      </c>
    </row>
    <row r="817" spans="1:21" ht="12" customHeight="1">
      <c r="A817" s="4">
        <v>993</v>
      </c>
      <c r="B817" s="4">
        <v>7169</v>
      </c>
      <c r="C817" s="5">
        <f t="shared" si="369"/>
        <v>40263</v>
      </c>
      <c r="D817" s="4" t="s">
        <v>63</v>
      </c>
      <c r="E817" s="4">
        <v>30</v>
      </c>
      <c r="F817" s="4">
        <v>1580.6005</v>
      </c>
      <c r="G817" s="4">
        <v>7.0000000000000007E-2</v>
      </c>
      <c r="H817" s="4" t="s">
        <v>22</v>
      </c>
      <c r="I817" s="6">
        <v>303.52499999999998</v>
      </c>
      <c r="J817" s="4">
        <v>65.989999999999995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0.56000000000000005</v>
      </c>
      <c r="U817" s="5">
        <f t="shared" si="368"/>
        <v>40265</v>
      </c>
    </row>
    <row r="818" spans="1:21" ht="12" customHeight="1">
      <c r="A818" s="4">
        <v>1013</v>
      </c>
      <c r="B818" s="4">
        <v>7427</v>
      </c>
      <c r="C818" s="5">
        <f t="shared" ref="C818:C819" si="370">DATE(2012,12,31)-16</f>
        <v>41258</v>
      </c>
      <c r="D818" s="4" t="s">
        <v>45</v>
      </c>
      <c r="E818" s="4">
        <v>47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19.989999999999998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0.56999999999999995</v>
      </c>
      <c r="U818" s="5">
        <f>C818+0</f>
        <v>41258</v>
      </c>
    </row>
    <row r="819" spans="1:21" ht="12" customHeight="1">
      <c r="A819" s="4">
        <v>1014</v>
      </c>
      <c r="B819" s="4">
        <v>7427</v>
      </c>
      <c r="C819" s="5">
        <f t="shared" si="370"/>
        <v>41258</v>
      </c>
      <c r="D819" s="4" t="s">
        <v>45</v>
      </c>
      <c r="E819" s="4">
        <v>9</v>
      </c>
      <c r="F819" s="4">
        <v>182.26</v>
      </c>
      <c r="G819" s="4">
        <v>0.01</v>
      </c>
      <c r="H819" s="4" t="s">
        <v>22</v>
      </c>
      <c r="I819" s="6">
        <v>60.613500000000002</v>
      </c>
      <c r="J819" s="4">
        <v>18.940000000000001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1">C819+1</f>
        <v>41259</v>
      </c>
    </row>
    <row r="820" spans="1:21" ht="12" customHeight="1">
      <c r="A820" s="4">
        <v>1167</v>
      </c>
      <c r="B820" s="4">
        <v>8515</v>
      </c>
      <c r="C820" s="5">
        <f>DATE(2012,12,31)-741</f>
        <v>40533</v>
      </c>
      <c r="D820" s="4" t="s">
        <v>78</v>
      </c>
      <c r="E820" s="4">
        <v>33</v>
      </c>
      <c r="F820" s="4">
        <v>729.92</v>
      </c>
      <c r="G820" s="4">
        <v>0</v>
      </c>
      <c r="H820" s="4" t="s">
        <v>22</v>
      </c>
      <c r="I820" s="6">
        <v>99.31</v>
      </c>
      <c r="J820" s="4">
        <v>20.95</v>
      </c>
      <c r="K820" s="4">
        <v>4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1"/>
        <v>40534</v>
      </c>
    </row>
    <row r="821" spans="1:21" ht="12" customHeight="1">
      <c r="A821" s="4">
        <v>1197</v>
      </c>
      <c r="B821" s="4">
        <v>8801</v>
      </c>
      <c r="C821" s="5">
        <f t="shared" ref="C821:C822" si="372">DATE(2012,12,31)-143</f>
        <v>41131</v>
      </c>
      <c r="D821" s="4" t="s">
        <v>21</v>
      </c>
      <c r="E821" s="4">
        <v>32</v>
      </c>
      <c r="F821" s="4">
        <v>2593.08</v>
      </c>
      <c r="G821" s="4">
        <v>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spans="1:21" ht="12" customHeight="1">
      <c r="A822" s="4">
        <v>1198</v>
      </c>
      <c r="B822" s="4">
        <v>8801</v>
      </c>
      <c r="C822" s="5">
        <f t="shared" si="372"/>
        <v>41131</v>
      </c>
      <c r="D822" s="4" t="s">
        <v>21</v>
      </c>
      <c r="E822" s="4">
        <v>25</v>
      </c>
      <c r="F822" s="4">
        <v>2529.3960000000002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spans="1:21" ht="12" customHeight="1">
      <c r="A823" s="4">
        <v>1221</v>
      </c>
      <c r="B823" s="4">
        <v>8992</v>
      </c>
      <c r="C823" s="5">
        <f t="shared" ref="C823:C825" si="373">DATE(2012,12,31)-780</f>
        <v>40494</v>
      </c>
      <c r="D823" s="4" t="s">
        <v>30</v>
      </c>
      <c r="E823" s="4">
        <v>3</v>
      </c>
      <c r="F823" s="4">
        <v>441.43</v>
      </c>
      <c r="G823" s="4">
        <v>0.06</v>
      </c>
      <c r="H823" s="4" t="s">
        <v>22</v>
      </c>
      <c r="I823" s="6">
        <v>-154.44999999999999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0.56999999999999995</v>
      </c>
      <c r="U823" s="5">
        <f>C823+1</f>
        <v>40495</v>
      </c>
    </row>
    <row r="824" spans="1:21" ht="12" customHeight="1">
      <c r="A824" s="4">
        <v>1222</v>
      </c>
      <c r="B824" s="4">
        <v>8992</v>
      </c>
      <c r="C824" s="5">
        <f t="shared" si="373"/>
        <v>40494</v>
      </c>
      <c r="D824" s="4" t="s">
        <v>30</v>
      </c>
      <c r="E824" s="4">
        <v>14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spans="1:21" ht="12" customHeight="1">
      <c r="A825" s="4">
        <v>1223</v>
      </c>
      <c r="B825" s="4">
        <v>8992</v>
      </c>
      <c r="C825" s="5">
        <f t="shared" si="373"/>
        <v>40494</v>
      </c>
      <c r="D825" s="4" t="s">
        <v>30</v>
      </c>
      <c r="E825" s="4">
        <v>18</v>
      </c>
      <c r="F825" s="4">
        <v>1341.963</v>
      </c>
      <c r="G825" s="4">
        <v>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0.57999999999999996</v>
      </c>
      <c r="U825" s="5">
        <f>C825+1</f>
        <v>40495</v>
      </c>
    </row>
    <row r="826" spans="1:21" ht="12" customHeight="1">
      <c r="A826" s="4">
        <v>1288</v>
      </c>
      <c r="B826" s="4">
        <v>9409</v>
      </c>
      <c r="C826" s="5">
        <f>DATE(2012,12,31)-240</f>
        <v>41034</v>
      </c>
      <c r="D826" s="4" t="s">
        <v>78</v>
      </c>
      <c r="E826" s="4">
        <v>12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152.47999999999999</v>
      </c>
      <c r="K826" s="4">
        <v>4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spans="1:21" ht="12" customHeight="1">
      <c r="A827" s="4">
        <v>1420</v>
      </c>
      <c r="B827" s="4">
        <v>10306</v>
      </c>
      <c r="C827" s="5">
        <f>DATE(2012,12,31)-894</f>
        <v>40380</v>
      </c>
      <c r="D827" s="4" t="s">
        <v>21</v>
      </c>
      <c r="E827" s="4">
        <v>20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spans="1:21" ht="12" customHeight="1">
      <c r="A828" s="4">
        <v>1455</v>
      </c>
      <c r="B828" s="4">
        <v>10470</v>
      </c>
      <c r="C828" s="5">
        <f>DATE(2012,12,31)-241</f>
        <v>41033</v>
      </c>
      <c r="D828" s="4" t="s">
        <v>78</v>
      </c>
      <c r="E828" s="4">
        <v>35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0.56000000000000005</v>
      </c>
      <c r="U828" s="5">
        <f>C828+5</f>
        <v>41038</v>
      </c>
    </row>
    <row r="829" spans="1:21" ht="12" customHeight="1">
      <c r="A829" s="4">
        <v>1497</v>
      </c>
      <c r="B829" s="4">
        <v>10819</v>
      </c>
      <c r="C829" s="5">
        <f>DATE(2012,12,31)-860</f>
        <v>40414</v>
      </c>
      <c r="D829" s="4" t="s">
        <v>78</v>
      </c>
      <c r="E829" s="4">
        <v>35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9.5399999999999991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4">C829+0</f>
        <v>40414</v>
      </c>
    </row>
    <row r="830" spans="1:21" ht="12" customHeight="1">
      <c r="A830" s="4">
        <v>1509</v>
      </c>
      <c r="B830" s="4">
        <v>10916</v>
      </c>
      <c r="C830" s="5">
        <f>DATE(2012,12,31)-662</f>
        <v>40612</v>
      </c>
      <c r="D830" s="4" t="s">
        <v>63</v>
      </c>
      <c r="E830" s="4">
        <v>23</v>
      </c>
      <c r="F830" s="4">
        <v>135.31</v>
      </c>
      <c r="G830" s="4">
        <v>0.06</v>
      </c>
      <c r="H830" s="4" t="s">
        <v>22</v>
      </c>
      <c r="I830" s="6">
        <v>-49.323500000000003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4"/>
        <v>40612</v>
      </c>
    </row>
    <row r="831" spans="1:21" ht="12" customHeight="1">
      <c r="A831" s="4">
        <v>1512</v>
      </c>
      <c r="B831" s="4">
        <v>10944</v>
      </c>
      <c r="C831" s="5">
        <f>DATE(2012,12,31)-415</f>
        <v>40859</v>
      </c>
      <c r="D831" s="4" t="s">
        <v>30</v>
      </c>
      <c r="E831" s="4">
        <v>9</v>
      </c>
      <c r="F831" s="4">
        <v>181.66</v>
      </c>
      <c r="G831" s="4">
        <v>0</v>
      </c>
      <c r="H831" s="4" t="s">
        <v>22</v>
      </c>
      <c r="I831" s="6">
        <v>-27.474599999999999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spans="1:21" ht="12" customHeight="1">
      <c r="A832" s="4">
        <v>1565</v>
      </c>
      <c r="B832" s="4">
        <v>11301</v>
      </c>
      <c r="C832" s="5">
        <f>DATE(2012,12,31)-284</f>
        <v>40990</v>
      </c>
      <c r="D832" s="4" t="s">
        <v>63</v>
      </c>
      <c r="E832" s="4">
        <v>29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39.979999999999997</v>
      </c>
      <c r="K832" s="4">
        <v>4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spans="1:21" ht="12" customHeight="1">
      <c r="A833" s="4">
        <v>1623</v>
      </c>
      <c r="B833" s="4">
        <v>11745</v>
      </c>
      <c r="C833" s="5">
        <f>DATE(2012,12,31)-165</f>
        <v>41109</v>
      </c>
      <c r="D833" s="4" t="s">
        <v>30</v>
      </c>
      <c r="E833" s="4">
        <v>17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40.479999999999997</v>
      </c>
      <c r="K833" s="4">
        <v>19.989999999999998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5">C833+1</f>
        <v>41110</v>
      </c>
    </row>
    <row r="834" spans="1:21" ht="12" customHeight="1">
      <c r="A834" s="4">
        <v>1644</v>
      </c>
      <c r="B834" s="4">
        <v>11875</v>
      </c>
      <c r="C834" s="5">
        <f>DATE(2012,12,31)-133</f>
        <v>41141</v>
      </c>
      <c r="D834" s="4" t="s">
        <v>63</v>
      </c>
      <c r="E834" s="4">
        <v>19</v>
      </c>
      <c r="F834" s="4">
        <v>242.63</v>
      </c>
      <c r="G834" s="4">
        <v>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0.56999999999999995</v>
      </c>
      <c r="U834" s="5">
        <f t="shared" si="375"/>
        <v>41142</v>
      </c>
    </row>
    <row r="835" spans="1:21" ht="12" customHeight="1">
      <c r="A835" s="4">
        <v>1650</v>
      </c>
      <c r="B835" s="4">
        <v>11907</v>
      </c>
      <c r="C835" s="5">
        <f>DATE(2012,12,31)-861</f>
        <v>40413</v>
      </c>
      <c r="D835" s="4" t="s">
        <v>21</v>
      </c>
      <c r="E835" s="4">
        <v>45</v>
      </c>
      <c r="F835" s="4">
        <v>4729.8500000000004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spans="1:21" ht="12" customHeight="1">
      <c r="A836" s="4">
        <v>1681</v>
      </c>
      <c r="B836" s="4">
        <v>12129</v>
      </c>
      <c r="C836" s="5">
        <f>DATE(2012,12,31)-6</f>
        <v>41268</v>
      </c>
      <c r="D836" s="4" t="s">
        <v>63</v>
      </c>
      <c r="E836" s="4">
        <v>36</v>
      </c>
      <c r="F836" s="4">
        <v>4852.05</v>
      </c>
      <c r="G836" s="4">
        <v>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spans="1:21" ht="12" customHeight="1">
      <c r="A837" s="4">
        <v>1753</v>
      </c>
      <c r="B837" s="4">
        <v>12579</v>
      </c>
      <c r="C837" s="5">
        <f>DATE(2012,12,31)-564</f>
        <v>40710</v>
      </c>
      <c r="D837" s="4" t="s">
        <v>45</v>
      </c>
      <c r="E837" s="4">
        <v>5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spans="1:21" ht="12" customHeight="1">
      <c r="A838" s="4">
        <v>1779</v>
      </c>
      <c r="B838" s="4">
        <v>12743</v>
      </c>
      <c r="C838" s="5">
        <f>DATE(2012,12,31)-922</f>
        <v>40352</v>
      </c>
      <c r="D838" s="4" t="s">
        <v>30</v>
      </c>
      <c r="E838" s="4">
        <v>39</v>
      </c>
      <c r="F838" s="4">
        <v>677.51800000000003</v>
      </c>
      <c r="G838" s="4">
        <v>0.09</v>
      </c>
      <c r="H838" s="4" t="s">
        <v>22</v>
      </c>
      <c r="I838" s="6">
        <v>168.21899999999999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0.56999999999999995</v>
      </c>
      <c r="U838" s="5">
        <f t="shared" ref="U838:U839" si="376">C838+2</f>
        <v>40354</v>
      </c>
    </row>
    <row r="839" spans="1:21" ht="12" customHeight="1">
      <c r="A839" s="4">
        <v>1803</v>
      </c>
      <c r="B839" s="4">
        <v>12902</v>
      </c>
      <c r="C839" s="5">
        <f>DATE(2012,12,31)-794</f>
        <v>40480</v>
      </c>
      <c r="D839" s="4" t="s">
        <v>45</v>
      </c>
      <c r="E839" s="4">
        <v>9</v>
      </c>
      <c r="F839" s="4">
        <v>302.05</v>
      </c>
      <c r="G839" s="4">
        <v>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6"/>
        <v>40482</v>
      </c>
    </row>
    <row r="840" spans="1:21" ht="12" customHeight="1">
      <c r="A840" s="4">
        <v>1936</v>
      </c>
      <c r="B840" s="4">
        <v>13889</v>
      </c>
      <c r="C840" s="5">
        <f>DATE(2012,12,31)-484</f>
        <v>40790</v>
      </c>
      <c r="D840" s="4" t="s">
        <v>63</v>
      </c>
      <c r="E840" s="4">
        <v>49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0.55000000000000004</v>
      </c>
      <c r="U840" s="5">
        <f>C840+1</f>
        <v>40791</v>
      </c>
    </row>
    <row r="841" spans="1:21" ht="12" customHeight="1">
      <c r="A841" s="4">
        <v>1952</v>
      </c>
      <c r="B841" s="4">
        <v>13984</v>
      </c>
      <c r="C841" s="5">
        <f>DATE(2012,12,31)-98</f>
        <v>41176</v>
      </c>
      <c r="D841" s="4" t="s">
        <v>78</v>
      </c>
      <c r="E841" s="4">
        <v>30</v>
      </c>
      <c r="F841" s="4">
        <v>2052.8200000000002</v>
      </c>
      <c r="G841" s="4">
        <v>0.05</v>
      </c>
      <c r="H841" s="4" t="s">
        <v>22</v>
      </c>
      <c r="I841" s="6">
        <v>-870.61</v>
      </c>
      <c r="J841" s="4">
        <v>70.709999999999994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spans="1:21" ht="12" customHeight="1">
      <c r="A842" s="4">
        <v>1953</v>
      </c>
      <c r="B842" s="4">
        <v>13986</v>
      </c>
      <c r="C842" s="5">
        <f>DATE(2012,12,31)-447</f>
        <v>40827</v>
      </c>
      <c r="D842" s="4" t="s">
        <v>30</v>
      </c>
      <c r="E842" s="4">
        <v>46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39.479999999999997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spans="1:21" ht="12" customHeight="1">
      <c r="A843" s="4">
        <v>1995</v>
      </c>
      <c r="B843" s="4">
        <v>14240</v>
      </c>
      <c r="C843" s="5">
        <f>DATE(2012,12,31)-318</f>
        <v>40956</v>
      </c>
      <c r="D843" s="4" t="s">
        <v>30</v>
      </c>
      <c r="E843" s="4">
        <v>24</v>
      </c>
      <c r="F843" s="4">
        <v>68.88</v>
      </c>
      <c r="G843" s="4">
        <v>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spans="1:21" ht="12" customHeight="1">
      <c r="A844" s="4">
        <v>2029</v>
      </c>
      <c r="B844" s="4">
        <v>14471</v>
      </c>
      <c r="C844" s="5">
        <f t="shared" ref="C844:C845" si="377">DATE(2012,12,31)-585</f>
        <v>40689</v>
      </c>
      <c r="D844" s="4" t="s">
        <v>45</v>
      </c>
      <c r="E844" s="4">
        <v>44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18.649999999999999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spans="1:21" ht="12" customHeight="1">
      <c r="A845" s="4">
        <v>2030</v>
      </c>
      <c r="B845" s="4">
        <v>14471</v>
      </c>
      <c r="C845" s="5">
        <f t="shared" si="377"/>
        <v>40689</v>
      </c>
      <c r="D845" s="4" t="s">
        <v>45</v>
      </c>
      <c r="E845" s="4">
        <v>42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spans="1:21" ht="12" customHeight="1">
      <c r="A846" s="4">
        <v>2037</v>
      </c>
      <c r="B846" s="4">
        <v>14529</v>
      </c>
      <c r="C846" s="5">
        <f t="shared" ref="C846:C847" si="378">DATE(2012,12,31)-833</f>
        <v>40441</v>
      </c>
      <c r="D846" s="4" t="s">
        <v>21</v>
      </c>
      <c r="E846" s="4">
        <v>44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spans="1:21" ht="12" customHeight="1">
      <c r="A847" s="4">
        <v>2038</v>
      </c>
      <c r="B847" s="4">
        <v>14529</v>
      </c>
      <c r="C847" s="5">
        <f t="shared" si="378"/>
        <v>40441</v>
      </c>
      <c r="D847" s="4" t="s">
        <v>21</v>
      </c>
      <c r="E847" s="4">
        <v>42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2.0299999999999998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spans="1:21" ht="12" customHeight="1">
      <c r="A848" s="4">
        <v>2087</v>
      </c>
      <c r="B848" s="4">
        <v>14948</v>
      </c>
      <c r="C848" s="5">
        <f>DATE(2012,12,31)-583</f>
        <v>40691</v>
      </c>
      <c r="D848" s="4" t="s">
        <v>63</v>
      </c>
      <c r="E848" s="4">
        <v>6</v>
      </c>
      <c r="F848" s="4">
        <v>647.78</v>
      </c>
      <c r="G848" s="4">
        <v>0</v>
      </c>
      <c r="H848" s="4" t="s">
        <v>31</v>
      </c>
      <c r="I848" s="6">
        <v>-144.87</v>
      </c>
      <c r="J848" s="4">
        <v>100.98</v>
      </c>
      <c r="K848" s="4">
        <v>35.840000000000003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79">C848+1</f>
        <v>40692</v>
      </c>
    </row>
    <row r="849" spans="1:21" ht="12" customHeight="1">
      <c r="A849" s="4">
        <v>2237</v>
      </c>
      <c r="B849" s="4">
        <v>16161</v>
      </c>
      <c r="C849" s="5">
        <f t="shared" ref="C849:C850" si="380">DATE(2012,12,31)-156</f>
        <v>41118</v>
      </c>
      <c r="D849" s="4" t="s">
        <v>63</v>
      </c>
      <c r="E849" s="4">
        <v>49</v>
      </c>
      <c r="F849" s="4">
        <v>2692.6895</v>
      </c>
      <c r="G849" s="4">
        <v>0.03</v>
      </c>
      <c r="H849" s="4" t="s">
        <v>22</v>
      </c>
      <c r="I849" s="6">
        <v>768.32100000000003</v>
      </c>
      <c r="J849" s="4">
        <v>65.989999999999995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0.55000000000000004</v>
      </c>
      <c r="U849" s="5">
        <f t="shared" si="379"/>
        <v>41119</v>
      </c>
    </row>
    <row r="850" spans="1:21" ht="12" customHeight="1">
      <c r="A850" s="4">
        <v>2238</v>
      </c>
      <c r="B850" s="4">
        <v>16161</v>
      </c>
      <c r="C850" s="5">
        <f t="shared" si="380"/>
        <v>41118</v>
      </c>
      <c r="D850" s="4" t="s">
        <v>63</v>
      </c>
      <c r="E850" s="4">
        <v>38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spans="1:21" ht="12" customHeight="1">
      <c r="A851" s="4">
        <v>2261</v>
      </c>
      <c r="B851" s="4">
        <v>16257</v>
      </c>
      <c r="C851" s="5">
        <f>DATE(2012,12,31)-240</f>
        <v>41034</v>
      </c>
      <c r="D851" s="4" t="s">
        <v>45</v>
      </c>
      <c r="E851" s="4">
        <v>16</v>
      </c>
      <c r="F851" s="4">
        <v>102.73</v>
      </c>
      <c r="G851" s="4">
        <v>0.03</v>
      </c>
      <c r="H851" s="4" t="s">
        <v>22</v>
      </c>
      <c r="I851" s="6">
        <v>16.329999999999998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1">C851+1</f>
        <v>41035</v>
      </c>
    </row>
    <row r="852" spans="1:21" ht="12" customHeight="1">
      <c r="A852" s="4">
        <v>2335</v>
      </c>
      <c r="B852" s="4">
        <v>16806</v>
      </c>
      <c r="C852" s="5">
        <f t="shared" ref="C852:C853" si="382">DATE(2012,12,31)-928</f>
        <v>40346</v>
      </c>
      <c r="D852" s="4" t="s">
        <v>30</v>
      </c>
      <c r="E852" s="4">
        <v>4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1"/>
        <v>40347</v>
      </c>
    </row>
    <row r="853" spans="1:21" ht="12" customHeight="1">
      <c r="A853" s="4">
        <v>2336</v>
      </c>
      <c r="B853" s="4">
        <v>16806</v>
      </c>
      <c r="C853" s="5">
        <f t="shared" si="382"/>
        <v>40346</v>
      </c>
      <c r="D853" s="4" t="s">
        <v>30</v>
      </c>
      <c r="E853" s="4">
        <v>18</v>
      </c>
      <c r="F853" s="4">
        <v>1026.6385</v>
      </c>
      <c r="G853" s="4">
        <v>0</v>
      </c>
      <c r="H853" s="4" t="s">
        <v>22</v>
      </c>
      <c r="I853" s="6">
        <v>-201.04700000000003</v>
      </c>
      <c r="J853" s="4">
        <v>65.989999999999995</v>
      </c>
      <c r="K853" s="4">
        <v>19.989999999999998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3">C853+2</f>
        <v>40348</v>
      </c>
    </row>
    <row r="854" spans="1:21" ht="12" customHeight="1">
      <c r="A854" s="4">
        <v>2393</v>
      </c>
      <c r="B854" s="4">
        <v>17344</v>
      </c>
      <c r="C854" s="5">
        <f>DATE(2012,12,31)-896</f>
        <v>40378</v>
      </c>
      <c r="D854" s="4" t="s">
        <v>78</v>
      </c>
      <c r="E854" s="4">
        <v>40</v>
      </c>
      <c r="F854" s="4">
        <v>2405.4575</v>
      </c>
      <c r="G854" s="4">
        <v>0.01</v>
      </c>
      <c r="H854" s="4" t="s">
        <v>22</v>
      </c>
      <c r="I854" s="6">
        <v>571.53599999999994</v>
      </c>
      <c r="J854" s="4">
        <v>65.989999999999995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3"/>
        <v>40380</v>
      </c>
    </row>
    <row r="855" spans="1:21" ht="12" customHeight="1">
      <c r="A855" s="4">
        <v>2399</v>
      </c>
      <c r="B855" s="4">
        <v>17382</v>
      </c>
      <c r="C855" s="5">
        <f>DATE(2012,12,31)-546</f>
        <v>40728</v>
      </c>
      <c r="D855" s="4" t="s">
        <v>45</v>
      </c>
      <c r="E855" s="4">
        <v>20</v>
      </c>
      <c r="F855" s="4">
        <v>2162.8164999999999</v>
      </c>
      <c r="G855" s="4">
        <v>0.01</v>
      </c>
      <c r="H855" s="4" t="s">
        <v>22</v>
      </c>
      <c r="I855" s="6">
        <v>223.25399999999999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spans="1:21" ht="12" customHeight="1">
      <c r="A856" s="4">
        <v>2411</v>
      </c>
      <c r="B856" s="4">
        <v>17507</v>
      </c>
      <c r="C856" s="5">
        <f t="shared" ref="C856:C857" si="384">DATE(2012,12,31)-202</f>
        <v>41072</v>
      </c>
      <c r="D856" s="4" t="s">
        <v>63</v>
      </c>
      <c r="E856" s="4">
        <v>27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0.57999999999999996</v>
      </c>
      <c r="U856" s="5">
        <f>C856+0</f>
        <v>41072</v>
      </c>
    </row>
    <row r="857" spans="1:21" ht="12" customHeight="1">
      <c r="A857" s="4">
        <v>2412</v>
      </c>
      <c r="B857" s="4">
        <v>17507</v>
      </c>
      <c r="C857" s="5">
        <f t="shared" si="384"/>
        <v>41072</v>
      </c>
      <c r="D857" s="4" t="s">
        <v>63</v>
      </c>
      <c r="E857" s="4">
        <v>22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270.97000000000003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0.56000000000000005</v>
      </c>
      <c r="U857" s="5">
        <f>C857+2</f>
        <v>41074</v>
      </c>
    </row>
    <row r="858" spans="1:21" ht="12" customHeight="1">
      <c r="A858" s="4">
        <v>2442</v>
      </c>
      <c r="B858" s="4">
        <v>17702</v>
      </c>
      <c r="C858" s="5">
        <f>DATE(2012,12,31)-262</f>
        <v>41012</v>
      </c>
      <c r="D858" s="4" t="s">
        <v>30</v>
      </c>
      <c r="E858" s="4">
        <v>9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spans="1:21" ht="12" customHeight="1">
      <c r="A859" s="4">
        <v>2453</v>
      </c>
      <c r="B859" s="4">
        <v>17831</v>
      </c>
      <c r="C859" s="5">
        <f t="shared" ref="C859:C860" si="385">DATE(2012,12,31)-67</f>
        <v>41207</v>
      </c>
      <c r="D859" s="4" t="s">
        <v>78</v>
      </c>
      <c r="E859" s="4">
        <v>34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spans="1:21" ht="12" customHeight="1">
      <c r="A860" s="4">
        <v>2454</v>
      </c>
      <c r="B860" s="4">
        <v>17831</v>
      </c>
      <c r="C860" s="5">
        <f t="shared" si="385"/>
        <v>41207</v>
      </c>
      <c r="D860" s="4" t="s">
        <v>78</v>
      </c>
      <c r="E860" s="4">
        <v>38</v>
      </c>
      <c r="F860" s="4">
        <v>260.41000000000003</v>
      </c>
      <c r="G860" s="4">
        <v>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spans="1:21" ht="12" customHeight="1">
      <c r="A861" s="4">
        <v>2629</v>
      </c>
      <c r="B861" s="4">
        <v>19044</v>
      </c>
      <c r="C861" s="5">
        <f t="shared" ref="C861:C862" si="386">DATE(2012,12,31)-264</f>
        <v>41010</v>
      </c>
      <c r="D861" s="4" t="s">
        <v>21</v>
      </c>
      <c r="E861" s="4">
        <v>32</v>
      </c>
      <c r="F861" s="4">
        <v>4800.4399999999996</v>
      </c>
      <c r="G861" s="4">
        <v>0.08</v>
      </c>
      <c r="H861" s="4" t="s">
        <v>22</v>
      </c>
      <c r="I861" s="6">
        <v>1912.92</v>
      </c>
      <c r="J861" s="4">
        <v>150.97999999999999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spans="1:21" ht="12" customHeight="1">
      <c r="A862" s="4">
        <v>2630</v>
      </c>
      <c r="B862" s="4">
        <v>19044</v>
      </c>
      <c r="C862" s="5">
        <f t="shared" si="386"/>
        <v>41010</v>
      </c>
      <c r="D862" s="4" t="s">
        <v>21</v>
      </c>
      <c r="E862" s="4">
        <v>29</v>
      </c>
      <c r="F862" s="4">
        <v>271.33</v>
      </c>
      <c r="G862" s="4">
        <v>7.0000000000000007E-2</v>
      </c>
      <c r="H862" s="4" t="s">
        <v>22</v>
      </c>
      <c r="I862" s="6">
        <v>-191.09</v>
      </c>
      <c r="J862" s="4">
        <v>9.7100000000000009</v>
      </c>
      <c r="K862" s="4">
        <v>9.4499999999999993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spans="1:21" ht="12" customHeight="1">
      <c r="A863" s="4">
        <v>2690</v>
      </c>
      <c r="B863" s="4">
        <v>19462</v>
      </c>
      <c r="C863" s="5">
        <f>DATE(2012,12,31)-468</f>
        <v>40806</v>
      </c>
      <c r="D863" s="4" t="s">
        <v>63</v>
      </c>
      <c r="E863" s="4">
        <v>2</v>
      </c>
      <c r="F863" s="4">
        <v>206.68</v>
      </c>
      <c r="G863" s="4">
        <v>0</v>
      </c>
      <c r="H863" s="4" t="s">
        <v>22</v>
      </c>
      <c r="I863" s="6">
        <v>-156.47</v>
      </c>
      <c r="J863" s="4">
        <v>80.98</v>
      </c>
      <c r="K863" s="4">
        <v>35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7">C863+1</f>
        <v>40807</v>
      </c>
    </row>
    <row r="864" spans="1:21" ht="12" customHeight="1">
      <c r="A864" s="4">
        <v>2758</v>
      </c>
      <c r="B864" s="4">
        <v>19936</v>
      </c>
      <c r="C864" s="5">
        <f t="shared" ref="C864:C865" si="388">DATE(2012,12,31)-48</f>
        <v>41226</v>
      </c>
      <c r="D864" s="4" t="s">
        <v>78</v>
      </c>
      <c r="E864" s="4">
        <v>19</v>
      </c>
      <c r="F864" s="4">
        <v>36.75</v>
      </c>
      <c r="G864" s="4">
        <v>0.06</v>
      </c>
      <c r="H864" s="4" t="s">
        <v>22</v>
      </c>
      <c r="I864" s="6">
        <v>-9.8209999999999997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7"/>
        <v>41227</v>
      </c>
    </row>
    <row r="865" spans="1:21" ht="12" customHeight="1">
      <c r="A865" s="4">
        <v>2759</v>
      </c>
      <c r="B865" s="4">
        <v>19936</v>
      </c>
      <c r="C865" s="5">
        <f t="shared" si="388"/>
        <v>41226</v>
      </c>
      <c r="D865" s="4" t="s">
        <v>78</v>
      </c>
      <c r="E865" s="4">
        <v>41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7"/>
        <v>41227</v>
      </c>
    </row>
    <row r="866" spans="1:21" ht="12" customHeight="1">
      <c r="A866" s="4">
        <v>2761</v>
      </c>
      <c r="B866" s="4">
        <v>19972</v>
      </c>
      <c r="C866" s="5">
        <f>DATE(2012,12,31)-198</f>
        <v>41076</v>
      </c>
      <c r="D866" s="4" t="s">
        <v>78</v>
      </c>
      <c r="E866" s="4">
        <v>6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89">C866+2</f>
        <v>41078</v>
      </c>
    </row>
    <row r="867" spans="1:21" ht="12" customHeight="1">
      <c r="A867" s="4">
        <v>2777</v>
      </c>
      <c r="B867" s="4">
        <v>20038</v>
      </c>
      <c r="C867" s="5">
        <f>DATE(2012,12,31)-1039</f>
        <v>40235</v>
      </c>
      <c r="D867" s="4" t="s">
        <v>21</v>
      </c>
      <c r="E867" s="4">
        <v>42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4.1399999999999997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89"/>
        <v>40237</v>
      </c>
    </row>
    <row r="868" spans="1:21" ht="12" customHeight="1">
      <c r="A868" s="4">
        <v>2864</v>
      </c>
      <c r="B868" s="4">
        <v>20676</v>
      </c>
      <c r="C868" s="5">
        <f>DATE(2012,12,31)-39</f>
        <v>41235</v>
      </c>
      <c r="D868" s="4" t="s">
        <v>21</v>
      </c>
      <c r="E868" s="4">
        <v>22</v>
      </c>
      <c r="F868" s="4">
        <v>43.97</v>
      </c>
      <c r="G868" s="4">
        <v>0.04</v>
      </c>
      <c r="H868" s="4" t="s">
        <v>22</v>
      </c>
      <c r="I868" s="6">
        <v>-9.0504999999999995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spans="1:21" ht="12" customHeight="1">
      <c r="A869" s="4">
        <v>2887</v>
      </c>
      <c r="B869" s="4">
        <v>20807</v>
      </c>
      <c r="C869" s="5">
        <f>DATE(2012,12,31)-163</f>
        <v>41111</v>
      </c>
      <c r="D869" s="4" t="s">
        <v>45</v>
      </c>
      <c r="E869" s="4">
        <v>39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160.97999999999999</v>
      </c>
      <c r="K869" s="4">
        <v>30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spans="1:21" ht="12" customHeight="1">
      <c r="A870" s="4">
        <v>2901</v>
      </c>
      <c r="B870" s="4">
        <v>20960</v>
      </c>
      <c r="C870" s="5">
        <f>DATE(2012,12,31)-409</f>
        <v>40865</v>
      </c>
      <c r="D870" s="4" t="s">
        <v>21</v>
      </c>
      <c r="E870" s="4">
        <v>19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spans="1:21" ht="12" customHeight="1">
      <c r="A871" s="4">
        <v>2902</v>
      </c>
      <c r="B871" s="4">
        <v>20961</v>
      </c>
      <c r="C871" s="5">
        <f>DATE(2012,12,31)-1082</f>
        <v>40192</v>
      </c>
      <c r="D871" s="4" t="s">
        <v>45</v>
      </c>
      <c r="E871" s="4">
        <v>34</v>
      </c>
      <c r="F871" s="4">
        <v>6607.92</v>
      </c>
      <c r="G871" s="4">
        <v>0.06</v>
      </c>
      <c r="H871" s="4" t="s">
        <v>22</v>
      </c>
      <c r="I871" s="6">
        <v>1462.7239999999999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spans="1:21" ht="12" customHeight="1">
      <c r="A872" s="4">
        <v>2949</v>
      </c>
      <c r="B872" s="4">
        <v>21350</v>
      </c>
      <c r="C872" s="5">
        <f>DATE(2012,12,31)-676</f>
        <v>40598</v>
      </c>
      <c r="D872" s="4" t="s">
        <v>63</v>
      </c>
      <c r="E872" s="4">
        <v>30</v>
      </c>
      <c r="F872" s="4">
        <v>278.94</v>
      </c>
      <c r="G872" s="4">
        <v>0.01</v>
      </c>
      <c r="H872" s="4" t="s">
        <v>22</v>
      </c>
      <c r="I872" s="6">
        <v>-143.69999999999999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spans="1:21" ht="12" customHeight="1">
      <c r="A873" s="4">
        <v>3014</v>
      </c>
      <c r="B873" s="4">
        <v>21671</v>
      </c>
      <c r="C873" s="5">
        <f>DATE(2012,12,31)-930</f>
        <v>40344</v>
      </c>
      <c r="D873" s="4" t="s">
        <v>30</v>
      </c>
      <c r="E873" s="4">
        <v>15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0.55000000000000004</v>
      </c>
      <c r="U873" s="5">
        <f>C873+3</f>
        <v>40347</v>
      </c>
    </row>
    <row r="874" spans="1:21" ht="12" customHeight="1">
      <c r="A874" s="4">
        <v>3156</v>
      </c>
      <c r="B874" s="4">
        <v>22657</v>
      </c>
      <c r="C874" s="5">
        <f t="shared" ref="C874:C875" si="390">DATE(2012,12,31)-429</f>
        <v>40845</v>
      </c>
      <c r="D874" s="4" t="s">
        <v>30</v>
      </c>
      <c r="E874" s="4">
        <v>36</v>
      </c>
      <c r="F874" s="4">
        <v>9544.18</v>
      </c>
      <c r="G874" s="4">
        <v>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1">C874+1</f>
        <v>40846</v>
      </c>
    </row>
    <row r="875" spans="1:21" ht="12" customHeight="1">
      <c r="A875" s="4">
        <v>3157</v>
      </c>
      <c r="B875" s="4">
        <v>22657</v>
      </c>
      <c r="C875" s="5">
        <f t="shared" si="390"/>
        <v>40845</v>
      </c>
      <c r="D875" s="4" t="s">
        <v>30</v>
      </c>
      <c r="E875" s="4">
        <v>8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1"/>
        <v>40846</v>
      </c>
    </row>
    <row r="876" spans="1:21" ht="12" customHeight="1">
      <c r="A876" s="4">
        <v>3238</v>
      </c>
      <c r="B876" s="4">
        <v>23207</v>
      </c>
      <c r="C876" s="5">
        <f>DATE(2012,12,31)-801</f>
        <v>40473</v>
      </c>
      <c r="D876" s="4" t="s">
        <v>78</v>
      </c>
      <c r="E876" s="4">
        <v>11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1"/>
        <v>40474</v>
      </c>
    </row>
    <row r="877" spans="1:21" ht="12" customHeight="1">
      <c r="A877" s="4">
        <v>3346</v>
      </c>
      <c r="B877" s="4">
        <v>23940</v>
      </c>
      <c r="C877" s="5">
        <f t="shared" ref="C877:C878" si="392">DATE(2012,12,31)-633</f>
        <v>40641</v>
      </c>
      <c r="D877" s="4" t="s">
        <v>63</v>
      </c>
      <c r="E877" s="4">
        <v>20</v>
      </c>
      <c r="F877" s="4">
        <v>138.52000000000001</v>
      </c>
      <c r="G877" s="4">
        <v>0.03</v>
      </c>
      <c r="H877" s="4" t="s">
        <v>22</v>
      </c>
      <c r="I877" s="6">
        <v>-895.24</v>
      </c>
      <c r="J877" s="4">
        <v>4.4800000000000004</v>
      </c>
      <c r="K877" s="4">
        <v>49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1"/>
        <v>40642</v>
      </c>
    </row>
    <row r="878" spans="1:21" ht="12" customHeight="1">
      <c r="A878" s="4">
        <v>3347</v>
      </c>
      <c r="B878" s="4">
        <v>23940</v>
      </c>
      <c r="C878" s="5">
        <f t="shared" si="392"/>
        <v>40641</v>
      </c>
      <c r="D878" s="4" t="s">
        <v>63</v>
      </c>
      <c r="E878" s="4">
        <v>11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150.88999999999999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spans="1:21" ht="12" customHeight="1">
      <c r="A879" s="4">
        <v>3425</v>
      </c>
      <c r="B879" s="4">
        <v>24450</v>
      </c>
      <c r="C879" s="5">
        <f t="shared" ref="C879:C881" si="393">DATE(2012,12,31)-175</f>
        <v>41099</v>
      </c>
      <c r="D879" s="4" t="s">
        <v>78</v>
      </c>
      <c r="E879" s="4">
        <v>37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4.9800000000000004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0.57999999999999996</v>
      </c>
      <c r="U879" s="5">
        <f>C879+2</f>
        <v>41101</v>
      </c>
    </row>
    <row r="880" spans="1:21" ht="12" customHeight="1">
      <c r="A880" s="4">
        <v>3426</v>
      </c>
      <c r="B880" s="4">
        <v>24450</v>
      </c>
      <c r="C880" s="5">
        <f t="shared" si="393"/>
        <v>41099</v>
      </c>
      <c r="D880" s="4" t="s">
        <v>78</v>
      </c>
      <c r="E880" s="4">
        <v>41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spans="1:21" ht="12" customHeight="1">
      <c r="A881" s="4">
        <v>3427</v>
      </c>
      <c r="B881" s="4">
        <v>24450</v>
      </c>
      <c r="C881" s="5">
        <f t="shared" si="393"/>
        <v>41099</v>
      </c>
      <c r="D881" s="4" t="s">
        <v>78</v>
      </c>
      <c r="E881" s="4">
        <v>4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spans="1:21" ht="12" customHeight="1">
      <c r="A882" s="4">
        <v>3446</v>
      </c>
      <c r="B882" s="4">
        <v>24580</v>
      </c>
      <c r="C882" s="5">
        <f t="shared" ref="C882:C883" si="394">DATE(2012,12,31)-191</f>
        <v>41083</v>
      </c>
      <c r="D882" s="4" t="s">
        <v>30</v>
      </c>
      <c r="E882" s="4">
        <v>25</v>
      </c>
      <c r="F882" s="4">
        <v>1081.22</v>
      </c>
      <c r="G882" s="4">
        <v>0.08</v>
      </c>
      <c r="H882" s="4" t="s">
        <v>22</v>
      </c>
      <c r="I882" s="6">
        <v>130.80000000000001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0.57999999999999996</v>
      </c>
      <c r="U882" s="5">
        <f>C882+1</f>
        <v>41084</v>
      </c>
    </row>
    <row r="883" spans="1:21" ht="12" customHeight="1">
      <c r="A883" s="4">
        <v>3447</v>
      </c>
      <c r="B883" s="4">
        <v>24580</v>
      </c>
      <c r="C883" s="5">
        <f t="shared" si="394"/>
        <v>41083</v>
      </c>
      <c r="D883" s="4" t="s">
        <v>30</v>
      </c>
      <c r="E883" s="4">
        <v>14</v>
      </c>
      <c r="F883" s="4">
        <v>36.409999999999997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5">C883+2</f>
        <v>41085</v>
      </c>
    </row>
    <row r="884" spans="1:21" ht="12" customHeight="1">
      <c r="A884" s="4">
        <v>3488</v>
      </c>
      <c r="B884" s="4">
        <v>24833</v>
      </c>
      <c r="C884" s="5">
        <f>DATE(2012,12,31)-899</f>
        <v>40375</v>
      </c>
      <c r="D884" s="4" t="s">
        <v>45</v>
      </c>
      <c r="E884" s="4">
        <v>45</v>
      </c>
      <c r="F884" s="4">
        <v>5205.83</v>
      </c>
      <c r="G884" s="4">
        <v>0.08</v>
      </c>
      <c r="H884" s="4" t="s">
        <v>31</v>
      </c>
      <c r="I884" s="6">
        <v>-818.76600000000008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5"/>
        <v>40377</v>
      </c>
    </row>
    <row r="885" spans="1:21" ht="12" customHeight="1">
      <c r="A885" s="4">
        <v>3590</v>
      </c>
      <c r="B885" s="4">
        <v>25633</v>
      </c>
      <c r="C885" s="5">
        <f>DATE(2012,12,31)-518</f>
        <v>40756</v>
      </c>
      <c r="D885" s="4" t="s">
        <v>21</v>
      </c>
      <c r="E885" s="4">
        <v>36</v>
      </c>
      <c r="F885" s="4">
        <v>5140.08</v>
      </c>
      <c r="G885" s="4">
        <v>0.06</v>
      </c>
      <c r="H885" s="4" t="s">
        <v>31</v>
      </c>
      <c r="I885" s="6">
        <v>-582.42600000000004</v>
      </c>
      <c r="J885" s="4">
        <v>145.97999999999999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spans="1:21" ht="12" customHeight="1">
      <c r="A886" s="4">
        <v>3593</v>
      </c>
      <c r="B886" s="4">
        <v>25635</v>
      </c>
      <c r="C886" s="5">
        <f t="shared" ref="C886:C887" si="396">DATE(2012,12,31)-216</f>
        <v>41058</v>
      </c>
      <c r="D886" s="4" t="s">
        <v>78</v>
      </c>
      <c r="E886" s="4">
        <v>14</v>
      </c>
      <c r="F886" s="4">
        <v>633.08000000000004</v>
      </c>
      <c r="G886" s="4">
        <v>0.04</v>
      </c>
      <c r="H886" s="4" t="s">
        <v>56</v>
      </c>
      <c r="I886" s="6">
        <v>145.47999999999999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0.56000000000000005</v>
      </c>
      <c r="U886" s="5">
        <f t="shared" ref="U886:U887" si="397">C886+1</f>
        <v>41059</v>
      </c>
    </row>
    <row r="887" spans="1:21" ht="12" customHeight="1">
      <c r="A887" s="4">
        <v>3594</v>
      </c>
      <c r="B887" s="4">
        <v>25635</v>
      </c>
      <c r="C887" s="5">
        <f t="shared" si="396"/>
        <v>41058</v>
      </c>
      <c r="D887" s="4" t="s">
        <v>78</v>
      </c>
      <c r="E887" s="4">
        <v>22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7"/>
        <v>41059</v>
      </c>
    </row>
    <row r="888" spans="1:21" ht="12" customHeight="1">
      <c r="A888" s="4">
        <v>3618</v>
      </c>
      <c r="B888" s="4">
        <v>25830</v>
      </c>
      <c r="C888" s="5">
        <f t="shared" ref="C888:C889" si="398">DATE(2012,12,31)-970</f>
        <v>40304</v>
      </c>
      <c r="D888" s="4" t="s">
        <v>21</v>
      </c>
      <c r="E888" s="4">
        <v>5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4.0599999999999996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spans="1:21" ht="12" customHeight="1">
      <c r="A889" s="4">
        <v>3619</v>
      </c>
      <c r="B889" s="4">
        <v>25830</v>
      </c>
      <c r="C889" s="5">
        <f t="shared" si="398"/>
        <v>40304</v>
      </c>
      <c r="D889" s="4" t="s">
        <v>21</v>
      </c>
      <c r="E889" s="4">
        <v>11</v>
      </c>
      <c r="F889" s="4">
        <v>178.57</v>
      </c>
      <c r="G889" s="4">
        <v>0.05</v>
      </c>
      <c r="H889" s="4" t="s">
        <v>22</v>
      </c>
      <c r="I889" s="6">
        <v>-37.386499999999998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spans="1:21" ht="12" customHeight="1">
      <c r="A890" s="4">
        <v>3687</v>
      </c>
      <c r="B890" s="4">
        <v>26368</v>
      </c>
      <c r="C890" s="5">
        <f>DATE(2012,12,31)-900</f>
        <v>40374</v>
      </c>
      <c r="D890" s="4" t="s">
        <v>63</v>
      </c>
      <c r="E890" s="4">
        <v>25</v>
      </c>
      <c r="F890" s="4">
        <v>1809.0125</v>
      </c>
      <c r="G890" s="4">
        <v>0.01</v>
      </c>
      <c r="H890" s="4" t="s">
        <v>22</v>
      </c>
      <c r="I890" s="6">
        <v>795.05099999999993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spans="1:21" ht="12" customHeight="1">
      <c r="A891" s="4">
        <v>3743</v>
      </c>
      <c r="B891" s="4">
        <v>26756</v>
      </c>
      <c r="C891" s="5">
        <f t="shared" ref="C891:C893" si="399">DATE(2012,12,31)-235</f>
        <v>41039</v>
      </c>
      <c r="D891" s="4" t="s">
        <v>63</v>
      </c>
      <c r="E891" s="4">
        <v>25</v>
      </c>
      <c r="F891" s="4">
        <v>767.26</v>
      </c>
      <c r="G891" s="4">
        <v>7.0000000000000007E-2</v>
      </c>
      <c r="H891" s="4" t="s">
        <v>22</v>
      </c>
      <c r="I891" s="6">
        <v>-29.56</v>
      </c>
      <c r="J891" s="4">
        <v>30.97</v>
      </c>
      <c r="K891" s="4">
        <v>4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spans="1:21" ht="12" customHeight="1">
      <c r="A892" s="4">
        <v>3744</v>
      </c>
      <c r="B892" s="4">
        <v>26756</v>
      </c>
      <c r="C892" s="5">
        <f t="shared" si="399"/>
        <v>41039</v>
      </c>
      <c r="D892" s="4" t="s">
        <v>63</v>
      </c>
      <c r="E892" s="4">
        <v>40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0">C892+2</f>
        <v>41041</v>
      </c>
    </row>
    <row r="893" spans="1:21" ht="12" customHeight="1">
      <c r="A893" s="4">
        <v>3745</v>
      </c>
      <c r="B893" s="4">
        <v>26756</v>
      </c>
      <c r="C893" s="5">
        <f t="shared" si="399"/>
        <v>41039</v>
      </c>
      <c r="D893" s="4" t="s">
        <v>63</v>
      </c>
      <c r="E893" s="4">
        <v>20</v>
      </c>
      <c r="F893" s="4">
        <v>127.9</v>
      </c>
      <c r="G893" s="4">
        <v>7.0000000000000007E-2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0"/>
        <v>41041</v>
      </c>
    </row>
    <row r="894" spans="1:21" ht="12" customHeight="1">
      <c r="A894" s="4">
        <v>3757</v>
      </c>
      <c r="B894" s="4">
        <v>26851</v>
      </c>
      <c r="C894" s="5">
        <f>DATE(2012,12,31)-526</f>
        <v>40748</v>
      </c>
      <c r="D894" s="4" t="s">
        <v>30</v>
      </c>
      <c r="E894" s="4">
        <v>44</v>
      </c>
      <c r="F894" s="4">
        <v>73.64</v>
      </c>
      <c r="G894" s="4">
        <v>7.0000000000000007E-2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0"/>
        <v>40750</v>
      </c>
    </row>
    <row r="895" spans="1:21" ht="12" customHeight="1">
      <c r="A895" s="4">
        <v>3787</v>
      </c>
      <c r="B895" s="4">
        <v>26981</v>
      </c>
      <c r="C895" s="5">
        <f t="shared" ref="C895:C896" si="401">DATE(2012,12,31)-123</f>
        <v>41151</v>
      </c>
      <c r="D895" s="4" t="s">
        <v>63</v>
      </c>
      <c r="E895" s="4">
        <v>13</v>
      </c>
      <c r="F895" s="4">
        <v>603.34699999999998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spans="1:21" ht="12" customHeight="1">
      <c r="A896" s="4">
        <v>3788</v>
      </c>
      <c r="B896" s="4">
        <v>26981</v>
      </c>
      <c r="C896" s="5">
        <f t="shared" si="401"/>
        <v>41151</v>
      </c>
      <c r="D896" s="4" t="s">
        <v>63</v>
      </c>
      <c r="E896" s="4">
        <v>44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0.57999999999999996</v>
      </c>
      <c r="U896" s="5">
        <f>C896+1</f>
        <v>41152</v>
      </c>
    </row>
    <row r="897" spans="1:21" ht="12" customHeight="1">
      <c r="A897" s="4">
        <v>3827</v>
      </c>
      <c r="B897" s="4">
        <v>27298</v>
      </c>
      <c r="C897" s="5">
        <f t="shared" ref="C897:C898" si="402">DATE(2012,12,31)-408</f>
        <v>40866</v>
      </c>
      <c r="D897" s="4" t="s">
        <v>21</v>
      </c>
      <c r="E897" s="4">
        <v>40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spans="1:21" ht="12" customHeight="1">
      <c r="A898" s="4">
        <v>3828</v>
      </c>
      <c r="B898" s="4">
        <v>27298</v>
      </c>
      <c r="C898" s="5">
        <f t="shared" si="402"/>
        <v>40866</v>
      </c>
      <c r="D898" s="4" t="s">
        <v>21</v>
      </c>
      <c r="E898" s="4">
        <v>31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4.9800000000000004</v>
      </c>
      <c r="K898" s="4">
        <v>4.8600000000000003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spans="1:21" ht="12" customHeight="1">
      <c r="A899" s="4">
        <v>3896</v>
      </c>
      <c r="B899" s="4">
        <v>27781</v>
      </c>
      <c r="C899" s="5">
        <f>DATE(2012,12,31)-473</f>
        <v>40801</v>
      </c>
      <c r="D899" s="4" t="s">
        <v>30</v>
      </c>
      <c r="E899" s="4">
        <v>47</v>
      </c>
      <c r="F899" s="4">
        <v>181.13</v>
      </c>
      <c r="G899" s="4">
        <v>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spans="1:21" ht="12" customHeight="1">
      <c r="A900" s="4">
        <v>4054</v>
      </c>
      <c r="B900" s="4">
        <v>28898</v>
      </c>
      <c r="C900" s="5">
        <f>DATE(2012,12,31)-583</f>
        <v>40691</v>
      </c>
      <c r="D900" s="4" t="s">
        <v>21</v>
      </c>
      <c r="E900" s="4">
        <v>44</v>
      </c>
      <c r="F900" s="4">
        <v>246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spans="1:21" ht="12" customHeight="1">
      <c r="A901" s="4">
        <v>4056</v>
      </c>
      <c r="B901" s="4">
        <v>28901</v>
      </c>
      <c r="C901" s="5">
        <f>DATE(2012,12,31)-203</f>
        <v>41071</v>
      </c>
      <c r="D901" s="4" t="s">
        <v>30</v>
      </c>
      <c r="E901" s="4">
        <v>23</v>
      </c>
      <c r="F901" s="4">
        <v>871.32</v>
      </c>
      <c r="G901" s="4">
        <v>0.1</v>
      </c>
      <c r="H901" s="4" t="s">
        <v>22</v>
      </c>
      <c r="I901" s="6">
        <v>315.16000000000003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3">C901+1</f>
        <v>41072</v>
      </c>
    </row>
    <row r="902" spans="1:21" ht="12" customHeight="1">
      <c r="A902" s="4">
        <v>4091</v>
      </c>
      <c r="B902" s="4">
        <v>29185</v>
      </c>
      <c r="C902" s="5">
        <f t="shared" ref="C902:C904" si="404">DATE(2012,12,31)-1076</f>
        <v>40198</v>
      </c>
      <c r="D902" s="4" t="s">
        <v>30</v>
      </c>
      <c r="E902" s="4">
        <v>8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0.56000000000000005</v>
      </c>
      <c r="U902" s="5">
        <f t="shared" si="403"/>
        <v>40199</v>
      </c>
    </row>
    <row r="903" spans="1:21" ht="12" customHeight="1">
      <c r="A903" s="4">
        <v>4092</v>
      </c>
      <c r="B903" s="4">
        <v>29185</v>
      </c>
      <c r="C903" s="5">
        <f t="shared" si="404"/>
        <v>40198</v>
      </c>
      <c r="D903" s="4" t="s">
        <v>30</v>
      </c>
      <c r="E903" s="4">
        <v>48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8.3699999999999992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5">C903+2</f>
        <v>40200</v>
      </c>
    </row>
    <row r="904" spans="1:21" ht="12" customHeight="1">
      <c r="A904" s="4">
        <v>4093</v>
      </c>
      <c r="B904" s="4">
        <v>29185</v>
      </c>
      <c r="C904" s="5">
        <f t="shared" si="404"/>
        <v>40198</v>
      </c>
      <c r="D904" s="4" t="s">
        <v>30</v>
      </c>
      <c r="E904" s="4">
        <v>5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5"/>
        <v>40200</v>
      </c>
    </row>
    <row r="905" spans="1:21" ht="12" customHeight="1">
      <c r="A905" s="4">
        <v>4143</v>
      </c>
      <c r="B905" s="4">
        <v>29408</v>
      </c>
      <c r="C905" s="5">
        <f>DATE(2012,12,31)-974</f>
        <v>40300</v>
      </c>
      <c r="D905" s="4" t="s">
        <v>45</v>
      </c>
      <c r="E905" s="4">
        <v>44</v>
      </c>
      <c r="F905" s="4">
        <v>4260.7299999999996</v>
      </c>
      <c r="G905" s="4">
        <v>7.0000000000000007E-2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6">C905+1</f>
        <v>40301</v>
      </c>
    </row>
    <row r="906" spans="1:21" ht="12" customHeight="1">
      <c r="A906" s="4">
        <v>4219</v>
      </c>
      <c r="B906" s="4">
        <v>29985</v>
      </c>
      <c r="C906" s="5">
        <f>DATE(2012,12,31)-173</f>
        <v>41101</v>
      </c>
      <c r="D906" s="4" t="s">
        <v>78</v>
      </c>
      <c r="E906" s="4">
        <v>22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6"/>
        <v>41102</v>
      </c>
    </row>
    <row r="907" spans="1:21" ht="12" customHeight="1">
      <c r="A907" s="4">
        <v>4220</v>
      </c>
      <c r="B907" s="4">
        <v>29986</v>
      </c>
      <c r="C907" s="5">
        <f>DATE(2012,12,31)-547</f>
        <v>40727</v>
      </c>
      <c r="D907" s="4" t="s">
        <v>78</v>
      </c>
      <c r="E907" s="4">
        <v>40</v>
      </c>
      <c r="F907" s="4">
        <v>1477.39</v>
      </c>
      <c r="G907" s="4">
        <v>0.03</v>
      </c>
      <c r="H907" s="4" t="s">
        <v>22</v>
      </c>
      <c r="I907" s="6">
        <v>641.40150000000006</v>
      </c>
      <c r="J907" s="4">
        <v>37.700000000000003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spans="1:21" ht="12" customHeight="1">
      <c r="A908" s="4">
        <v>4237</v>
      </c>
      <c r="B908" s="4">
        <v>30147</v>
      </c>
      <c r="C908" s="5">
        <f>DATE(2012,12,31)-197</f>
        <v>41077</v>
      </c>
      <c r="D908" s="4" t="s">
        <v>45</v>
      </c>
      <c r="E908" s="4">
        <v>37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spans="1:21" ht="12" customHeight="1">
      <c r="A909" s="4">
        <v>4238</v>
      </c>
      <c r="B909" s="4">
        <v>30149</v>
      </c>
      <c r="C909" s="5">
        <f t="shared" ref="C909:C911" si="407">DATE(2012,12,31)-750</f>
        <v>40524</v>
      </c>
      <c r="D909" s="4" t="s">
        <v>63</v>
      </c>
      <c r="E909" s="4">
        <v>8</v>
      </c>
      <c r="F909" s="4">
        <v>16.47</v>
      </c>
      <c r="G909" s="4">
        <v>0.1</v>
      </c>
      <c r="H909" s="4" t="s">
        <v>22</v>
      </c>
      <c r="I909" s="6">
        <v>-6.8194999999999997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spans="1:21" ht="12" customHeight="1">
      <c r="A910" s="4">
        <v>4239</v>
      </c>
      <c r="B910" s="4">
        <v>30149</v>
      </c>
      <c r="C910" s="5">
        <f t="shared" si="407"/>
        <v>40524</v>
      </c>
      <c r="D910" s="4" t="s">
        <v>63</v>
      </c>
      <c r="E910" s="4">
        <v>5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19.190000000000001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0.57999999999999996</v>
      </c>
      <c r="U910" s="5">
        <f>C910+2</f>
        <v>40526</v>
      </c>
    </row>
    <row r="911" spans="1:21" ht="12" customHeight="1">
      <c r="A911" s="4">
        <v>4240</v>
      </c>
      <c r="B911" s="4">
        <v>30149</v>
      </c>
      <c r="C911" s="5">
        <f t="shared" si="407"/>
        <v>40524</v>
      </c>
      <c r="D911" s="4" t="s">
        <v>63</v>
      </c>
      <c r="E911" s="4">
        <v>50</v>
      </c>
      <c r="F911" s="4">
        <v>690.97</v>
      </c>
      <c r="G911" s="4">
        <v>0.03</v>
      </c>
      <c r="H911" s="4" t="s">
        <v>22</v>
      </c>
      <c r="I911" s="6">
        <v>-16.940000000000001</v>
      </c>
      <c r="J911" s="4">
        <v>13.79</v>
      </c>
      <c r="K911" s="4">
        <v>8.7799999999999994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spans="1:21" ht="12" customHeight="1">
      <c r="A912" s="4">
        <v>4257</v>
      </c>
      <c r="B912" s="4">
        <v>30310</v>
      </c>
      <c r="C912" s="5">
        <f>DATE(2012,12,31)-249</f>
        <v>41025</v>
      </c>
      <c r="D912" s="4" t="s">
        <v>63</v>
      </c>
      <c r="E912" s="4">
        <v>21</v>
      </c>
      <c r="F912" s="4">
        <v>2024.0284999999999</v>
      </c>
      <c r="G912" s="4">
        <v>0.1</v>
      </c>
      <c r="H912" s="4" t="s">
        <v>22</v>
      </c>
      <c r="I912" s="6">
        <v>4.8960000000000106</v>
      </c>
      <c r="J912" s="4">
        <v>125.99</v>
      </c>
      <c r="K912" s="4">
        <v>8.8000000000000007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spans="1:21" ht="12" customHeight="1">
      <c r="A913" s="4">
        <v>4471</v>
      </c>
      <c r="B913" s="4">
        <v>31872</v>
      </c>
      <c r="C913" s="5">
        <f t="shared" ref="C913:C914" si="408">DATE(2012,12,31)-847</f>
        <v>40427</v>
      </c>
      <c r="D913" s="4" t="s">
        <v>21</v>
      </c>
      <c r="E913" s="4">
        <v>34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09">C913+4</f>
        <v>40431</v>
      </c>
    </row>
    <row r="914" spans="1:21" ht="12" customHeight="1">
      <c r="A914" s="4">
        <v>4472</v>
      </c>
      <c r="B914" s="4">
        <v>31872</v>
      </c>
      <c r="C914" s="5">
        <f t="shared" si="408"/>
        <v>40427</v>
      </c>
      <c r="D914" s="4" t="s">
        <v>21</v>
      </c>
      <c r="E914" s="4">
        <v>30</v>
      </c>
      <c r="F914" s="4">
        <v>4452.6499999999996</v>
      </c>
      <c r="G914" s="4">
        <v>0.09</v>
      </c>
      <c r="H914" s="4" t="s">
        <v>31</v>
      </c>
      <c r="I914" s="6">
        <v>-265.12200000000001</v>
      </c>
      <c r="J914" s="4">
        <v>159.31</v>
      </c>
      <c r="K914" s="4">
        <v>60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0.55000000000000004</v>
      </c>
      <c r="U914" s="5">
        <f t="shared" si="409"/>
        <v>40431</v>
      </c>
    </row>
    <row r="915" spans="1:21" ht="12" customHeight="1">
      <c r="A915" s="4">
        <v>4477</v>
      </c>
      <c r="B915" s="4">
        <v>31874</v>
      </c>
      <c r="C915" s="5">
        <f t="shared" ref="C915:C916" si="410">DATE(2012,12,31)-107</f>
        <v>41167</v>
      </c>
      <c r="D915" s="4" t="s">
        <v>30</v>
      </c>
      <c r="E915" s="4">
        <v>29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0.56999999999999995</v>
      </c>
      <c r="U915" s="5">
        <f t="shared" ref="U915:U916" si="411">C915+0</f>
        <v>41167</v>
      </c>
    </row>
    <row r="916" spans="1:21" ht="12" customHeight="1">
      <c r="A916" s="4">
        <v>4478</v>
      </c>
      <c r="B916" s="4">
        <v>31874</v>
      </c>
      <c r="C916" s="5">
        <f t="shared" si="410"/>
        <v>41167</v>
      </c>
      <c r="D916" s="4" t="s">
        <v>30</v>
      </c>
      <c r="E916" s="4">
        <v>39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1"/>
        <v>41167</v>
      </c>
    </row>
    <row r="917" spans="1:21" ht="12" customHeight="1">
      <c r="A917" s="4">
        <v>4485</v>
      </c>
      <c r="B917" s="4">
        <v>31938</v>
      </c>
      <c r="C917" s="5">
        <f t="shared" ref="C917:C918" si="412">DATE(2012,12,31)-523</f>
        <v>40751</v>
      </c>
      <c r="D917" s="4" t="s">
        <v>63</v>
      </c>
      <c r="E917" s="4">
        <v>13</v>
      </c>
      <c r="F917" s="4">
        <v>1193.6199999999999</v>
      </c>
      <c r="G917" s="4">
        <v>0.08</v>
      </c>
      <c r="H917" s="4" t="s">
        <v>31</v>
      </c>
      <c r="I917" s="6">
        <v>-304.47000000000003</v>
      </c>
      <c r="J917" s="4">
        <v>89.99</v>
      </c>
      <c r="K917" s="4">
        <v>42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spans="1:21" ht="12" customHeight="1">
      <c r="A918" s="4">
        <v>4486</v>
      </c>
      <c r="B918" s="4">
        <v>31938</v>
      </c>
      <c r="C918" s="5">
        <f t="shared" si="412"/>
        <v>40751</v>
      </c>
      <c r="D918" s="4" t="s">
        <v>63</v>
      </c>
      <c r="E918" s="4">
        <v>47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spans="1:21" ht="12" customHeight="1">
      <c r="A919" s="4">
        <v>4620</v>
      </c>
      <c r="B919" s="4">
        <v>32901</v>
      </c>
      <c r="C919" s="5">
        <f>DATE(2012,12,31)-721</f>
        <v>40553</v>
      </c>
      <c r="D919" s="4" t="s">
        <v>78</v>
      </c>
      <c r="E919" s="4">
        <v>13</v>
      </c>
      <c r="F919" s="4">
        <v>49.74</v>
      </c>
      <c r="G919" s="4">
        <v>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spans="1:21" ht="12" customHeight="1">
      <c r="A920" s="4">
        <v>4678</v>
      </c>
      <c r="B920" s="4">
        <v>33284</v>
      </c>
      <c r="C920" s="5">
        <f>DATE(2012,12,31)-275</f>
        <v>40999</v>
      </c>
      <c r="D920" s="4" t="s">
        <v>21</v>
      </c>
      <c r="E920" s="4">
        <v>21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spans="1:21" ht="12" customHeight="1">
      <c r="A921" s="4">
        <v>4680</v>
      </c>
      <c r="B921" s="4">
        <v>33287</v>
      </c>
      <c r="C921" s="5">
        <f>DATE(2012,12,31)-619</f>
        <v>40655</v>
      </c>
      <c r="D921" s="4" t="s">
        <v>78</v>
      </c>
      <c r="E921" s="4">
        <v>44</v>
      </c>
      <c r="F921" s="4">
        <v>11904.55</v>
      </c>
      <c r="G921" s="4">
        <v>0</v>
      </c>
      <c r="H921" s="4" t="s">
        <v>31</v>
      </c>
      <c r="I921" s="6">
        <v>3909.33</v>
      </c>
      <c r="J921" s="4">
        <v>270.97000000000003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0.56000000000000005</v>
      </c>
      <c r="U921" s="5">
        <f>C921+3</f>
        <v>40658</v>
      </c>
    </row>
    <row r="922" spans="1:21" ht="12" customHeight="1">
      <c r="A922" s="4">
        <v>4899</v>
      </c>
      <c r="B922" s="4">
        <v>34852</v>
      </c>
      <c r="C922" s="5">
        <f>DATE(2012,12,31)-117</f>
        <v>41157</v>
      </c>
      <c r="D922" s="4" t="s">
        <v>21</v>
      </c>
      <c r="E922" s="4">
        <v>26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spans="1:21" ht="12" customHeight="1">
      <c r="A923" s="4">
        <v>5001</v>
      </c>
      <c r="B923" s="4">
        <v>35649</v>
      </c>
      <c r="C923" s="5">
        <f t="shared" ref="C923:C924" si="413">DATE(2012,12,31)-449</f>
        <v>40825</v>
      </c>
      <c r="D923" s="4" t="s">
        <v>63</v>
      </c>
      <c r="E923" s="4">
        <v>9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4">C923+2</f>
        <v>40827</v>
      </c>
    </row>
    <row r="924" spans="1:21" ht="12" customHeight="1">
      <c r="A924" s="4">
        <v>5002</v>
      </c>
      <c r="B924" s="4">
        <v>35649</v>
      </c>
      <c r="C924" s="5">
        <f t="shared" si="413"/>
        <v>40825</v>
      </c>
      <c r="D924" s="4" t="s">
        <v>63</v>
      </c>
      <c r="E924" s="4">
        <v>25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4"/>
        <v>40827</v>
      </c>
    </row>
    <row r="925" spans="1:21" ht="12" customHeight="1">
      <c r="A925" s="4">
        <v>5121</v>
      </c>
      <c r="B925" s="4">
        <v>36480</v>
      </c>
      <c r="C925" s="5">
        <f>DATE(2012,12,31)-862</f>
        <v>40412</v>
      </c>
      <c r="D925" s="4" t="s">
        <v>63</v>
      </c>
      <c r="E925" s="4">
        <v>44</v>
      </c>
      <c r="F925" s="4">
        <v>1190.8</v>
      </c>
      <c r="G925" s="4">
        <v>7.0000000000000007E-2</v>
      </c>
      <c r="H925" s="4" t="s">
        <v>22</v>
      </c>
      <c r="I925" s="6">
        <v>502.48599999999999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spans="1:21" ht="12" customHeight="1">
      <c r="A926" s="4">
        <v>5171</v>
      </c>
      <c r="B926" s="4">
        <v>36803</v>
      </c>
      <c r="C926" s="5">
        <f t="shared" ref="C926:C928" si="415">DATE(2012,12,31)-149</f>
        <v>41125</v>
      </c>
      <c r="D926" s="4" t="s">
        <v>45</v>
      </c>
      <c r="E926" s="4">
        <v>42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6">C926+2</f>
        <v>41127</v>
      </c>
    </row>
    <row r="927" spans="1:21" ht="12" customHeight="1">
      <c r="A927" s="4">
        <v>5172</v>
      </c>
      <c r="B927" s="4">
        <v>36803</v>
      </c>
      <c r="C927" s="5">
        <f t="shared" si="415"/>
        <v>41125</v>
      </c>
      <c r="D927" s="4" t="s">
        <v>45</v>
      </c>
      <c r="E927" s="4">
        <v>2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6"/>
        <v>41127</v>
      </c>
    </row>
    <row r="928" spans="1:21" ht="12" customHeight="1">
      <c r="A928" s="4">
        <v>5173</v>
      </c>
      <c r="B928" s="4">
        <v>36803</v>
      </c>
      <c r="C928" s="5">
        <f t="shared" si="415"/>
        <v>41125</v>
      </c>
      <c r="D928" s="4" t="s">
        <v>45</v>
      </c>
      <c r="E928" s="4">
        <v>2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65.989999999999995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0.56000000000000005</v>
      </c>
      <c r="U928" s="5">
        <f t="shared" si="416"/>
        <v>41127</v>
      </c>
    </row>
    <row r="929" spans="1:21" ht="12" customHeight="1">
      <c r="A929" s="4">
        <v>5174</v>
      </c>
      <c r="B929" s="4">
        <v>36805</v>
      </c>
      <c r="C929" s="5">
        <f t="shared" ref="C929:C930" si="417">DATE(2012,12,31)-748</f>
        <v>40526</v>
      </c>
      <c r="D929" s="4" t="s">
        <v>63</v>
      </c>
      <c r="E929" s="4">
        <v>7</v>
      </c>
      <c r="F929" s="4">
        <v>263.8</v>
      </c>
      <c r="G929" s="4">
        <v>0</v>
      </c>
      <c r="H929" s="4" t="s">
        <v>22</v>
      </c>
      <c r="I929" s="6">
        <v>165.33</v>
      </c>
      <c r="J929" s="4">
        <v>34.229999999999997</v>
      </c>
      <c r="K929" s="4">
        <v>5.0199999999999996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0.55000000000000004</v>
      </c>
      <c r="U929" s="5">
        <f t="shared" si="416"/>
        <v>40528</v>
      </c>
    </row>
    <row r="930" spans="1:21" ht="12" customHeight="1">
      <c r="A930" s="4">
        <v>5175</v>
      </c>
      <c r="B930" s="4">
        <v>36805</v>
      </c>
      <c r="C930" s="5">
        <f t="shared" si="417"/>
        <v>40526</v>
      </c>
      <c r="D930" s="4" t="s">
        <v>63</v>
      </c>
      <c r="E930" s="4">
        <v>28</v>
      </c>
      <c r="F930" s="4">
        <v>1546.3964999999998</v>
      </c>
      <c r="G930" s="4">
        <v>7.0000000000000007E-2</v>
      </c>
      <c r="H930" s="4" t="s">
        <v>56</v>
      </c>
      <c r="I930" s="6">
        <v>226.71899999999999</v>
      </c>
      <c r="J930" s="4">
        <v>65.989999999999995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6"/>
        <v>40528</v>
      </c>
    </row>
    <row r="931" spans="1:21" ht="12" customHeight="1">
      <c r="A931" s="4">
        <v>5255</v>
      </c>
      <c r="B931" s="4">
        <v>37410</v>
      </c>
      <c r="C931" s="5">
        <f>DATE(2012,12,31)-811</f>
        <v>40463</v>
      </c>
      <c r="D931" s="4" t="s">
        <v>63</v>
      </c>
      <c r="E931" s="4">
        <v>45</v>
      </c>
      <c r="F931" s="4">
        <v>18775.759999999998</v>
      </c>
      <c r="G931" s="4">
        <v>0.03</v>
      </c>
      <c r="H931" s="4" t="s">
        <v>31</v>
      </c>
      <c r="I931" s="6">
        <v>8504.4699999999993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6"/>
        <v>40465</v>
      </c>
    </row>
    <row r="932" spans="1:21" ht="12" customHeight="1">
      <c r="A932" s="4">
        <v>5346</v>
      </c>
      <c r="B932" s="4">
        <v>37988</v>
      </c>
      <c r="C932" s="5">
        <f>DATE(2012,12,31)-636</f>
        <v>40638</v>
      </c>
      <c r="D932" s="4" t="s">
        <v>45</v>
      </c>
      <c r="E932" s="4">
        <v>12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16.059999999999999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spans="1:21" ht="12" customHeight="1">
      <c r="A933" s="4">
        <v>5449</v>
      </c>
      <c r="B933" s="4">
        <v>38690</v>
      </c>
      <c r="C933" s="5">
        <f>DATE(2012,12,31)-346</f>
        <v>40928</v>
      </c>
      <c r="D933" s="4" t="s">
        <v>21</v>
      </c>
      <c r="E933" s="4">
        <v>28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spans="1:21" ht="12" customHeight="1">
      <c r="A934" s="4">
        <v>5457</v>
      </c>
      <c r="B934" s="4">
        <v>38758</v>
      </c>
      <c r="C934" s="5">
        <f>DATE(2012,12,31)-464</f>
        <v>40810</v>
      </c>
      <c r="D934" s="4" t="s">
        <v>45</v>
      </c>
      <c r="E934" s="4">
        <v>7</v>
      </c>
      <c r="F934" s="4">
        <v>497.2</v>
      </c>
      <c r="G934" s="4">
        <v>0</v>
      </c>
      <c r="H934" s="4" t="s">
        <v>22</v>
      </c>
      <c r="I934" s="6">
        <v>-219.61</v>
      </c>
      <c r="J934" s="4">
        <v>60.98</v>
      </c>
      <c r="K934" s="4">
        <v>49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spans="1:21" ht="12" customHeight="1">
      <c r="A935" s="4">
        <v>5554</v>
      </c>
      <c r="B935" s="4">
        <v>39332</v>
      </c>
      <c r="C935" s="5">
        <f>DATE(2012,12,31)-449</f>
        <v>40825</v>
      </c>
      <c r="D935" s="4" t="s">
        <v>78</v>
      </c>
      <c r="E935" s="4">
        <v>4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0.56999999999999995</v>
      </c>
      <c r="U935" s="5">
        <f t="shared" ref="U935:U936" si="418">C935+1</f>
        <v>40826</v>
      </c>
    </row>
    <row r="936" spans="1:21" ht="12" customHeight="1">
      <c r="A936" s="4">
        <v>5608</v>
      </c>
      <c r="B936" s="4">
        <v>39745</v>
      </c>
      <c r="C936" s="5">
        <f>DATE(2012,12,31)-607</f>
        <v>40667</v>
      </c>
      <c r="D936" s="4" t="s">
        <v>45</v>
      </c>
      <c r="E936" s="4">
        <v>8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8"/>
        <v>40668</v>
      </c>
    </row>
    <row r="937" spans="1:21" ht="12" customHeight="1">
      <c r="A937" s="4">
        <v>5678</v>
      </c>
      <c r="B937" s="4">
        <v>40134</v>
      </c>
      <c r="C937" s="5">
        <f t="shared" ref="C937:C939" si="419">DATE(2012,12,31)-449</f>
        <v>40825</v>
      </c>
      <c r="D937" s="4" t="s">
        <v>21</v>
      </c>
      <c r="E937" s="4">
        <v>10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spans="1:21" ht="12" customHeight="1">
      <c r="A938" s="4">
        <v>5679</v>
      </c>
      <c r="B938" s="4">
        <v>40134</v>
      </c>
      <c r="C938" s="5">
        <f t="shared" si="419"/>
        <v>40825</v>
      </c>
      <c r="D938" s="4" t="s">
        <v>21</v>
      </c>
      <c r="E938" s="4">
        <v>43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spans="1:21" ht="12" customHeight="1">
      <c r="A939" s="4">
        <v>5680</v>
      </c>
      <c r="B939" s="4">
        <v>40134</v>
      </c>
      <c r="C939" s="5">
        <f t="shared" si="419"/>
        <v>40825</v>
      </c>
      <c r="D939" s="4" t="s">
        <v>21</v>
      </c>
      <c r="E939" s="4">
        <v>1</v>
      </c>
      <c r="F939" s="4">
        <v>9.75</v>
      </c>
      <c r="G939" s="4">
        <v>0</v>
      </c>
      <c r="H939" s="4" t="s">
        <v>22</v>
      </c>
      <c r="I939" s="6">
        <v>-6.72</v>
      </c>
      <c r="J939" s="4">
        <v>4.9800000000000004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spans="1:21" ht="12" customHeight="1">
      <c r="A940" s="4">
        <v>5683</v>
      </c>
      <c r="B940" s="4">
        <v>40164</v>
      </c>
      <c r="C940" s="5">
        <f>DATE(2012,12,31)-996</f>
        <v>40278</v>
      </c>
      <c r="D940" s="4" t="s">
        <v>45</v>
      </c>
      <c r="E940" s="4">
        <v>8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0">C940+2</f>
        <v>40280</v>
      </c>
    </row>
    <row r="941" spans="1:21" ht="12" customHeight="1">
      <c r="A941" s="4">
        <v>5723</v>
      </c>
      <c r="B941" s="4">
        <v>40608</v>
      </c>
      <c r="C941" s="5">
        <f t="shared" ref="C941:C942" si="421">DATE(2012,12,31)-134</f>
        <v>41140</v>
      </c>
      <c r="D941" s="4" t="s">
        <v>45</v>
      </c>
      <c r="E941" s="4">
        <v>29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9.5399999999999991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0"/>
        <v>41142</v>
      </c>
    </row>
    <row r="942" spans="1:21" ht="12" customHeight="1">
      <c r="A942" s="4">
        <v>5724</v>
      </c>
      <c r="B942" s="4">
        <v>40608</v>
      </c>
      <c r="C942" s="5">
        <f t="shared" si="421"/>
        <v>41140</v>
      </c>
      <c r="D942" s="4" t="s">
        <v>45</v>
      </c>
      <c r="E942" s="4">
        <v>39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spans="1:21" ht="12" customHeight="1">
      <c r="A943" s="4">
        <v>5742</v>
      </c>
      <c r="B943" s="4">
        <v>40801</v>
      </c>
      <c r="C943" s="5">
        <f>DATE(2012,12,31)-183</f>
        <v>41091</v>
      </c>
      <c r="D943" s="4" t="s">
        <v>45</v>
      </c>
      <c r="E943" s="4">
        <v>20</v>
      </c>
      <c r="F943" s="4">
        <v>129.16</v>
      </c>
      <c r="G943" s="4">
        <v>7.0000000000000007E-2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spans="1:21" ht="12" customHeight="1">
      <c r="A944" s="4">
        <v>5820</v>
      </c>
      <c r="B944" s="4">
        <v>41286</v>
      </c>
      <c r="C944" s="5">
        <f>DATE(2012,12,31)-106</f>
        <v>41168</v>
      </c>
      <c r="D944" s="4" t="s">
        <v>63</v>
      </c>
      <c r="E944" s="4">
        <v>40</v>
      </c>
      <c r="F944" s="4">
        <v>260.95999999999998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spans="1:21" ht="12" customHeight="1">
      <c r="A945" s="4">
        <v>5856</v>
      </c>
      <c r="B945" s="4">
        <v>41569</v>
      </c>
      <c r="C945" s="5">
        <f>DATE(2012,12,31)-894</f>
        <v>40380</v>
      </c>
      <c r="D945" s="4" t="s">
        <v>78</v>
      </c>
      <c r="E945" s="4">
        <v>16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spans="1:21" ht="12" customHeight="1">
      <c r="A946" s="4">
        <v>5866</v>
      </c>
      <c r="B946" s="4">
        <v>41633</v>
      </c>
      <c r="C946" s="5">
        <f>DATE(2012,12,31)-783</f>
        <v>40491</v>
      </c>
      <c r="D946" s="4" t="s">
        <v>21</v>
      </c>
      <c r="E946" s="4">
        <v>29</v>
      </c>
      <c r="F946" s="4">
        <v>3636.91</v>
      </c>
      <c r="G946" s="4">
        <v>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spans="1:21" ht="12" customHeight="1">
      <c r="A947" s="4">
        <v>5910</v>
      </c>
      <c r="B947" s="4">
        <v>41895</v>
      </c>
      <c r="C947" s="5">
        <f>DATE(2012,12,31)-721</f>
        <v>40553</v>
      </c>
      <c r="D947" s="4" t="s">
        <v>78</v>
      </c>
      <c r="E947" s="4">
        <v>8</v>
      </c>
      <c r="F947" s="4">
        <v>27663.919999999998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2">C947+2</f>
        <v>40555</v>
      </c>
    </row>
    <row r="948" spans="1:21" ht="12" customHeight="1">
      <c r="A948" s="4">
        <v>5936</v>
      </c>
      <c r="B948" s="4">
        <v>42112</v>
      </c>
      <c r="C948" s="5">
        <f>DATE(2012,12,31)-738</f>
        <v>40536</v>
      </c>
      <c r="D948" s="4" t="s">
        <v>45</v>
      </c>
      <c r="E948" s="4">
        <v>16</v>
      </c>
      <c r="F948" s="4">
        <v>2744.3609999999999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2"/>
        <v>40538</v>
      </c>
    </row>
    <row r="949" spans="1:21" ht="12" customHeight="1">
      <c r="A949" s="4">
        <v>5942</v>
      </c>
      <c r="B949" s="4">
        <v>42177</v>
      </c>
      <c r="C949" s="5">
        <f t="shared" ref="C949:C950" si="423">DATE(2012,12,31)-215</f>
        <v>41059</v>
      </c>
      <c r="D949" s="4" t="s">
        <v>45</v>
      </c>
      <c r="E949" s="4">
        <v>49</v>
      </c>
      <c r="F949" s="4">
        <v>1201.934</v>
      </c>
      <c r="G949" s="4">
        <v>0.03</v>
      </c>
      <c r="H949" s="4" t="s">
        <v>22</v>
      </c>
      <c r="I949" s="6">
        <v>47.420999999999999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0.56000000000000005</v>
      </c>
      <c r="U949" s="5">
        <f>C949+1</f>
        <v>41060</v>
      </c>
    </row>
    <row r="950" spans="1:21" ht="12" customHeight="1">
      <c r="A950" s="4">
        <v>5943</v>
      </c>
      <c r="B950" s="4">
        <v>42177</v>
      </c>
      <c r="C950" s="5">
        <f t="shared" si="423"/>
        <v>41059</v>
      </c>
      <c r="D950" s="4" t="s">
        <v>45</v>
      </c>
      <c r="E950" s="4">
        <v>38</v>
      </c>
      <c r="F950" s="4">
        <v>395.84</v>
      </c>
      <c r="G950" s="4">
        <v>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spans="1:21" ht="12" customHeight="1">
      <c r="A951" s="4">
        <v>6061</v>
      </c>
      <c r="B951" s="4">
        <v>42947</v>
      </c>
      <c r="C951" s="5">
        <f>DATE(2012,12,31)-858</f>
        <v>40416</v>
      </c>
      <c r="D951" s="4" t="s">
        <v>21</v>
      </c>
      <c r="E951" s="4">
        <v>5</v>
      </c>
      <c r="F951" s="4">
        <v>177.05</v>
      </c>
      <c r="G951" s="4">
        <v>0</v>
      </c>
      <c r="H951" s="4" t="s">
        <v>22</v>
      </c>
      <c r="I951" s="6">
        <v>-50.67</v>
      </c>
      <c r="J951" s="4">
        <v>35.409999999999997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spans="1:21" ht="12" customHeight="1">
      <c r="A952" s="4">
        <v>6087</v>
      </c>
      <c r="B952" s="4">
        <v>43111</v>
      </c>
      <c r="C952" s="5">
        <f>DATE(2012,12,31)-476</f>
        <v>40798</v>
      </c>
      <c r="D952" s="4" t="s">
        <v>30</v>
      </c>
      <c r="E952" s="4">
        <v>27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19.989999999999998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spans="1:21" ht="12" customHeight="1">
      <c r="A953" s="4">
        <v>6228</v>
      </c>
      <c r="B953" s="4">
        <v>44098</v>
      </c>
      <c r="C953" s="5">
        <f>DATE(2012,12,31)-1069</f>
        <v>40205</v>
      </c>
      <c r="D953" s="4" t="s">
        <v>21</v>
      </c>
      <c r="E953" s="4">
        <v>1</v>
      </c>
      <c r="F953" s="4">
        <v>5.0599999999999996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spans="1:21" ht="12" customHeight="1">
      <c r="A954" s="4">
        <v>6282</v>
      </c>
      <c r="B954" s="4">
        <v>44451</v>
      </c>
      <c r="C954" s="5">
        <f>DATE(2012,12,31)-477</f>
        <v>40797</v>
      </c>
      <c r="D954" s="4" t="s">
        <v>78</v>
      </c>
      <c r="E954" s="4">
        <v>4</v>
      </c>
      <c r="F954" s="4">
        <v>103.9</v>
      </c>
      <c r="G954" s="4">
        <v>7.0000000000000007E-2</v>
      </c>
      <c r="H954" s="4" t="s">
        <v>56</v>
      </c>
      <c r="I954" s="6">
        <v>-19.260000000000002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spans="1:21" ht="12" customHeight="1">
      <c r="A955" s="4">
        <v>6354</v>
      </c>
      <c r="B955" s="4">
        <v>45059</v>
      </c>
      <c r="C955" s="5">
        <f t="shared" ref="C955:C956" si="424">DATE(2012,12,31)-697</f>
        <v>40577</v>
      </c>
      <c r="D955" s="4" t="s">
        <v>45</v>
      </c>
      <c r="E955" s="4">
        <v>35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spans="1:21" ht="12" customHeight="1">
      <c r="A956" s="4">
        <v>6355</v>
      </c>
      <c r="B956" s="4">
        <v>45059</v>
      </c>
      <c r="C956" s="5">
        <f t="shared" si="424"/>
        <v>40577</v>
      </c>
      <c r="D956" s="4" t="s">
        <v>45</v>
      </c>
      <c r="E956" s="4">
        <v>39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19.989999999999998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spans="1:21" ht="12" customHeight="1">
      <c r="A957" s="4">
        <v>6362</v>
      </c>
      <c r="B957" s="4">
        <v>45155</v>
      </c>
      <c r="C957" s="5">
        <f t="shared" ref="C957:C958" si="425">DATE(2012,12,31)-685</f>
        <v>40589</v>
      </c>
      <c r="D957" s="4" t="s">
        <v>21</v>
      </c>
      <c r="E957" s="4">
        <v>44</v>
      </c>
      <c r="F957" s="4">
        <v>181.61</v>
      </c>
      <c r="G957" s="4">
        <v>0.03</v>
      </c>
      <c r="H957" s="4" t="s">
        <v>22</v>
      </c>
      <c r="I957" s="6">
        <v>-150.25899999999999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spans="1:21" ht="12" customHeight="1">
      <c r="A958" s="4">
        <v>6363</v>
      </c>
      <c r="B958" s="4">
        <v>45155</v>
      </c>
      <c r="C958" s="5">
        <f t="shared" si="425"/>
        <v>40589</v>
      </c>
      <c r="D958" s="4" t="s">
        <v>21</v>
      </c>
      <c r="E958" s="4">
        <v>35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spans="1:21" ht="12" customHeight="1">
      <c r="A959" s="4">
        <v>6380</v>
      </c>
      <c r="B959" s="4">
        <v>45317</v>
      </c>
      <c r="C959" s="5">
        <f t="shared" ref="C959:C960" si="426">DATE(2012,12,31)-305</f>
        <v>40969</v>
      </c>
      <c r="D959" s="4" t="s">
        <v>21</v>
      </c>
      <c r="E959" s="4">
        <v>36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7">C959+7</f>
        <v>40976</v>
      </c>
    </row>
    <row r="960" spans="1:21" ht="12" customHeight="1">
      <c r="A960" s="4">
        <v>6381</v>
      </c>
      <c r="B960" s="4">
        <v>45317</v>
      </c>
      <c r="C960" s="5">
        <f t="shared" si="426"/>
        <v>40969</v>
      </c>
      <c r="D960" s="4" t="s">
        <v>21</v>
      </c>
      <c r="E960" s="4">
        <v>28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34.229999999999997</v>
      </c>
      <c r="K960" s="4">
        <v>5.0199999999999996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0.55000000000000004</v>
      </c>
      <c r="U960" s="5">
        <f t="shared" si="427"/>
        <v>40976</v>
      </c>
    </row>
    <row r="961" spans="1:21" ht="12" customHeight="1">
      <c r="A961" s="4">
        <v>6578</v>
      </c>
      <c r="B961" s="4">
        <v>46849</v>
      </c>
      <c r="C961" s="5">
        <f>DATE(2012,12,31)-749</f>
        <v>40525</v>
      </c>
      <c r="D961" s="4" t="s">
        <v>45</v>
      </c>
      <c r="E961" s="4">
        <v>23</v>
      </c>
      <c r="F961" s="4">
        <v>188.54</v>
      </c>
      <c r="G961" s="4">
        <v>0.09</v>
      </c>
      <c r="H961" s="4" t="s">
        <v>22</v>
      </c>
      <c r="I961" s="6">
        <v>9.8200000000000056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8">C961+1</f>
        <v>40526</v>
      </c>
    </row>
    <row r="962" spans="1:21" ht="12" customHeight="1">
      <c r="A962" s="4">
        <v>6683</v>
      </c>
      <c r="B962" s="4">
        <v>47527</v>
      </c>
      <c r="C962" s="5">
        <f>DATE(2012,12,31)-836</f>
        <v>40438</v>
      </c>
      <c r="D962" s="4" t="s">
        <v>63</v>
      </c>
      <c r="E962" s="4">
        <v>48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0.55000000000000004</v>
      </c>
      <c r="U962" s="5">
        <f t="shared" si="428"/>
        <v>40439</v>
      </c>
    </row>
    <row r="963" spans="1:21" ht="12" customHeight="1">
      <c r="A963" s="4">
        <v>6707</v>
      </c>
      <c r="B963" s="4">
        <v>47750</v>
      </c>
      <c r="C963" s="5">
        <f>DATE(2012,12,31)-930</f>
        <v>40344</v>
      </c>
      <c r="D963" s="4" t="s">
        <v>21</v>
      </c>
      <c r="E963" s="4">
        <v>1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spans="1:21" ht="12" customHeight="1">
      <c r="A964" s="4">
        <v>6797</v>
      </c>
      <c r="B964" s="4">
        <v>48452</v>
      </c>
      <c r="C964" s="5">
        <f t="shared" ref="C964:C968" si="429">DATE(2012,12,31)-814</f>
        <v>40460</v>
      </c>
      <c r="D964" s="4" t="s">
        <v>30</v>
      </c>
      <c r="E964" s="4">
        <v>32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spans="1:21" ht="12" customHeight="1">
      <c r="A965" s="4">
        <v>6798</v>
      </c>
      <c r="B965" s="4">
        <v>48452</v>
      </c>
      <c r="C965" s="5">
        <f t="shared" si="429"/>
        <v>40460</v>
      </c>
      <c r="D965" s="4" t="s">
        <v>30</v>
      </c>
      <c r="E965" s="4">
        <v>19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19.989999999999998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spans="1:21" ht="12" customHeight="1">
      <c r="A966" s="4">
        <v>6799</v>
      </c>
      <c r="B966" s="4">
        <v>48452</v>
      </c>
      <c r="C966" s="5">
        <f t="shared" si="429"/>
        <v>40460</v>
      </c>
      <c r="D966" s="4" t="s">
        <v>30</v>
      </c>
      <c r="E966" s="4">
        <v>44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spans="1:21" ht="12" customHeight="1">
      <c r="A967" s="4">
        <v>6800</v>
      </c>
      <c r="B967" s="4">
        <v>48452</v>
      </c>
      <c r="C967" s="5">
        <f t="shared" si="429"/>
        <v>40460</v>
      </c>
      <c r="D967" s="4" t="s">
        <v>30</v>
      </c>
      <c r="E967" s="4">
        <v>15</v>
      </c>
      <c r="F967" s="4">
        <v>73.41</v>
      </c>
      <c r="G967" s="4">
        <v>0.08</v>
      </c>
      <c r="H967" s="4" t="s">
        <v>22</v>
      </c>
      <c r="I967" s="6">
        <v>-44.792499999999997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0">C967+2</f>
        <v>40462</v>
      </c>
    </row>
    <row r="968" spans="1:21" ht="12" customHeight="1">
      <c r="A968" s="4">
        <v>6801</v>
      </c>
      <c r="B968" s="4">
        <v>48452</v>
      </c>
      <c r="C968" s="5">
        <f t="shared" si="429"/>
        <v>40460</v>
      </c>
      <c r="D968" s="4" t="s">
        <v>30</v>
      </c>
      <c r="E968" s="4">
        <v>28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0"/>
        <v>40462</v>
      </c>
    </row>
    <row r="969" spans="1:21" ht="12" customHeight="1">
      <c r="A969" s="4">
        <v>6906</v>
      </c>
      <c r="B969" s="4">
        <v>49223</v>
      </c>
      <c r="C969" s="5">
        <f>DATE(2012,12,31)-456</f>
        <v>40818</v>
      </c>
      <c r="D969" s="4" t="s">
        <v>63</v>
      </c>
      <c r="E969" s="4">
        <v>24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9.3800000000000008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0.56999999999999995</v>
      </c>
      <c r="U969" s="5">
        <f>C969+0</f>
        <v>40818</v>
      </c>
    </row>
    <row r="970" spans="1:21" ht="12" customHeight="1">
      <c r="A970" s="4">
        <v>6947</v>
      </c>
      <c r="B970" s="4">
        <v>49634</v>
      </c>
      <c r="C970" s="5">
        <f t="shared" ref="C970:C971" si="431">DATE(2012,12,31)-283</f>
        <v>40991</v>
      </c>
      <c r="D970" s="4" t="s">
        <v>45</v>
      </c>
      <c r="E970" s="4">
        <v>39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spans="1:21" ht="12" customHeight="1">
      <c r="A971" s="4">
        <v>6948</v>
      </c>
      <c r="B971" s="4">
        <v>49634</v>
      </c>
      <c r="C971" s="5">
        <f t="shared" si="431"/>
        <v>40991</v>
      </c>
      <c r="D971" s="4" t="s">
        <v>45</v>
      </c>
      <c r="E971" s="4">
        <v>3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spans="1:21" ht="12" customHeight="1">
      <c r="A972" s="4">
        <v>6999</v>
      </c>
      <c r="B972" s="4">
        <v>49987</v>
      </c>
      <c r="C972" s="5">
        <f t="shared" ref="C972:C973" si="432">DATE(2012,12,31)-712</f>
        <v>40562</v>
      </c>
      <c r="D972" s="4" t="s">
        <v>30</v>
      </c>
      <c r="E972" s="4">
        <v>15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3">C972+3</f>
        <v>40565</v>
      </c>
    </row>
    <row r="973" spans="1:21" ht="12" customHeight="1">
      <c r="A973" s="4">
        <v>7000</v>
      </c>
      <c r="B973" s="4">
        <v>49987</v>
      </c>
      <c r="C973" s="5">
        <f t="shared" si="432"/>
        <v>40562</v>
      </c>
      <c r="D973" s="4" t="s">
        <v>30</v>
      </c>
      <c r="E973" s="4">
        <v>4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3"/>
        <v>40565</v>
      </c>
    </row>
    <row r="974" spans="1:21" ht="12" customHeight="1">
      <c r="A974" s="4">
        <v>7032</v>
      </c>
      <c r="B974" s="4">
        <v>50208</v>
      </c>
      <c r="C974" s="5">
        <f>DATE(2012,12,31)-709</f>
        <v>40565</v>
      </c>
      <c r="D974" s="4" t="s">
        <v>63</v>
      </c>
      <c r="E974" s="4">
        <v>4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spans="1:21" ht="12" customHeight="1">
      <c r="A975" s="4">
        <v>7138</v>
      </c>
      <c r="B975" s="4">
        <v>50945</v>
      </c>
      <c r="C975" s="5">
        <f>DATE(2012,12,31)-724</f>
        <v>40550</v>
      </c>
      <c r="D975" s="4" t="s">
        <v>78</v>
      </c>
      <c r="E975" s="4">
        <v>27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0.56999999999999995</v>
      </c>
      <c r="U975" s="5">
        <f t="shared" ref="U975:U979" si="434">C975+2</f>
        <v>40552</v>
      </c>
    </row>
    <row r="976" spans="1:21" ht="12" customHeight="1">
      <c r="A976" s="4">
        <v>7210</v>
      </c>
      <c r="B976" s="4">
        <v>51462</v>
      </c>
      <c r="C976" s="5">
        <f>DATE(2012,12,31)-558</f>
        <v>40716</v>
      </c>
      <c r="D976" s="4" t="s">
        <v>63</v>
      </c>
      <c r="E976" s="4">
        <v>15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0.56999999999999995</v>
      </c>
      <c r="U976" s="5">
        <f t="shared" si="434"/>
        <v>40718</v>
      </c>
    </row>
    <row r="977" spans="1:21" ht="12" customHeight="1">
      <c r="A977" s="4">
        <v>7218</v>
      </c>
      <c r="B977" s="4">
        <v>51494</v>
      </c>
      <c r="C977" s="5">
        <f>DATE(2012,12,31)-516</f>
        <v>40758</v>
      </c>
      <c r="D977" s="4" t="s">
        <v>78</v>
      </c>
      <c r="E977" s="4">
        <v>42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4"/>
        <v>40760</v>
      </c>
    </row>
    <row r="978" spans="1:21" ht="12" customHeight="1">
      <c r="A978" s="4">
        <v>7221</v>
      </c>
      <c r="B978" s="4">
        <v>51525</v>
      </c>
      <c r="C978" s="5">
        <f t="shared" ref="C978:C979" si="435">DATE(2012,12,31)-420</f>
        <v>40854</v>
      </c>
      <c r="D978" s="4" t="s">
        <v>78</v>
      </c>
      <c r="E978" s="4">
        <v>18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4"/>
        <v>40856</v>
      </c>
    </row>
    <row r="979" spans="1:21" ht="12" customHeight="1">
      <c r="A979" s="4">
        <v>7222</v>
      </c>
      <c r="B979" s="4">
        <v>51525</v>
      </c>
      <c r="C979" s="5">
        <f t="shared" si="435"/>
        <v>40854</v>
      </c>
      <c r="D979" s="4" t="s">
        <v>78</v>
      </c>
      <c r="E979" s="4">
        <v>46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8.2200000000000006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0.56999999999999995</v>
      </c>
      <c r="U979" s="5">
        <f t="shared" si="434"/>
        <v>40856</v>
      </c>
    </row>
    <row r="980" spans="1:21" ht="12" customHeight="1">
      <c r="A980" s="4">
        <v>7428</v>
      </c>
      <c r="B980" s="4">
        <v>52933</v>
      </c>
      <c r="C980" s="5">
        <f>DATE(2012,12,31)-858</f>
        <v>40416</v>
      </c>
      <c r="D980" s="4" t="s">
        <v>21</v>
      </c>
      <c r="E980" s="4">
        <v>44</v>
      </c>
      <c r="F980" s="4">
        <v>210.46</v>
      </c>
      <c r="G980" s="4">
        <v>0.03</v>
      </c>
      <c r="H980" s="4" t="s">
        <v>56</v>
      </c>
      <c r="I980" s="6">
        <v>50.039499999999997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spans="1:21" ht="12" customHeight="1">
      <c r="A981" s="4">
        <v>7437</v>
      </c>
      <c r="B981" s="4">
        <v>53025</v>
      </c>
      <c r="C981" s="5">
        <f>DATE(2012,12,31)-1020</f>
        <v>40254</v>
      </c>
      <c r="D981" s="4" t="s">
        <v>78</v>
      </c>
      <c r="E981" s="4">
        <v>32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spans="1:21" ht="12" customHeight="1">
      <c r="A982" s="4">
        <v>7587</v>
      </c>
      <c r="B982" s="4">
        <v>54304</v>
      </c>
      <c r="C982" s="5">
        <f>DATE(2012,12,31)-1048</f>
        <v>40226</v>
      </c>
      <c r="D982" s="4" t="s">
        <v>30</v>
      </c>
      <c r="E982" s="4">
        <v>11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0.56000000000000005</v>
      </c>
      <c r="U982" s="5">
        <f>C982+2</f>
        <v>40228</v>
      </c>
    </row>
    <row r="983" spans="1:21" ht="12" customHeight="1">
      <c r="A983" s="4">
        <v>7685</v>
      </c>
      <c r="B983" s="4">
        <v>55075</v>
      </c>
      <c r="C983" s="5">
        <f>DATE(2012,12,31)-699</f>
        <v>40575</v>
      </c>
      <c r="D983" s="4" t="s">
        <v>78</v>
      </c>
      <c r="E983" s="4">
        <v>21</v>
      </c>
      <c r="F983" s="4">
        <v>556.45000000000005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spans="1:21" ht="12" customHeight="1">
      <c r="A984" s="4">
        <v>7710</v>
      </c>
      <c r="B984" s="4">
        <v>55268</v>
      </c>
      <c r="C984" s="5">
        <f>DATE(2012,12,31)-289</f>
        <v>40985</v>
      </c>
      <c r="D984" s="4" t="s">
        <v>30</v>
      </c>
      <c r="E984" s="4">
        <v>11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4.8899999999999997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spans="1:21" ht="12" customHeight="1">
      <c r="A985" s="4">
        <v>7875</v>
      </c>
      <c r="B985" s="4">
        <v>56321</v>
      </c>
      <c r="C985" s="5">
        <f>DATE(2012,12,31)-990</f>
        <v>40284</v>
      </c>
      <c r="D985" s="4" t="s">
        <v>78</v>
      </c>
      <c r="E985" s="4">
        <v>24</v>
      </c>
      <c r="F985" s="4">
        <v>135.88</v>
      </c>
      <c r="G985" s="4">
        <v>0.1</v>
      </c>
      <c r="H985" s="4" t="s">
        <v>22</v>
      </c>
      <c r="I985" s="6">
        <v>-75.394000000000005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spans="1:21" ht="12" customHeight="1">
      <c r="A986" s="4">
        <v>7919</v>
      </c>
      <c r="B986" s="4">
        <v>56610</v>
      </c>
      <c r="C986" s="5">
        <f>DATE(2012,12,31)-1030</f>
        <v>40244</v>
      </c>
      <c r="D986" s="4" t="s">
        <v>63</v>
      </c>
      <c r="E986" s="4">
        <v>20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spans="1:21" ht="12" customHeight="1">
      <c r="A987" s="4">
        <v>7943</v>
      </c>
      <c r="B987" s="4">
        <v>56740</v>
      </c>
      <c r="C987" s="5">
        <f>DATE(2012,12,31)-76</f>
        <v>41198</v>
      </c>
      <c r="D987" s="4" t="s">
        <v>78</v>
      </c>
      <c r="E987" s="4">
        <v>33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spans="1:21" ht="12" customHeight="1">
      <c r="A988" s="4">
        <v>8020</v>
      </c>
      <c r="B988" s="4">
        <v>57314</v>
      </c>
      <c r="C988" s="5">
        <f t="shared" ref="C988:C989" si="436">DATE(2012,12,31)-811</f>
        <v>40463</v>
      </c>
      <c r="D988" s="4" t="s">
        <v>21</v>
      </c>
      <c r="E988" s="4">
        <v>22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spans="1:21" ht="12" customHeight="1">
      <c r="A989" s="4">
        <v>8021</v>
      </c>
      <c r="B989" s="4">
        <v>57314</v>
      </c>
      <c r="C989" s="5">
        <f t="shared" si="436"/>
        <v>40463</v>
      </c>
      <c r="D989" s="4" t="s">
        <v>21</v>
      </c>
      <c r="E989" s="4">
        <v>26</v>
      </c>
      <c r="F989" s="4">
        <v>1976.3945000000001</v>
      </c>
      <c r="G989" s="4">
        <v>0</v>
      </c>
      <c r="H989" s="4" t="s">
        <v>22</v>
      </c>
      <c r="I989" s="6">
        <v>473.35500000000002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0.57999999999999996</v>
      </c>
      <c r="U989" s="5">
        <f>C989+7</f>
        <v>40470</v>
      </c>
    </row>
    <row r="990" spans="1:21" ht="12" customHeight="1">
      <c r="A990" s="4">
        <v>8027</v>
      </c>
      <c r="B990" s="4">
        <v>57376</v>
      </c>
      <c r="C990" s="5">
        <f t="shared" ref="C990:C991" si="437">DATE(2012,12,31)-561</f>
        <v>40713</v>
      </c>
      <c r="D990" s="4" t="s">
        <v>78</v>
      </c>
      <c r="E990" s="4">
        <v>44</v>
      </c>
      <c r="F990" s="4">
        <v>442.72</v>
      </c>
      <c r="G990" s="4">
        <v>7.0000000000000007E-2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spans="1:21" ht="12" customHeight="1">
      <c r="A991" s="4">
        <v>8028</v>
      </c>
      <c r="B991" s="4">
        <v>57376</v>
      </c>
      <c r="C991" s="5">
        <f t="shared" si="437"/>
        <v>40713</v>
      </c>
      <c r="D991" s="4" t="s">
        <v>78</v>
      </c>
      <c r="E991" s="4">
        <v>6</v>
      </c>
      <c r="F991" s="4">
        <v>326.89299999999997</v>
      </c>
      <c r="G991" s="4">
        <v>7.0000000000000007E-2</v>
      </c>
      <c r="H991" s="4" t="s">
        <v>22</v>
      </c>
      <c r="I991" s="6">
        <v>-223.21199999999999</v>
      </c>
      <c r="J991" s="4">
        <v>65.989999999999995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0.56999999999999995</v>
      </c>
      <c r="U991" s="5">
        <f>C991+0</f>
        <v>40713</v>
      </c>
    </row>
    <row r="992" spans="1:21" ht="12" customHeight="1">
      <c r="A992" s="4">
        <v>8086</v>
      </c>
      <c r="B992" s="4">
        <v>57671</v>
      </c>
      <c r="C992" s="5">
        <f>DATE(2012,12,31)-54</f>
        <v>41220</v>
      </c>
      <c r="D992" s="4" t="s">
        <v>45</v>
      </c>
      <c r="E992" s="4">
        <v>6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spans="1:21" ht="12" customHeight="1">
      <c r="A993" s="4">
        <v>8092</v>
      </c>
      <c r="B993" s="4">
        <v>57700</v>
      </c>
      <c r="C993" s="5">
        <f>DATE(2012,12,31)-415</f>
        <v>40859</v>
      </c>
      <c r="D993" s="4" t="s">
        <v>63</v>
      </c>
      <c r="E993" s="4">
        <v>38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spans="1:21" ht="12" customHeight="1">
      <c r="A994" s="4">
        <v>8172</v>
      </c>
      <c r="B994" s="4">
        <v>58407</v>
      </c>
      <c r="C994" s="5">
        <f>DATE(2012,12,31)-605</f>
        <v>40669</v>
      </c>
      <c r="D994" s="4" t="s">
        <v>30</v>
      </c>
      <c r="E994" s="4">
        <v>29</v>
      </c>
      <c r="F994" s="4">
        <v>1669.88</v>
      </c>
      <c r="G994" s="4">
        <v>0.02</v>
      </c>
      <c r="H994" s="4" t="s">
        <v>22</v>
      </c>
      <c r="I994" s="6">
        <v>548.91999999999996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spans="1:21" ht="12" customHeight="1">
      <c r="A995" s="4">
        <v>8191</v>
      </c>
      <c r="B995" s="4">
        <v>58593</v>
      </c>
      <c r="C995" s="5">
        <f>DATE(2012,12,31)-480</f>
        <v>40794</v>
      </c>
      <c r="D995" s="4" t="s">
        <v>78</v>
      </c>
      <c r="E995" s="4">
        <v>29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70.709999999999994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spans="1:21" ht="12" customHeight="1">
      <c r="A996" s="4">
        <v>8238</v>
      </c>
      <c r="B996" s="4">
        <v>58884</v>
      </c>
      <c r="C996" s="5">
        <f t="shared" ref="C996:C997" si="438">DATE(2012,12,31)-651</f>
        <v>40623</v>
      </c>
      <c r="D996" s="4" t="s">
        <v>21</v>
      </c>
      <c r="E996" s="4">
        <v>29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39">C996+5</f>
        <v>40628</v>
      </c>
    </row>
    <row r="997" spans="1:21" ht="12" customHeight="1">
      <c r="A997" s="4">
        <v>8239</v>
      </c>
      <c r="B997" s="4">
        <v>58884</v>
      </c>
      <c r="C997" s="5">
        <f t="shared" si="438"/>
        <v>40623</v>
      </c>
      <c r="D997" s="4" t="s">
        <v>21</v>
      </c>
      <c r="E997" s="4">
        <v>46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0.56000000000000005</v>
      </c>
      <c r="U997" s="5">
        <f t="shared" si="439"/>
        <v>40628</v>
      </c>
    </row>
    <row r="998" spans="1:21" ht="12" customHeight="1">
      <c r="A998" s="4">
        <v>8240</v>
      </c>
      <c r="B998" s="4">
        <v>58913</v>
      </c>
      <c r="C998" s="5">
        <f>DATE(2012,12,31)-965</f>
        <v>40309</v>
      </c>
      <c r="D998" s="4" t="s">
        <v>63</v>
      </c>
      <c r="E998" s="4">
        <v>23</v>
      </c>
      <c r="F998" s="4">
        <v>144.55000000000001</v>
      </c>
      <c r="G998" s="4">
        <v>7.0000000000000007E-2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spans="1:21" ht="12" customHeight="1">
      <c r="A999" s="4">
        <v>8248</v>
      </c>
      <c r="B999" s="4">
        <v>58978</v>
      </c>
      <c r="C999" s="5">
        <f>DATE(2012,12,31)-329</f>
        <v>40945</v>
      </c>
      <c r="D999" s="4" t="s">
        <v>21</v>
      </c>
      <c r="E999" s="4">
        <v>13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spans="1:21" ht="12" customHeight="1">
      <c r="A1000" s="4">
        <v>37</v>
      </c>
      <c r="B1000" s="4">
        <v>229</v>
      </c>
      <c r="C1000" s="5">
        <f>DATE(2012,12,31)-734</f>
        <v>40540</v>
      </c>
      <c r="D1000" s="4" t="s">
        <v>78</v>
      </c>
      <c r="E1000" s="4">
        <v>43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4.9800000000000004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0">C1000+2</f>
        <v>40542</v>
      </c>
    </row>
    <row r="1001" spans="1:21" ht="12" customHeight="1">
      <c r="A1001" s="4">
        <v>108</v>
      </c>
      <c r="B1001" s="4">
        <v>706</v>
      </c>
      <c r="C1001" s="5">
        <f>DATE(2012,12,31)-480</f>
        <v>40794</v>
      </c>
      <c r="D1001" s="4" t="s">
        <v>78</v>
      </c>
      <c r="E1001" s="4">
        <v>42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0.56000000000000005</v>
      </c>
      <c r="U1001" s="5">
        <f t="shared" si="440"/>
        <v>40796</v>
      </c>
    </row>
    <row r="1002" spans="1:21" ht="12" customHeight="1">
      <c r="A1002" s="4">
        <v>193</v>
      </c>
      <c r="B1002" s="4">
        <v>1285</v>
      </c>
      <c r="C1002" s="5">
        <f t="shared" ref="C1002:C1003" si="441">DATE(2012,12,31)-214</f>
        <v>41060</v>
      </c>
      <c r="D1002" s="4" t="s">
        <v>78</v>
      </c>
      <c r="E1002" s="4">
        <v>27</v>
      </c>
      <c r="F1002" s="4">
        <v>3874.12</v>
      </c>
      <c r="G1002" s="4">
        <v>0</v>
      </c>
      <c r="H1002" s="4" t="s">
        <v>31</v>
      </c>
      <c r="I1002" s="6">
        <v>-305.98</v>
      </c>
      <c r="J1002" s="4">
        <v>130.97999999999999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spans="1:21" ht="12" customHeight="1">
      <c r="A1003" s="4">
        <v>194</v>
      </c>
      <c r="B1003" s="4">
        <v>1285</v>
      </c>
      <c r="C1003" s="5">
        <f t="shared" si="441"/>
        <v>41060</v>
      </c>
      <c r="D1003" s="4" t="s">
        <v>78</v>
      </c>
      <c r="E1003" s="4">
        <v>8</v>
      </c>
      <c r="F1003" s="4">
        <v>1452.2160000000001</v>
      </c>
      <c r="G1003" s="4">
        <v>0.05</v>
      </c>
      <c r="H1003" s="4" t="s">
        <v>31</v>
      </c>
      <c r="I1003" s="6">
        <v>-277.29000000000002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spans="1:21" ht="12" customHeight="1">
      <c r="A1004" s="4">
        <v>206</v>
      </c>
      <c r="B1004" s="4">
        <v>1346</v>
      </c>
      <c r="C1004" s="5">
        <f>DATE(2012,12,31)-197</f>
        <v>41077</v>
      </c>
      <c r="D1004" s="4" t="s">
        <v>30</v>
      </c>
      <c r="E1004" s="4">
        <v>48</v>
      </c>
      <c r="F1004" s="4">
        <v>4789.8900000000003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spans="1:21" ht="12" customHeight="1">
      <c r="A1005" s="4">
        <v>246</v>
      </c>
      <c r="B1005" s="4">
        <v>1699</v>
      </c>
      <c r="C1005" s="5">
        <f>DATE(2012,12,31)-733</f>
        <v>40541</v>
      </c>
      <c r="D1005" s="4" t="s">
        <v>78</v>
      </c>
      <c r="E1005" s="4">
        <v>40</v>
      </c>
      <c r="F1005" s="4">
        <v>430.88</v>
      </c>
      <c r="G1005" s="4">
        <v>0.05</v>
      </c>
      <c r="H1005" s="4" t="s">
        <v>22</v>
      </c>
      <c r="I1005" s="6">
        <v>39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spans="1:21" ht="12" customHeight="1">
      <c r="A1006" s="4">
        <v>314</v>
      </c>
      <c r="B1006" s="4">
        <v>2208</v>
      </c>
      <c r="C1006" s="5">
        <f t="shared" ref="C1006:C1007" si="442">DATE(2012,12,31)-611</f>
        <v>40663</v>
      </c>
      <c r="D1006" s="4" t="s">
        <v>45</v>
      </c>
      <c r="E1006" s="4">
        <v>7</v>
      </c>
      <c r="F1006" s="4">
        <v>82.06</v>
      </c>
      <c r="G1006" s="4">
        <v>7.0000000000000007E-2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spans="1:21" ht="12" customHeight="1">
      <c r="A1007" s="4">
        <v>315</v>
      </c>
      <c r="B1007" s="4">
        <v>2208</v>
      </c>
      <c r="C1007" s="5">
        <f t="shared" si="442"/>
        <v>40663</v>
      </c>
      <c r="D1007" s="4" t="s">
        <v>45</v>
      </c>
      <c r="E1007" s="4">
        <v>41</v>
      </c>
      <c r="F1007" s="4">
        <v>23281.05</v>
      </c>
      <c r="G1007" s="4">
        <v>0.09</v>
      </c>
      <c r="H1007" s="4" t="s">
        <v>22</v>
      </c>
      <c r="I1007" s="6">
        <v>9097.6450000000004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3">C1007+1</f>
        <v>40664</v>
      </c>
    </row>
    <row r="1008" spans="1:21" ht="12" customHeight="1">
      <c r="A1008" s="4">
        <v>382</v>
      </c>
      <c r="B1008" s="4">
        <v>2656</v>
      </c>
      <c r="C1008" s="5">
        <f t="shared" ref="C1008:C1009" si="444">DATE(2012,12,31)-973</f>
        <v>40301</v>
      </c>
      <c r="D1008" s="4" t="s">
        <v>78</v>
      </c>
      <c r="E1008" s="4">
        <v>3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0.55000000000000004</v>
      </c>
      <c r="U1008" s="5">
        <f t="shared" si="443"/>
        <v>40302</v>
      </c>
    </row>
    <row r="1009" spans="1:21" ht="12" customHeight="1">
      <c r="A1009" s="4">
        <v>383</v>
      </c>
      <c r="B1009" s="4">
        <v>2656</v>
      </c>
      <c r="C1009" s="5">
        <f t="shared" si="444"/>
        <v>40301</v>
      </c>
      <c r="D1009" s="4" t="s">
        <v>78</v>
      </c>
      <c r="E1009" s="4">
        <v>29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0.56999999999999995</v>
      </c>
      <c r="U1009" s="5">
        <f>C1009+2</f>
        <v>40303</v>
      </c>
    </row>
    <row r="1010" spans="1:21" ht="12" customHeight="1">
      <c r="A1010" s="4">
        <v>483</v>
      </c>
      <c r="B1010" s="4">
        <v>3361</v>
      </c>
      <c r="C1010" s="5">
        <f t="shared" ref="C1010:C1011" si="445">DATE(2012,12,31)-131</f>
        <v>41143</v>
      </c>
      <c r="D1010" s="4" t="s">
        <v>45</v>
      </c>
      <c r="E1010" s="4">
        <v>49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spans="1:21" ht="12" customHeight="1">
      <c r="A1011" s="4">
        <v>484</v>
      </c>
      <c r="B1011" s="4">
        <v>3361</v>
      </c>
      <c r="C1011" s="5">
        <f t="shared" si="445"/>
        <v>41143</v>
      </c>
      <c r="D1011" s="4" t="s">
        <v>45</v>
      </c>
      <c r="E1011" s="4">
        <v>23</v>
      </c>
      <c r="F1011" s="4">
        <v>133.66</v>
      </c>
      <c r="G1011" s="4">
        <v>7.0000000000000007E-2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0.56000000000000005</v>
      </c>
      <c r="U1011" s="5">
        <f t="shared" ref="U1011:U1012" si="446">C1011+1</f>
        <v>41144</v>
      </c>
    </row>
    <row r="1012" spans="1:21" ht="12" customHeight="1">
      <c r="A1012" s="4">
        <v>488</v>
      </c>
      <c r="B1012" s="4">
        <v>3393</v>
      </c>
      <c r="C1012" s="5">
        <f t="shared" ref="C1012:C1013" si="447">DATE(2012,12,31)-547</f>
        <v>40727</v>
      </c>
      <c r="D1012" s="4" t="s">
        <v>30</v>
      </c>
      <c r="E1012" s="4">
        <v>7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6"/>
        <v>40728</v>
      </c>
    </row>
    <row r="1013" spans="1:21" ht="12" customHeight="1">
      <c r="A1013" s="4">
        <v>489</v>
      </c>
      <c r="B1013" s="4">
        <v>3393</v>
      </c>
      <c r="C1013" s="5">
        <f t="shared" si="447"/>
        <v>40727</v>
      </c>
      <c r="D1013" s="4" t="s">
        <v>30</v>
      </c>
      <c r="E1013" s="4">
        <v>33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spans="1:21" ht="12" customHeight="1">
      <c r="A1014" s="4">
        <v>638</v>
      </c>
      <c r="B1014" s="4">
        <v>4487</v>
      </c>
      <c r="C1014" s="5">
        <f>DATE(2012,12,31)-1043</f>
        <v>40231</v>
      </c>
      <c r="D1014" s="4" t="s">
        <v>63</v>
      </c>
      <c r="E1014" s="4">
        <v>50</v>
      </c>
      <c r="F1014" s="4">
        <v>325.24</v>
      </c>
      <c r="G1014" s="4">
        <v>0.05</v>
      </c>
      <c r="H1014" s="4" t="s">
        <v>22</v>
      </c>
      <c r="I1014" s="6">
        <v>-79.418999999999997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8">C1014+1</f>
        <v>40232</v>
      </c>
    </row>
    <row r="1015" spans="1:21" ht="12" customHeight="1">
      <c r="A1015" s="4">
        <v>649</v>
      </c>
      <c r="B1015" s="4">
        <v>4579</v>
      </c>
      <c r="C1015" s="5">
        <f>DATE(2012,12,31)-397</f>
        <v>40877</v>
      </c>
      <c r="D1015" s="4" t="s">
        <v>30</v>
      </c>
      <c r="E1015" s="4">
        <v>40</v>
      </c>
      <c r="F1015" s="4">
        <v>1765.05</v>
      </c>
      <c r="G1015" s="4">
        <v>0.05</v>
      </c>
      <c r="H1015" s="4" t="s">
        <v>22</v>
      </c>
      <c r="I1015" s="6">
        <v>749.21550000000002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8"/>
        <v>40878</v>
      </c>
    </row>
    <row r="1016" spans="1:21" ht="12" customHeight="1">
      <c r="A1016" s="4">
        <v>713</v>
      </c>
      <c r="B1016" s="4">
        <v>5061</v>
      </c>
      <c r="C1016" s="5">
        <f>DATE(2012,12,31)-871</f>
        <v>40403</v>
      </c>
      <c r="D1016" s="4" t="s">
        <v>78</v>
      </c>
      <c r="E1016" s="4">
        <v>4</v>
      </c>
      <c r="F1016" s="4">
        <v>12.8</v>
      </c>
      <c r="G1016" s="4">
        <v>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0.56000000000000005</v>
      </c>
      <c r="U1016" s="5">
        <f>C1016+2</f>
        <v>40405</v>
      </c>
    </row>
    <row r="1017" spans="1:21" ht="12" customHeight="1">
      <c r="A1017" s="4">
        <v>714</v>
      </c>
      <c r="B1017" s="4">
        <v>5092</v>
      </c>
      <c r="C1017" s="5">
        <f t="shared" ref="C1017:C1018" si="449">DATE(2012,12,31)-429</f>
        <v>40845</v>
      </c>
      <c r="D1017" s="4" t="s">
        <v>21</v>
      </c>
      <c r="E1017" s="4">
        <v>3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spans="1:21" ht="12" customHeight="1">
      <c r="A1018" s="4">
        <v>715</v>
      </c>
      <c r="B1018" s="4">
        <v>5092</v>
      </c>
      <c r="C1018" s="5">
        <f t="shared" si="449"/>
        <v>40845</v>
      </c>
      <c r="D1018" s="4" t="s">
        <v>21</v>
      </c>
      <c r="E1018" s="4">
        <v>25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spans="1:21" ht="12" customHeight="1">
      <c r="A1019" s="4">
        <v>807</v>
      </c>
      <c r="B1019" s="4">
        <v>5799</v>
      </c>
      <c r="C1019" s="5">
        <f>DATE(2012,12,31)-517</f>
        <v>40757</v>
      </c>
      <c r="D1019" s="4" t="s">
        <v>78</v>
      </c>
      <c r="E1019" s="4">
        <v>34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0.56999999999999995</v>
      </c>
      <c r="U1019" s="5">
        <f>C1019+2</f>
        <v>40759</v>
      </c>
    </row>
    <row r="1020" spans="1:21" ht="12" customHeight="1">
      <c r="A1020" s="4">
        <v>815</v>
      </c>
      <c r="B1020" s="4">
        <v>5890</v>
      </c>
      <c r="C1020" s="5">
        <f>DATE(2012,12,31)-58</f>
        <v>41216</v>
      </c>
      <c r="D1020" s="4" t="s">
        <v>30</v>
      </c>
      <c r="E1020" s="4">
        <v>42</v>
      </c>
      <c r="F1020" s="4">
        <v>813.53499999999997</v>
      </c>
      <c r="G1020" s="4">
        <v>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spans="1:21" ht="12" customHeight="1">
      <c r="A1021" s="4">
        <v>919</v>
      </c>
      <c r="B1021" s="4">
        <v>6596</v>
      </c>
      <c r="C1021" s="5">
        <f>DATE(2012,12,31)-529</f>
        <v>40745</v>
      </c>
      <c r="D1021" s="4" t="s">
        <v>21</v>
      </c>
      <c r="E1021" s="4">
        <v>36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spans="1:21" ht="12" customHeight="1">
      <c r="A1022" s="4">
        <v>967</v>
      </c>
      <c r="B1022" s="4">
        <v>7015</v>
      </c>
      <c r="C1022" s="5">
        <f t="shared" ref="C1022:C1023" si="450">DATE(2012,12,31)-811</f>
        <v>40463</v>
      </c>
      <c r="D1022" s="4" t="s">
        <v>45</v>
      </c>
      <c r="E1022" s="4">
        <v>47</v>
      </c>
      <c r="F1022" s="4">
        <v>1880.8</v>
      </c>
      <c r="G1022" s="4">
        <v>7.0000000000000007E-2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spans="1:21" ht="12" customHeight="1">
      <c r="A1023" s="4">
        <v>968</v>
      </c>
      <c r="B1023" s="4">
        <v>7015</v>
      </c>
      <c r="C1023" s="5">
        <f t="shared" si="450"/>
        <v>40463</v>
      </c>
      <c r="D1023" s="4" t="s">
        <v>45</v>
      </c>
      <c r="E1023" s="4">
        <v>42</v>
      </c>
      <c r="F1023" s="4">
        <v>7143.9270000000006</v>
      </c>
      <c r="G1023" s="4">
        <v>0.02</v>
      </c>
      <c r="H1023" s="4" t="s">
        <v>56</v>
      </c>
      <c r="I1023" s="6">
        <v>2374.7310000000002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0.56000000000000005</v>
      </c>
      <c r="U1023" s="5">
        <f>C1023+1</f>
        <v>40464</v>
      </c>
    </row>
    <row r="1024" spans="1:21" ht="12" customHeight="1">
      <c r="A1024" s="4">
        <v>982</v>
      </c>
      <c r="B1024" s="4">
        <v>7106</v>
      </c>
      <c r="C1024" s="5">
        <f t="shared" ref="C1024:C1026" si="451">DATE(2012,12,31)-235</f>
        <v>41039</v>
      </c>
      <c r="D1024" s="4" t="s">
        <v>21</v>
      </c>
      <c r="E1024" s="4">
        <v>8</v>
      </c>
      <c r="F1024" s="4">
        <v>118.98</v>
      </c>
      <c r="G1024" s="4">
        <v>0.05</v>
      </c>
      <c r="H1024" s="4" t="s">
        <v>22</v>
      </c>
      <c r="I1024" s="6">
        <v>-12.765000000000001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2">C1024+2</f>
        <v>41041</v>
      </c>
    </row>
    <row r="1025" spans="1:21" ht="12" customHeight="1">
      <c r="A1025" s="4">
        <v>983</v>
      </c>
      <c r="B1025" s="4">
        <v>7106</v>
      </c>
      <c r="C1025" s="5">
        <f t="shared" si="451"/>
        <v>41039</v>
      </c>
      <c r="D1025" s="4" t="s">
        <v>21</v>
      </c>
      <c r="E1025" s="4">
        <v>31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2"/>
        <v>41041</v>
      </c>
    </row>
    <row r="1026" spans="1:21" ht="12" customHeight="1">
      <c r="A1026" s="4">
        <v>984</v>
      </c>
      <c r="B1026" s="4">
        <v>7106</v>
      </c>
      <c r="C1026" s="5">
        <f t="shared" si="451"/>
        <v>41039</v>
      </c>
      <c r="D1026" s="4" t="s">
        <v>21</v>
      </c>
      <c r="E1026" s="4">
        <v>36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19.989999999999998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2"/>
        <v>41041</v>
      </c>
    </row>
    <row r="1027" spans="1:21" ht="12" customHeight="1">
      <c r="A1027" s="4">
        <v>1090</v>
      </c>
      <c r="B1027" s="4">
        <v>8007</v>
      </c>
      <c r="C1027" s="5">
        <f>DATE(2012,12,31)-324</f>
        <v>40950</v>
      </c>
      <c r="D1027" s="4" t="s">
        <v>21</v>
      </c>
      <c r="E1027" s="4">
        <v>5</v>
      </c>
      <c r="F1027" s="4">
        <v>820.56449999999995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3">C1027+0</f>
        <v>40950</v>
      </c>
    </row>
    <row r="1028" spans="1:21" ht="12" customHeight="1">
      <c r="A1028" s="4">
        <v>1196</v>
      </c>
      <c r="B1028" s="4">
        <v>8773</v>
      </c>
      <c r="C1028" s="5">
        <f>DATE(2012,12,31)-436</f>
        <v>40838</v>
      </c>
      <c r="D1028" s="4" t="s">
        <v>78</v>
      </c>
      <c r="E1028" s="4">
        <v>5</v>
      </c>
      <c r="F1028" s="4">
        <v>220.78749999999999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3"/>
        <v>40838</v>
      </c>
    </row>
    <row r="1029" spans="1:21" ht="12" customHeight="1">
      <c r="A1029" s="4">
        <v>1353</v>
      </c>
      <c r="B1029" s="4">
        <v>9861</v>
      </c>
      <c r="C1029" s="5">
        <f>DATE(2012,12,31)-64</f>
        <v>41210</v>
      </c>
      <c r="D1029" s="4" t="s">
        <v>21</v>
      </c>
      <c r="E1029" s="4">
        <v>47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0.55000000000000004</v>
      </c>
      <c r="U1029" s="5">
        <f>C1029+4</f>
        <v>41214</v>
      </c>
    </row>
    <row r="1030" spans="1:21" ht="12" customHeight="1">
      <c r="A1030" s="4">
        <v>1363</v>
      </c>
      <c r="B1030" s="4">
        <v>9922</v>
      </c>
      <c r="C1030" s="5">
        <f>DATE(2012,12,31)-638</f>
        <v>40636</v>
      </c>
      <c r="D1030" s="4" t="s">
        <v>45</v>
      </c>
      <c r="E1030" s="4">
        <v>24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spans="1:21" ht="12" customHeight="1">
      <c r="A1031" s="4">
        <v>1366</v>
      </c>
      <c r="B1031" s="4">
        <v>9925</v>
      </c>
      <c r="C1031" s="5">
        <f t="shared" ref="C1031:C1033" si="454">DATE(2012,12,31)-336</f>
        <v>40938</v>
      </c>
      <c r="D1031" s="4" t="s">
        <v>78</v>
      </c>
      <c r="E1031" s="4">
        <v>43</v>
      </c>
      <c r="F1031" s="4">
        <v>1751.68</v>
      </c>
      <c r="G1031" s="4">
        <v>0.1</v>
      </c>
      <c r="H1031" s="4" t="s">
        <v>56</v>
      </c>
      <c r="I1031" s="6">
        <v>771.82549999999992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spans="1:21" ht="12" customHeight="1">
      <c r="A1032" s="4">
        <v>1367</v>
      </c>
      <c r="B1032" s="4">
        <v>9925</v>
      </c>
      <c r="C1032" s="5">
        <f t="shared" si="454"/>
        <v>40938</v>
      </c>
      <c r="D1032" s="4" t="s">
        <v>78</v>
      </c>
      <c r="E1032" s="4">
        <v>17</v>
      </c>
      <c r="F1032" s="4">
        <v>86.47</v>
      </c>
      <c r="G1032" s="4">
        <v>7.0000000000000007E-2</v>
      </c>
      <c r="H1032" s="4" t="s">
        <v>22</v>
      </c>
      <c r="I1032" s="6">
        <v>-9.3495000000000008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5">C1032+2</f>
        <v>40940</v>
      </c>
    </row>
    <row r="1033" spans="1:21" ht="12" customHeight="1">
      <c r="A1033" s="4">
        <v>1368</v>
      </c>
      <c r="B1033" s="4">
        <v>9925</v>
      </c>
      <c r="C1033" s="5">
        <f t="shared" si="454"/>
        <v>40938</v>
      </c>
      <c r="D1033" s="4" t="s">
        <v>78</v>
      </c>
      <c r="E1033" s="4">
        <v>31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5"/>
        <v>40940</v>
      </c>
    </row>
    <row r="1034" spans="1:21" ht="12" customHeight="1">
      <c r="A1034" s="4">
        <v>1468</v>
      </c>
      <c r="B1034" s="4">
        <v>10593</v>
      </c>
      <c r="C1034" s="5">
        <f t="shared" ref="C1034:C1035" si="456">DATE(2012,12,31)-323</f>
        <v>40951</v>
      </c>
      <c r="D1034" s="4" t="s">
        <v>30</v>
      </c>
      <c r="E1034" s="4">
        <v>27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spans="1:21" ht="12" customHeight="1">
      <c r="A1035" s="4">
        <v>1469</v>
      </c>
      <c r="B1035" s="4">
        <v>10593</v>
      </c>
      <c r="C1035" s="5">
        <f t="shared" si="456"/>
        <v>40951</v>
      </c>
      <c r="D1035" s="4" t="s">
        <v>30</v>
      </c>
      <c r="E1035" s="4">
        <v>26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spans="1:21" ht="12" customHeight="1">
      <c r="A1036" s="4">
        <v>1660</v>
      </c>
      <c r="B1036" s="4">
        <v>11969</v>
      </c>
      <c r="C1036" s="5">
        <f t="shared" ref="C1036:C1038" si="457">DATE(2012,12,31)-347</f>
        <v>40927</v>
      </c>
      <c r="D1036" s="4" t="s">
        <v>45</v>
      </c>
      <c r="E1036" s="4">
        <v>16</v>
      </c>
      <c r="F1036" s="4">
        <v>1684.96</v>
      </c>
      <c r="G1036" s="4">
        <v>0.08</v>
      </c>
      <c r="H1036" s="4" t="s">
        <v>22</v>
      </c>
      <c r="I1036" s="6">
        <v>-553.05999999999995</v>
      </c>
      <c r="J1036" s="4">
        <v>110.98</v>
      </c>
      <c r="K1036" s="4">
        <v>35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spans="1:21" ht="12" customHeight="1">
      <c r="A1037" s="4">
        <v>1661</v>
      </c>
      <c r="B1037" s="4">
        <v>11969</v>
      </c>
      <c r="C1037" s="5">
        <f t="shared" si="457"/>
        <v>40927</v>
      </c>
      <c r="D1037" s="4" t="s">
        <v>45</v>
      </c>
      <c r="E1037" s="4">
        <v>9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8">C1037+2</f>
        <v>40929</v>
      </c>
    </row>
    <row r="1038" spans="1:21" ht="12" customHeight="1">
      <c r="A1038" s="4">
        <v>1662</v>
      </c>
      <c r="B1038" s="4">
        <v>11969</v>
      </c>
      <c r="C1038" s="5">
        <f t="shared" si="457"/>
        <v>40927</v>
      </c>
      <c r="D1038" s="4" t="s">
        <v>45</v>
      </c>
      <c r="E1038" s="4">
        <v>42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8"/>
        <v>40929</v>
      </c>
    </row>
    <row r="1039" spans="1:21" ht="12" customHeight="1">
      <c r="A1039" s="4">
        <v>1721</v>
      </c>
      <c r="B1039" s="4">
        <v>12355</v>
      </c>
      <c r="C1039" s="5">
        <f>DATE(2012,12,31)-583</f>
        <v>40691</v>
      </c>
      <c r="D1039" s="4" t="s">
        <v>45</v>
      </c>
      <c r="E1039" s="4">
        <v>45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8"/>
        <v>40693</v>
      </c>
    </row>
    <row r="1040" spans="1:21" ht="12" customHeight="1">
      <c r="A1040" s="4">
        <v>1775</v>
      </c>
      <c r="B1040" s="4">
        <v>12710</v>
      </c>
      <c r="C1040" s="5">
        <f>DATE(2012,12,31)-867</f>
        <v>40407</v>
      </c>
      <c r="D1040" s="4" t="s">
        <v>78</v>
      </c>
      <c r="E1040" s="4">
        <v>37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spans="1:21" ht="12" customHeight="1">
      <c r="A1041" s="4">
        <v>1961</v>
      </c>
      <c r="B1041" s="4">
        <v>14021</v>
      </c>
      <c r="C1041" s="5">
        <f>DATE(2012,12,31)-665</f>
        <v>40609</v>
      </c>
      <c r="D1041" s="4" t="s">
        <v>30</v>
      </c>
      <c r="E1041" s="4">
        <v>12</v>
      </c>
      <c r="F1041" s="4">
        <v>27.05</v>
      </c>
      <c r="G1041" s="4">
        <v>0</v>
      </c>
      <c r="H1041" s="4" t="s">
        <v>56</v>
      </c>
      <c r="I1041" s="6">
        <v>0.99999999999999933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0.56999999999999995</v>
      </c>
      <c r="U1041" s="5">
        <f>C1041+1</f>
        <v>40610</v>
      </c>
    </row>
    <row r="1042" spans="1:21" ht="12" customHeight="1">
      <c r="A1042" s="4">
        <v>2009</v>
      </c>
      <c r="B1042" s="4">
        <v>14338</v>
      </c>
      <c r="C1042" s="5">
        <f>DATE(2012,12,31)-1065</f>
        <v>40209</v>
      </c>
      <c r="D1042" s="4" t="s">
        <v>21</v>
      </c>
      <c r="E1042" s="4">
        <v>34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spans="1:21" ht="12" customHeight="1">
      <c r="A1043" s="4">
        <v>2021</v>
      </c>
      <c r="B1043" s="4">
        <v>14406</v>
      </c>
      <c r="C1043" s="5">
        <f t="shared" ref="C1043:C1045" si="459">DATE(2012,12,31)-1029</f>
        <v>40245</v>
      </c>
      <c r="D1043" s="4" t="s">
        <v>63</v>
      </c>
      <c r="E1043" s="4">
        <v>37</v>
      </c>
      <c r="F1043" s="4">
        <v>5610.84</v>
      </c>
      <c r="G1043" s="4">
        <v>7.0000000000000007E-2</v>
      </c>
      <c r="H1043" s="4" t="s">
        <v>22</v>
      </c>
      <c r="I1043" s="6">
        <v>2366.5100000000002</v>
      </c>
      <c r="J1043" s="4">
        <v>150.97999999999999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0">C1043+2</f>
        <v>40247</v>
      </c>
    </row>
    <row r="1044" spans="1:21" ht="12" customHeight="1">
      <c r="A1044" s="4">
        <v>2022</v>
      </c>
      <c r="B1044" s="4">
        <v>14406</v>
      </c>
      <c r="C1044" s="5">
        <f t="shared" si="459"/>
        <v>40245</v>
      </c>
      <c r="D1044" s="4" t="s">
        <v>63</v>
      </c>
      <c r="E1044" s="4">
        <v>20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0"/>
        <v>40247</v>
      </c>
    </row>
    <row r="1045" spans="1:21" ht="12" customHeight="1">
      <c r="A1045" s="4">
        <v>2023</v>
      </c>
      <c r="B1045" s="4">
        <v>14406</v>
      </c>
      <c r="C1045" s="5">
        <f t="shared" si="459"/>
        <v>40245</v>
      </c>
      <c r="D1045" s="4" t="s">
        <v>63</v>
      </c>
      <c r="E1045" s="4">
        <v>35</v>
      </c>
      <c r="F1045" s="4">
        <v>2329.6460000000002</v>
      </c>
      <c r="G1045" s="4">
        <v>0.1</v>
      </c>
      <c r="H1045" s="4" t="s">
        <v>56</v>
      </c>
      <c r="I1045" s="6">
        <v>-310.24400000000003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0"/>
        <v>40247</v>
      </c>
    </row>
    <row r="1046" spans="1:21" ht="12" customHeight="1">
      <c r="A1046" s="4">
        <v>2202</v>
      </c>
      <c r="B1046" s="4">
        <v>15878</v>
      </c>
      <c r="C1046" s="5">
        <f>DATE(2012,12,31)-788</f>
        <v>40486</v>
      </c>
      <c r="D1046" s="4" t="s">
        <v>30</v>
      </c>
      <c r="E1046" s="4">
        <v>36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0"/>
        <v>40488</v>
      </c>
    </row>
    <row r="1047" spans="1:21" ht="12" customHeight="1">
      <c r="A1047" s="4">
        <v>2352</v>
      </c>
      <c r="B1047" s="4">
        <v>16967</v>
      </c>
      <c r="C1047" s="5">
        <f t="shared" ref="C1047:C1048" si="461">DATE(2012,12,31)-500</f>
        <v>40774</v>
      </c>
      <c r="D1047" s="4" t="s">
        <v>21</v>
      </c>
      <c r="E1047" s="4">
        <v>5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0"/>
        <v>40776</v>
      </c>
    </row>
    <row r="1048" spans="1:21" ht="12" customHeight="1">
      <c r="A1048" s="4">
        <v>2353</v>
      </c>
      <c r="B1048" s="4">
        <v>16967</v>
      </c>
      <c r="C1048" s="5">
        <f t="shared" si="461"/>
        <v>40774</v>
      </c>
      <c r="D1048" s="4" t="s">
        <v>21</v>
      </c>
      <c r="E1048" s="4">
        <v>34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2">C1048+0</f>
        <v>40774</v>
      </c>
    </row>
    <row r="1049" spans="1:21" ht="12" customHeight="1">
      <c r="A1049" s="4">
        <v>2540</v>
      </c>
      <c r="B1049" s="4">
        <v>18432</v>
      </c>
      <c r="C1049" s="5">
        <f t="shared" ref="C1049:C1052" si="463">DATE(2012,12,31)-660</f>
        <v>40614</v>
      </c>
      <c r="D1049" s="4" t="s">
        <v>30</v>
      </c>
      <c r="E1049" s="4">
        <v>42</v>
      </c>
      <c r="F1049" s="4">
        <v>451.32</v>
      </c>
      <c r="G1049" s="4">
        <v>0.04</v>
      </c>
      <c r="H1049" s="4" t="s">
        <v>22</v>
      </c>
      <c r="I1049" s="6">
        <v>1.1599999999999999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0.56999999999999995</v>
      </c>
      <c r="U1049" s="5">
        <f t="shared" si="462"/>
        <v>40614</v>
      </c>
    </row>
    <row r="1050" spans="1:21" ht="12" customHeight="1">
      <c r="A1050" s="4">
        <v>2541</v>
      </c>
      <c r="B1050" s="4">
        <v>18432</v>
      </c>
      <c r="C1050" s="5">
        <f t="shared" si="463"/>
        <v>40614</v>
      </c>
      <c r="D1050" s="4" t="s">
        <v>30</v>
      </c>
      <c r="E1050" s="4">
        <v>15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2"/>
        <v>40614</v>
      </c>
    </row>
    <row r="1051" spans="1:21" ht="12" customHeight="1">
      <c r="A1051" s="4">
        <v>2542</v>
      </c>
      <c r="B1051" s="4">
        <v>18432</v>
      </c>
      <c r="C1051" s="5">
        <f t="shared" si="463"/>
        <v>40614</v>
      </c>
      <c r="D1051" s="4" t="s">
        <v>30</v>
      </c>
      <c r="E1051" s="4">
        <v>5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4">C1051+2</f>
        <v>40616</v>
      </c>
    </row>
    <row r="1052" spans="1:21" ht="12" customHeight="1">
      <c r="A1052" s="4">
        <v>2543</v>
      </c>
      <c r="B1052" s="4">
        <v>18432</v>
      </c>
      <c r="C1052" s="5">
        <f t="shared" si="463"/>
        <v>40614</v>
      </c>
      <c r="D1052" s="4" t="s">
        <v>30</v>
      </c>
      <c r="E1052" s="4">
        <v>12</v>
      </c>
      <c r="F1052" s="4">
        <v>76.42</v>
      </c>
      <c r="G1052" s="4">
        <v>0.02</v>
      </c>
      <c r="H1052" s="4" t="s">
        <v>56</v>
      </c>
      <c r="I1052" s="6">
        <v>20.440000000000001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4"/>
        <v>40616</v>
      </c>
    </row>
    <row r="1053" spans="1:21" ht="12" customHeight="1">
      <c r="A1053" s="4">
        <v>2544</v>
      </c>
      <c r="B1053" s="4">
        <v>18464</v>
      </c>
      <c r="C1053" s="5">
        <f t="shared" ref="C1053:C1056" si="465">DATE(2012,12,31)-278</f>
        <v>40996</v>
      </c>
      <c r="D1053" s="4" t="s">
        <v>30</v>
      </c>
      <c r="E1053" s="4">
        <v>27</v>
      </c>
      <c r="F1053" s="4">
        <v>4891.8599999999997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0.56999999999999995</v>
      </c>
      <c r="U1053" s="5">
        <f t="shared" si="464"/>
        <v>40998</v>
      </c>
    </row>
    <row r="1054" spans="1:21" ht="12" customHeight="1">
      <c r="A1054" s="4">
        <v>2545</v>
      </c>
      <c r="B1054" s="4">
        <v>18464</v>
      </c>
      <c r="C1054" s="5">
        <f t="shared" si="465"/>
        <v>40996</v>
      </c>
      <c r="D1054" s="4" t="s">
        <v>30</v>
      </c>
      <c r="E1054" s="4">
        <v>37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150.97999999999999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spans="1:21" ht="12" customHeight="1">
      <c r="A1055" s="4">
        <v>2546</v>
      </c>
      <c r="B1055" s="4">
        <v>18464</v>
      </c>
      <c r="C1055" s="5">
        <f t="shared" si="465"/>
        <v>40996</v>
      </c>
      <c r="D1055" s="4" t="s">
        <v>30</v>
      </c>
      <c r="E1055" s="4">
        <v>31</v>
      </c>
      <c r="F1055" s="4">
        <v>206.49</v>
      </c>
      <c r="G1055" s="4">
        <v>0.05</v>
      </c>
      <c r="H1055" s="4" t="s">
        <v>22</v>
      </c>
      <c r="I1055" s="6">
        <v>80.069999999999993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6">C1055+2</f>
        <v>40998</v>
      </c>
    </row>
    <row r="1056" spans="1:21" ht="12" customHeight="1">
      <c r="A1056" s="4">
        <v>2547</v>
      </c>
      <c r="B1056" s="4">
        <v>18464</v>
      </c>
      <c r="C1056" s="5">
        <f t="shared" si="465"/>
        <v>40996</v>
      </c>
      <c r="D1056" s="4" t="s">
        <v>30</v>
      </c>
      <c r="E1056" s="4">
        <v>41</v>
      </c>
      <c r="F1056" s="4">
        <v>80.540000000000006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6"/>
        <v>40998</v>
      </c>
    </row>
    <row r="1057" spans="1:21" ht="12" customHeight="1">
      <c r="A1057" s="4">
        <v>2753</v>
      </c>
      <c r="B1057" s="4">
        <v>19905</v>
      </c>
      <c r="C1057" s="5">
        <f t="shared" ref="C1057:C1058" si="467">DATE(2012,12,31)-141</f>
        <v>41133</v>
      </c>
      <c r="D1057" s="4" t="s">
        <v>78</v>
      </c>
      <c r="E1057" s="4">
        <v>20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6"/>
        <v>41135</v>
      </c>
    </row>
    <row r="1058" spans="1:21" ht="12" customHeight="1">
      <c r="A1058" s="4">
        <v>2754</v>
      </c>
      <c r="B1058" s="4">
        <v>19905</v>
      </c>
      <c r="C1058" s="5">
        <f t="shared" si="467"/>
        <v>41133</v>
      </c>
      <c r="D1058" s="4" t="s">
        <v>78</v>
      </c>
      <c r="E1058" s="4">
        <v>25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6"/>
        <v>41135</v>
      </c>
    </row>
    <row r="1059" spans="1:21" ht="12" customHeight="1">
      <c r="A1059" s="4">
        <v>2805</v>
      </c>
      <c r="B1059" s="4">
        <v>20256</v>
      </c>
      <c r="C1059" s="5">
        <f>DATE(2012,12,31)-335</f>
        <v>40939</v>
      </c>
      <c r="D1059" s="4" t="s">
        <v>21</v>
      </c>
      <c r="E1059" s="4">
        <v>24</v>
      </c>
      <c r="F1059" s="4">
        <v>512.83000000000004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spans="1:21" ht="12" customHeight="1">
      <c r="A1060" s="4">
        <v>2823</v>
      </c>
      <c r="B1060" s="4">
        <v>20386</v>
      </c>
      <c r="C1060" s="5">
        <f>DATE(2012,12,31)-1038</f>
        <v>40236</v>
      </c>
      <c r="D1060" s="4" t="s">
        <v>78</v>
      </c>
      <c r="E1060" s="4">
        <v>35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spans="1:21" ht="12" customHeight="1">
      <c r="A1061" s="4">
        <v>2839</v>
      </c>
      <c r="B1061" s="4">
        <v>20455</v>
      </c>
      <c r="C1061" s="5">
        <f>DATE(2012,12,31)-917</f>
        <v>40357</v>
      </c>
      <c r="D1061" s="4" t="s">
        <v>78</v>
      </c>
      <c r="E1061" s="4">
        <v>7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65.989999999999995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0.57999999999999996</v>
      </c>
      <c r="U1061" s="5">
        <f t="shared" ref="U1061:U1062" si="468">C1061+1</f>
        <v>40358</v>
      </c>
    </row>
    <row r="1062" spans="1:21" ht="12" customHeight="1">
      <c r="A1062" s="4">
        <v>2860</v>
      </c>
      <c r="B1062" s="4">
        <v>20642</v>
      </c>
      <c r="C1062" s="5">
        <f>DATE(2012,12,31)-226</f>
        <v>41048</v>
      </c>
      <c r="D1062" s="4" t="s">
        <v>30</v>
      </c>
      <c r="E1062" s="4">
        <v>32</v>
      </c>
      <c r="F1062" s="4">
        <v>135.19999999999999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8"/>
        <v>41049</v>
      </c>
    </row>
    <row r="1063" spans="1:21" ht="12" customHeight="1">
      <c r="A1063" s="4">
        <v>2952</v>
      </c>
      <c r="B1063" s="4">
        <v>21379</v>
      </c>
      <c r="C1063" s="5">
        <f>DATE(2012,12,31)-717</f>
        <v>40557</v>
      </c>
      <c r="D1063" s="4" t="s">
        <v>30</v>
      </c>
      <c r="E1063" s="4">
        <v>35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150.88999999999999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69">C1063+2</f>
        <v>40559</v>
      </c>
    </row>
    <row r="1064" spans="1:21" ht="12" customHeight="1">
      <c r="A1064" s="4">
        <v>3074</v>
      </c>
      <c r="B1064" s="4">
        <v>22053</v>
      </c>
      <c r="C1064" s="5">
        <f>DATE(2012,12,31)-863</f>
        <v>40411</v>
      </c>
      <c r="D1064" s="4" t="s">
        <v>78</v>
      </c>
      <c r="E1064" s="4">
        <v>32</v>
      </c>
      <c r="F1064" s="4">
        <v>563.08000000000004</v>
      </c>
      <c r="G1064" s="4">
        <v>0.1</v>
      </c>
      <c r="H1064" s="4" t="s">
        <v>22</v>
      </c>
      <c r="I1064" s="6">
        <v>112.965</v>
      </c>
      <c r="J1064" s="4">
        <v>18.989999999999998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69"/>
        <v>40413</v>
      </c>
    </row>
    <row r="1065" spans="1:21" ht="12" customHeight="1">
      <c r="A1065" s="4">
        <v>3111</v>
      </c>
      <c r="B1065" s="4">
        <v>22368</v>
      </c>
      <c r="C1065" s="5">
        <f t="shared" ref="C1065:C1067" si="470">DATE(2012,12,31)-1046</f>
        <v>40228</v>
      </c>
      <c r="D1065" s="4" t="s">
        <v>63</v>
      </c>
      <c r="E1065" s="4">
        <v>5</v>
      </c>
      <c r="F1065" s="4">
        <v>192.12</v>
      </c>
      <c r="G1065" s="4">
        <v>0.04</v>
      </c>
      <c r="H1065" s="4" t="s">
        <v>22</v>
      </c>
      <c r="I1065" s="6">
        <v>-74.849999999999994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spans="1:21" ht="12" customHeight="1">
      <c r="A1066" s="4">
        <v>3112</v>
      </c>
      <c r="B1066" s="4">
        <v>22368</v>
      </c>
      <c r="C1066" s="5">
        <f t="shared" si="470"/>
        <v>40228</v>
      </c>
      <c r="D1066" s="4" t="s">
        <v>63</v>
      </c>
      <c r="E1066" s="4">
        <v>33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spans="1:21" ht="12" customHeight="1">
      <c r="A1067" s="4">
        <v>3113</v>
      </c>
      <c r="B1067" s="4">
        <v>22368</v>
      </c>
      <c r="C1067" s="5">
        <f t="shared" si="470"/>
        <v>40228</v>
      </c>
      <c r="D1067" s="4" t="s">
        <v>63</v>
      </c>
      <c r="E1067" s="4">
        <v>34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spans="1:21" ht="12" customHeight="1">
      <c r="A1068" s="4">
        <v>3361</v>
      </c>
      <c r="B1068" s="4">
        <v>24039</v>
      </c>
      <c r="C1068" s="5">
        <f>DATE(2012,12,31)-167</f>
        <v>41107</v>
      </c>
      <c r="D1068" s="4" t="s">
        <v>45</v>
      </c>
      <c r="E1068" s="4">
        <v>5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spans="1:21" ht="12" customHeight="1">
      <c r="A1069" s="4">
        <v>3613</v>
      </c>
      <c r="B1069" s="4">
        <v>25825</v>
      </c>
      <c r="C1069" s="5">
        <f t="shared" ref="C1069:C1070" si="471">DATE(2012,12,31)-165</f>
        <v>41109</v>
      </c>
      <c r="D1069" s="4" t="s">
        <v>45</v>
      </c>
      <c r="E1069" s="4">
        <v>45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spans="1:21" ht="12" customHeight="1">
      <c r="A1070" s="4">
        <v>3614</v>
      </c>
      <c r="B1070" s="4">
        <v>25825</v>
      </c>
      <c r="C1070" s="5">
        <f t="shared" si="471"/>
        <v>41109</v>
      </c>
      <c r="D1070" s="4" t="s">
        <v>45</v>
      </c>
      <c r="E1070" s="4">
        <v>27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0.56000000000000005</v>
      </c>
      <c r="U1070" s="5">
        <f>C1070+0</f>
        <v>41109</v>
      </c>
    </row>
    <row r="1071" spans="1:21" ht="12" customHeight="1">
      <c r="A1071" s="4">
        <v>3672</v>
      </c>
      <c r="B1071" s="4">
        <v>26304</v>
      </c>
      <c r="C1071" s="5">
        <f>DATE(2012,12,31)-653</f>
        <v>40621</v>
      </c>
      <c r="D1071" s="4" t="s">
        <v>63</v>
      </c>
      <c r="E1071" s="4">
        <v>43</v>
      </c>
      <c r="F1071" s="4">
        <v>7452.1369999999988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spans="1:21" ht="12" customHeight="1">
      <c r="A1072" s="4">
        <v>3740</v>
      </c>
      <c r="B1072" s="4">
        <v>26726</v>
      </c>
      <c r="C1072" s="5">
        <f t="shared" ref="C1072:C1074" si="472">DATE(2012,12,31)-4</f>
        <v>41270</v>
      </c>
      <c r="D1072" s="4" t="s">
        <v>30</v>
      </c>
      <c r="E1072" s="4">
        <v>37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spans="1:21" ht="12" customHeight="1">
      <c r="A1073" s="4">
        <v>3741</v>
      </c>
      <c r="B1073" s="4">
        <v>26726</v>
      </c>
      <c r="C1073" s="5">
        <f t="shared" si="472"/>
        <v>41270</v>
      </c>
      <c r="D1073" s="4" t="s">
        <v>30</v>
      </c>
      <c r="E1073" s="4">
        <v>11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spans="1:21" ht="12" customHeight="1">
      <c r="A1074" s="4">
        <v>3742</v>
      </c>
      <c r="B1074" s="4">
        <v>26726</v>
      </c>
      <c r="C1074" s="5">
        <f t="shared" si="472"/>
        <v>41270</v>
      </c>
      <c r="D1074" s="4" t="s">
        <v>30</v>
      </c>
      <c r="E1074" s="4">
        <v>41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spans="1:21" ht="12" customHeight="1">
      <c r="A1075" s="4">
        <v>3825</v>
      </c>
      <c r="B1075" s="4">
        <v>27266</v>
      </c>
      <c r="C1075" s="5">
        <f>DATE(2012,12,31)-480</f>
        <v>40794</v>
      </c>
      <c r="D1075" s="4" t="s">
        <v>78</v>
      </c>
      <c r="E1075" s="4">
        <v>9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spans="1:21" ht="12" customHeight="1">
      <c r="A1076" s="4">
        <v>3842</v>
      </c>
      <c r="B1076" s="4">
        <v>27396</v>
      </c>
      <c r="C1076" s="5">
        <f>DATE(2012,12,31)-754</f>
        <v>40520</v>
      </c>
      <c r="D1076" s="4" t="s">
        <v>78</v>
      </c>
      <c r="E1076" s="4">
        <v>14</v>
      </c>
      <c r="F1076" s="4">
        <v>138.31</v>
      </c>
      <c r="G1076" s="4">
        <v>7.0000000000000007E-2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spans="1:21" ht="12" customHeight="1">
      <c r="A1077" s="4">
        <v>4090</v>
      </c>
      <c r="B1077" s="4">
        <v>29158</v>
      </c>
      <c r="C1077" s="5">
        <f>DATE(2012,12,31)-438</f>
        <v>40836</v>
      </c>
      <c r="D1077" s="4" t="s">
        <v>30</v>
      </c>
      <c r="E1077" s="4">
        <v>12</v>
      </c>
      <c r="F1077" s="4">
        <v>2266.6999999999998</v>
      </c>
      <c r="G1077" s="4">
        <v>7.0000000000000007E-2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0.57999999999999996</v>
      </c>
      <c r="U1077" s="5">
        <f>C1077+1</f>
        <v>40837</v>
      </c>
    </row>
    <row r="1078" spans="1:21" ht="12" customHeight="1">
      <c r="A1078" s="4">
        <v>4144</v>
      </c>
      <c r="B1078" s="4">
        <v>29409</v>
      </c>
      <c r="C1078" s="5">
        <f>DATE(2012,12,31)-718</f>
        <v>40556</v>
      </c>
      <c r="D1078" s="4" t="s">
        <v>30</v>
      </c>
      <c r="E1078" s="4">
        <v>23</v>
      </c>
      <c r="F1078" s="4">
        <v>38.99</v>
      </c>
      <c r="G1078" s="4">
        <v>0.09</v>
      </c>
      <c r="H1078" s="4" t="s">
        <v>22</v>
      </c>
      <c r="I1078" s="6">
        <v>-33.520000000000003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spans="1:21" ht="12" customHeight="1">
      <c r="A1079" s="4">
        <v>4394</v>
      </c>
      <c r="B1079" s="4">
        <v>31297</v>
      </c>
      <c r="C1079" s="5">
        <f t="shared" ref="C1079:C1080" si="473">DATE(2012,12,31)-135</f>
        <v>41139</v>
      </c>
      <c r="D1079" s="4" t="s">
        <v>21</v>
      </c>
      <c r="E1079" s="4">
        <v>39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17.989999999999998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0.56999999999999995</v>
      </c>
      <c r="U1079" s="5">
        <f>C1079+7</f>
        <v>41146</v>
      </c>
    </row>
    <row r="1080" spans="1:21" ht="12" customHeight="1">
      <c r="A1080" s="4">
        <v>4395</v>
      </c>
      <c r="B1080" s="4">
        <v>31297</v>
      </c>
      <c r="C1080" s="5">
        <f t="shared" si="473"/>
        <v>41139</v>
      </c>
      <c r="D1080" s="4" t="s">
        <v>21</v>
      </c>
      <c r="E1080" s="4">
        <v>44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spans="1:21" ht="12" customHeight="1">
      <c r="A1081" s="4">
        <v>4650</v>
      </c>
      <c r="B1081" s="4">
        <v>33122</v>
      </c>
      <c r="C1081" s="5">
        <f>DATE(2012,12,31)-926</f>
        <v>40348</v>
      </c>
      <c r="D1081" s="4" t="s">
        <v>21</v>
      </c>
      <c r="E1081" s="4">
        <v>21</v>
      </c>
      <c r="F1081" s="4">
        <v>8468.6299999999992</v>
      </c>
      <c r="G1081" s="4">
        <v>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spans="1:21" ht="12" customHeight="1">
      <c r="A1082" s="4">
        <v>4713</v>
      </c>
      <c r="B1082" s="4">
        <v>33570</v>
      </c>
      <c r="C1082" s="5">
        <f t="shared" ref="C1082:C1084" si="474">DATE(2012,12,31)-15</f>
        <v>41259</v>
      </c>
      <c r="D1082" s="4" t="s">
        <v>45</v>
      </c>
      <c r="E1082" s="4">
        <v>46</v>
      </c>
      <c r="F1082" s="4">
        <v>265.88</v>
      </c>
      <c r="G1082" s="4">
        <v>0.05</v>
      </c>
      <c r="H1082" s="4" t="s">
        <v>22</v>
      </c>
      <c r="I1082" s="6">
        <v>-90.896000000000001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5">C1082+2</f>
        <v>41261</v>
      </c>
    </row>
    <row r="1083" spans="1:21" ht="12" customHeight="1">
      <c r="A1083" s="4">
        <v>4714</v>
      </c>
      <c r="B1083" s="4">
        <v>33570</v>
      </c>
      <c r="C1083" s="5">
        <f t="shared" si="474"/>
        <v>41259</v>
      </c>
      <c r="D1083" s="4" t="s">
        <v>45</v>
      </c>
      <c r="E1083" s="4">
        <v>1</v>
      </c>
      <c r="F1083" s="4">
        <v>1500.82</v>
      </c>
      <c r="G1083" s="4">
        <v>0.01</v>
      </c>
      <c r="H1083" s="4" t="s">
        <v>31</v>
      </c>
      <c r="I1083" s="6">
        <v>-3381.9857999999999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0.56999999999999995</v>
      </c>
      <c r="U1083" s="5">
        <f t="shared" si="475"/>
        <v>41261</v>
      </c>
    </row>
    <row r="1084" spans="1:21" ht="12" customHeight="1">
      <c r="A1084" s="4">
        <v>4715</v>
      </c>
      <c r="B1084" s="4">
        <v>33570</v>
      </c>
      <c r="C1084" s="5">
        <f t="shared" si="474"/>
        <v>41259</v>
      </c>
      <c r="D1084" s="4" t="s">
        <v>45</v>
      </c>
      <c r="E1084" s="4">
        <v>19</v>
      </c>
      <c r="F1084" s="4">
        <v>3093.864</v>
      </c>
      <c r="G1084" s="4">
        <v>7.0000000000000007E-2</v>
      </c>
      <c r="H1084" s="4" t="s">
        <v>22</v>
      </c>
      <c r="I1084" s="6">
        <v>286.39800000000002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0.56000000000000005</v>
      </c>
      <c r="U1084" s="5">
        <f>C1084+0</f>
        <v>41259</v>
      </c>
    </row>
    <row r="1085" spans="1:21" ht="12" customHeight="1">
      <c r="A1085" s="4">
        <v>4770</v>
      </c>
      <c r="B1085" s="4">
        <v>33893</v>
      </c>
      <c r="C1085" s="5">
        <f t="shared" ref="C1085:C1086" si="476">DATE(2012,12,31)-102</f>
        <v>41172</v>
      </c>
      <c r="D1085" s="4" t="s">
        <v>45</v>
      </c>
      <c r="E1085" s="4">
        <v>6</v>
      </c>
      <c r="F1085" s="4">
        <v>232.21</v>
      </c>
      <c r="G1085" s="4">
        <v>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spans="1:21" ht="12" customHeight="1">
      <c r="A1086" s="4">
        <v>4771</v>
      </c>
      <c r="B1086" s="4">
        <v>33893</v>
      </c>
      <c r="C1086" s="5">
        <f t="shared" si="476"/>
        <v>41172</v>
      </c>
      <c r="D1086" s="4" t="s">
        <v>45</v>
      </c>
      <c r="E1086" s="4">
        <v>16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0.56000000000000005</v>
      </c>
      <c r="U1086" s="5">
        <f>C1086+1</f>
        <v>41173</v>
      </c>
    </row>
    <row r="1087" spans="1:21" ht="12" customHeight="1">
      <c r="A1087" s="4">
        <v>4862</v>
      </c>
      <c r="B1087" s="4">
        <v>34599</v>
      </c>
      <c r="C1087" s="5">
        <f t="shared" ref="C1087:C1088" si="477">DATE(2012,12,31)-1034</f>
        <v>40240</v>
      </c>
      <c r="D1087" s="4" t="s">
        <v>21</v>
      </c>
      <c r="E1087" s="4">
        <v>26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8">C1087+4</f>
        <v>40244</v>
      </c>
    </row>
    <row r="1088" spans="1:21" ht="12" customHeight="1">
      <c r="A1088" s="4">
        <v>4863</v>
      </c>
      <c r="B1088" s="4">
        <v>34599</v>
      </c>
      <c r="C1088" s="5">
        <f t="shared" si="477"/>
        <v>40240</v>
      </c>
      <c r="D1088" s="4" t="s">
        <v>21</v>
      </c>
      <c r="E1088" s="4">
        <v>29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17.079999999999998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8"/>
        <v>40244</v>
      </c>
    </row>
    <row r="1089" spans="1:21" ht="12" customHeight="1">
      <c r="A1089" s="4">
        <v>4879</v>
      </c>
      <c r="B1089" s="4">
        <v>34721</v>
      </c>
      <c r="C1089" s="5">
        <f>DATE(2012,12,31)-791</f>
        <v>40483</v>
      </c>
      <c r="D1089" s="4" t="s">
        <v>45</v>
      </c>
      <c r="E1089" s="4">
        <v>46</v>
      </c>
      <c r="F1089" s="4">
        <v>503.17</v>
      </c>
      <c r="G1089" s="4">
        <v>0.01</v>
      </c>
      <c r="H1089" s="4" t="s">
        <v>22</v>
      </c>
      <c r="I1089" s="6">
        <v>-10.210000000000001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spans="1:21" ht="12" customHeight="1">
      <c r="A1090" s="4">
        <v>4889</v>
      </c>
      <c r="B1090" s="4">
        <v>34787</v>
      </c>
      <c r="C1090" s="5">
        <f>DATE(2012,12,31)-1037</f>
        <v>40237</v>
      </c>
      <c r="D1090" s="4" t="s">
        <v>21</v>
      </c>
      <c r="E1090" s="4">
        <v>14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0.57999999999999996</v>
      </c>
      <c r="U1090" s="5">
        <f t="shared" ref="U1090:U1091" si="479">C1090+2</f>
        <v>40239</v>
      </c>
    </row>
    <row r="1091" spans="1:21" ht="12" customHeight="1">
      <c r="A1091" s="4">
        <v>4891</v>
      </c>
      <c r="B1091" s="4">
        <v>34791</v>
      </c>
      <c r="C1091" s="5">
        <f t="shared" ref="C1091:C1092" si="480">DATE(2012,12,31)-604</f>
        <v>40670</v>
      </c>
      <c r="D1091" s="4" t="s">
        <v>63</v>
      </c>
      <c r="E1091" s="4">
        <v>37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79"/>
        <v>40672</v>
      </c>
    </row>
    <row r="1092" spans="1:21" ht="12" customHeight="1">
      <c r="A1092" s="4">
        <v>4892</v>
      </c>
      <c r="B1092" s="4">
        <v>34791</v>
      </c>
      <c r="C1092" s="5">
        <f t="shared" si="480"/>
        <v>40670</v>
      </c>
      <c r="D1092" s="4" t="s">
        <v>63</v>
      </c>
      <c r="E1092" s="4">
        <v>9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19.989999999999998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spans="1:21" ht="12" customHeight="1">
      <c r="A1093" s="4">
        <v>4895</v>
      </c>
      <c r="B1093" s="4">
        <v>34822</v>
      </c>
      <c r="C1093" s="5">
        <f>DATE(2012,12,31)-174</f>
        <v>41100</v>
      </c>
      <c r="D1093" s="4" t="s">
        <v>45</v>
      </c>
      <c r="E1093" s="4">
        <v>23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spans="1:21" ht="12" customHeight="1">
      <c r="A1094" s="4">
        <v>4900</v>
      </c>
      <c r="B1094" s="4">
        <v>34853</v>
      </c>
      <c r="C1094" s="5">
        <f>DATE(2012,12,31)-459</f>
        <v>40815</v>
      </c>
      <c r="D1094" s="4" t="s">
        <v>78</v>
      </c>
      <c r="E1094" s="4">
        <v>49</v>
      </c>
      <c r="F1094" s="4">
        <v>651.9</v>
      </c>
      <c r="G1094" s="4">
        <v>0.16</v>
      </c>
      <c r="H1094" s="4" t="s">
        <v>22</v>
      </c>
      <c r="I1094" s="6">
        <v>-74.510000000000005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spans="1:21" ht="12" customHeight="1">
      <c r="A1095" s="4">
        <v>4991</v>
      </c>
      <c r="B1095" s="4">
        <v>35522</v>
      </c>
      <c r="C1095" s="5">
        <f>DATE(2012,12,31)-798</f>
        <v>40476</v>
      </c>
      <c r="D1095" s="4" t="s">
        <v>21</v>
      </c>
      <c r="E1095" s="4">
        <v>27</v>
      </c>
      <c r="F1095" s="4">
        <v>2575.0100000000002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19.989999999999998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spans="1:21" ht="12" customHeight="1">
      <c r="A1096" s="4">
        <v>5062</v>
      </c>
      <c r="B1096" s="4">
        <v>36099</v>
      </c>
      <c r="C1096" s="5">
        <f t="shared" ref="C1096:C1097" si="481">DATE(2012,12,31)-836</f>
        <v>40438</v>
      </c>
      <c r="D1096" s="4" t="s">
        <v>21</v>
      </c>
      <c r="E1096" s="4">
        <v>32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0.56000000000000005</v>
      </c>
      <c r="U1096" s="5">
        <f t="shared" ref="U1096:U1097" si="482">C1096+5</f>
        <v>40443</v>
      </c>
    </row>
    <row r="1097" spans="1:21" ht="12" customHeight="1">
      <c r="A1097" s="4">
        <v>5063</v>
      </c>
      <c r="B1097" s="4">
        <v>36099</v>
      </c>
      <c r="C1097" s="5">
        <f t="shared" si="481"/>
        <v>40438</v>
      </c>
      <c r="D1097" s="4" t="s">
        <v>21</v>
      </c>
      <c r="E1097" s="4">
        <v>15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64.650000000000006</v>
      </c>
      <c r="K1097" s="4">
        <v>35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2"/>
        <v>40443</v>
      </c>
    </row>
    <row r="1098" spans="1:21" ht="12" customHeight="1">
      <c r="A1098" s="4">
        <v>5106</v>
      </c>
      <c r="B1098" s="4">
        <v>36359</v>
      </c>
      <c r="C1098" s="5">
        <f>DATE(2012,12,31)-404</f>
        <v>40870</v>
      </c>
      <c r="D1098" s="4" t="s">
        <v>30</v>
      </c>
      <c r="E1098" s="4">
        <v>2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3">C1098+1</f>
        <v>40871</v>
      </c>
    </row>
    <row r="1099" spans="1:21" ht="12" customHeight="1">
      <c r="A1099" s="4">
        <v>5193</v>
      </c>
      <c r="B1099" s="4">
        <v>36901</v>
      </c>
      <c r="C1099" s="5">
        <f>DATE(2012,12,31)-109</f>
        <v>41165</v>
      </c>
      <c r="D1099" s="4" t="s">
        <v>78</v>
      </c>
      <c r="E1099" s="4">
        <v>30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3"/>
        <v>41166</v>
      </c>
    </row>
    <row r="1100" spans="1:21" ht="12" customHeight="1">
      <c r="A1100" s="4">
        <v>5256</v>
      </c>
      <c r="B1100" s="4">
        <v>37412</v>
      </c>
      <c r="C1100" s="5">
        <f>DATE(2012,12,31)-150</f>
        <v>41124</v>
      </c>
      <c r="D1100" s="4" t="s">
        <v>30</v>
      </c>
      <c r="E1100" s="4">
        <v>17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0.56999999999999995</v>
      </c>
      <c r="U1100" s="5">
        <f t="shared" ref="U1100:U1102" si="484">C1100+2</f>
        <v>41126</v>
      </c>
    </row>
    <row r="1101" spans="1:21" ht="12" customHeight="1">
      <c r="A1101" s="4">
        <v>5437</v>
      </c>
      <c r="B1101" s="4">
        <v>38625</v>
      </c>
      <c r="C1101" s="5">
        <f t="shared" ref="C1101:C1102" si="485">DATE(2012,12,31)-775</f>
        <v>40499</v>
      </c>
      <c r="D1101" s="4" t="s">
        <v>45</v>
      </c>
      <c r="E1101" s="4">
        <v>28</v>
      </c>
      <c r="F1101" s="4">
        <v>2752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19.989999999999998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4"/>
        <v>40501</v>
      </c>
    </row>
    <row r="1102" spans="1:21" ht="12" customHeight="1">
      <c r="A1102" s="4">
        <v>5438</v>
      </c>
      <c r="B1102" s="4">
        <v>38625</v>
      </c>
      <c r="C1102" s="5">
        <f t="shared" si="485"/>
        <v>40499</v>
      </c>
      <c r="D1102" s="4" t="s">
        <v>45</v>
      </c>
      <c r="E1102" s="4">
        <v>12</v>
      </c>
      <c r="F1102" s="4">
        <v>72.819999999999993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4"/>
        <v>40501</v>
      </c>
    </row>
    <row r="1103" spans="1:21" ht="12" customHeight="1">
      <c r="A1103" s="4">
        <v>5443</v>
      </c>
      <c r="B1103" s="4">
        <v>38656</v>
      </c>
      <c r="C1103" s="5">
        <f>DATE(2012,12,31)-143</f>
        <v>41131</v>
      </c>
      <c r="D1103" s="4" t="s">
        <v>21</v>
      </c>
      <c r="E1103" s="4">
        <v>13</v>
      </c>
      <c r="F1103" s="4">
        <v>64.459999999999994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spans="1:21" ht="12" customHeight="1">
      <c r="A1104" s="4">
        <v>5458</v>
      </c>
      <c r="B1104" s="4">
        <v>38784</v>
      </c>
      <c r="C1104" s="5">
        <f>DATE(2012,12,31)-697</f>
        <v>40577</v>
      </c>
      <c r="D1104" s="4" t="s">
        <v>63</v>
      </c>
      <c r="E1104" s="4">
        <v>50</v>
      </c>
      <c r="F1104" s="4">
        <v>298.12</v>
      </c>
      <c r="G1104" s="4">
        <v>0.09</v>
      </c>
      <c r="H1104" s="4" t="s">
        <v>22</v>
      </c>
      <c r="I1104" s="6">
        <v>137.66999999999999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spans="1:21" ht="12" customHeight="1">
      <c r="A1105" s="4">
        <v>5579</v>
      </c>
      <c r="B1105" s="4">
        <v>39527</v>
      </c>
      <c r="C1105" s="5">
        <f>DATE(2012,12,31)-624</f>
        <v>40650</v>
      </c>
      <c r="D1105" s="4" t="s">
        <v>21</v>
      </c>
      <c r="E1105" s="4">
        <v>29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spans="1:21" ht="12" customHeight="1">
      <c r="A1106" s="4">
        <v>5637</v>
      </c>
      <c r="B1106" s="4">
        <v>39877</v>
      </c>
      <c r="C1106" s="5">
        <f>DATE(2012,12,31)-137</f>
        <v>41137</v>
      </c>
      <c r="D1106" s="4" t="s">
        <v>78</v>
      </c>
      <c r="E1106" s="4">
        <v>41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2.1800000000000002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spans="1:21" ht="12" customHeight="1">
      <c r="A1107" s="4">
        <v>5695</v>
      </c>
      <c r="B1107" s="4">
        <v>40259</v>
      </c>
      <c r="C1107" s="5">
        <f>DATE(2012,12,31)-811</f>
        <v>40463</v>
      </c>
      <c r="D1107" s="4" t="s">
        <v>63</v>
      </c>
      <c r="E1107" s="4">
        <v>4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4.9800000000000004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spans="1:21" ht="12" customHeight="1">
      <c r="A1108" s="4">
        <v>5814</v>
      </c>
      <c r="B1108" s="4">
        <v>41217</v>
      </c>
      <c r="C1108" s="5">
        <f>DATE(2012,12,31)-537</f>
        <v>40737</v>
      </c>
      <c r="D1108" s="4" t="s">
        <v>30</v>
      </c>
      <c r="E1108" s="4">
        <v>23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6">C1108+2</f>
        <v>40739</v>
      </c>
    </row>
    <row r="1109" spans="1:21" ht="12" customHeight="1">
      <c r="A1109" s="4">
        <v>5876</v>
      </c>
      <c r="B1109" s="4">
        <v>41671</v>
      </c>
      <c r="C1109" s="5">
        <f>DATE(2012,12,31)-28</f>
        <v>41246</v>
      </c>
      <c r="D1109" s="4" t="s">
        <v>78</v>
      </c>
      <c r="E1109" s="4">
        <v>49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6"/>
        <v>41248</v>
      </c>
    </row>
    <row r="1110" spans="1:21" ht="12" customHeight="1">
      <c r="A1110" s="4">
        <v>5915</v>
      </c>
      <c r="B1110" s="4">
        <v>41927</v>
      </c>
      <c r="C1110" s="5">
        <f>DATE(2012,12,31)-171</f>
        <v>41103</v>
      </c>
      <c r="D1110" s="4" t="s">
        <v>45</v>
      </c>
      <c r="E1110" s="4">
        <v>46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spans="1:21" ht="12" customHeight="1">
      <c r="A1111" s="4">
        <v>6026</v>
      </c>
      <c r="B1111" s="4">
        <v>42692</v>
      </c>
      <c r="C1111" s="5">
        <f t="shared" ref="C1111:C1112" si="487">DATE(2012,12,31)-377</f>
        <v>40897</v>
      </c>
      <c r="D1111" s="4" t="s">
        <v>63</v>
      </c>
      <c r="E1111" s="4">
        <v>41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spans="1:21" ht="12" customHeight="1">
      <c r="A1112" s="4">
        <v>6027</v>
      </c>
      <c r="B1112" s="4">
        <v>42692</v>
      </c>
      <c r="C1112" s="5">
        <f t="shared" si="487"/>
        <v>40897</v>
      </c>
      <c r="D1112" s="4" t="s">
        <v>63</v>
      </c>
      <c r="E1112" s="4">
        <v>42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spans="1:21" ht="12" customHeight="1">
      <c r="A1113" s="4">
        <v>6216</v>
      </c>
      <c r="B1113" s="4">
        <v>44007</v>
      </c>
      <c r="C1113" s="5">
        <f>DATE(2012,12,31)-581</f>
        <v>40693</v>
      </c>
      <c r="D1113" s="4" t="s">
        <v>63</v>
      </c>
      <c r="E1113" s="4">
        <v>50</v>
      </c>
      <c r="F1113" s="4">
        <v>281.81</v>
      </c>
      <c r="G1113" s="4">
        <v>7.0000000000000007E-2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spans="1:21" ht="12" customHeight="1">
      <c r="A1114" s="4">
        <v>6279</v>
      </c>
      <c r="B1114" s="4">
        <v>44450</v>
      </c>
      <c r="C1114" s="5">
        <f t="shared" ref="C1114:C1115" si="488">DATE(2012,12,31)-814</f>
        <v>40460</v>
      </c>
      <c r="D1114" s="4" t="s">
        <v>78</v>
      </c>
      <c r="E1114" s="4">
        <v>14</v>
      </c>
      <c r="F1114" s="4">
        <v>243.23</v>
      </c>
      <c r="G1114" s="4">
        <v>7.0000000000000007E-2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spans="1:21" ht="12" customHeight="1">
      <c r="A1115" s="4">
        <v>6280</v>
      </c>
      <c r="B1115" s="4">
        <v>44450</v>
      </c>
      <c r="C1115" s="5">
        <f t="shared" si="488"/>
        <v>40460</v>
      </c>
      <c r="D1115" s="4" t="s">
        <v>78</v>
      </c>
      <c r="E1115" s="4">
        <v>24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65.989999999999995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89">C1115+0</f>
        <v>40460</v>
      </c>
    </row>
    <row r="1116" spans="1:21" ht="12" customHeight="1">
      <c r="A1116" s="4">
        <v>6302</v>
      </c>
      <c r="B1116" s="4">
        <v>44610</v>
      </c>
      <c r="C1116" s="5">
        <f>DATE(2012,12,31)-662</f>
        <v>40612</v>
      </c>
      <c r="D1116" s="4" t="s">
        <v>30</v>
      </c>
      <c r="E1116" s="4">
        <v>31</v>
      </c>
      <c r="F1116" s="4">
        <v>127.9</v>
      </c>
      <c r="G1116" s="4">
        <v>7.0000000000000007E-2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89"/>
        <v>40612</v>
      </c>
    </row>
    <row r="1117" spans="1:21" ht="12" customHeight="1">
      <c r="A1117" s="4">
        <v>6350</v>
      </c>
      <c r="B1117" s="4">
        <v>44999</v>
      </c>
      <c r="C1117" s="5">
        <f>DATE(2012,12,31)-1074</f>
        <v>40200</v>
      </c>
      <c r="D1117" s="4" t="s">
        <v>63</v>
      </c>
      <c r="E1117" s="4">
        <v>17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spans="1:21" ht="12" customHeight="1">
      <c r="A1118" s="4">
        <v>6351</v>
      </c>
      <c r="B1118" s="4">
        <v>45025</v>
      </c>
      <c r="C1118" s="5">
        <f>DATE(2012,12,31)-630</f>
        <v>40644</v>
      </c>
      <c r="D1118" s="4" t="s">
        <v>30</v>
      </c>
      <c r="E1118" s="4">
        <v>26</v>
      </c>
      <c r="F1118" s="4">
        <v>73.819999999999993</v>
      </c>
      <c r="G1118" s="4">
        <v>0.08</v>
      </c>
      <c r="H1118" s="4" t="s">
        <v>22</v>
      </c>
      <c r="I1118" s="6">
        <v>2.0059999999999998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spans="1:21" ht="12" customHeight="1">
      <c r="A1119" s="4">
        <v>6374</v>
      </c>
      <c r="B1119" s="4">
        <v>45248</v>
      </c>
      <c r="C1119" s="5">
        <f t="shared" ref="C1119:C1120" si="490">DATE(2012,12,31)-625</f>
        <v>40649</v>
      </c>
      <c r="D1119" s="4" t="s">
        <v>63</v>
      </c>
      <c r="E1119" s="4">
        <v>38</v>
      </c>
      <c r="F1119" s="4">
        <v>154.85</v>
      </c>
      <c r="G1119" s="4">
        <v>0.05</v>
      </c>
      <c r="H1119" s="4" t="s">
        <v>22</v>
      </c>
      <c r="I1119" s="6">
        <v>-136.55000000000001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1">C1119+2</f>
        <v>40651</v>
      </c>
    </row>
    <row r="1120" spans="1:21" ht="12" customHeight="1">
      <c r="A1120" s="4">
        <v>6375</v>
      </c>
      <c r="B1120" s="4">
        <v>45248</v>
      </c>
      <c r="C1120" s="5">
        <f t="shared" si="490"/>
        <v>40649</v>
      </c>
      <c r="D1120" s="4" t="s">
        <v>63</v>
      </c>
      <c r="E1120" s="4">
        <v>32</v>
      </c>
      <c r="F1120" s="4">
        <v>4941.7725</v>
      </c>
      <c r="G1120" s="4">
        <v>0.1</v>
      </c>
      <c r="H1120" s="4" t="s">
        <v>22</v>
      </c>
      <c r="I1120" s="6">
        <v>704.88900000000001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1"/>
        <v>40651</v>
      </c>
    </row>
    <row r="1121" spans="1:21" ht="12" customHeight="1">
      <c r="A1121" s="4">
        <v>6376</v>
      </c>
      <c r="B1121" s="4">
        <v>45249</v>
      </c>
      <c r="C1121" s="5">
        <f>DATE(2012,12,31)-765</f>
        <v>40509</v>
      </c>
      <c r="D1121" s="4" t="s">
        <v>21</v>
      </c>
      <c r="E1121" s="4">
        <v>24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spans="1:21" ht="12" customHeight="1">
      <c r="A1122" s="4">
        <v>6411</v>
      </c>
      <c r="B1122" s="4">
        <v>45570</v>
      </c>
      <c r="C1122" s="5">
        <f>DATE(2012,12,31)-875</f>
        <v>40399</v>
      </c>
      <c r="D1122" s="4" t="s">
        <v>78</v>
      </c>
      <c r="E1122" s="4">
        <v>19</v>
      </c>
      <c r="F1122" s="4">
        <v>77.569999999999993</v>
      </c>
      <c r="G1122" s="4">
        <v>0</v>
      </c>
      <c r="H1122" s="4" t="s">
        <v>22</v>
      </c>
      <c r="I1122" s="6">
        <v>-67.493499999999997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spans="1:21" ht="12" customHeight="1">
      <c r="A1123" s="4">
        <v>6517</v>
      </c>
      <c r="B1123" s="4">
        <v>46375</v>
      </c>
      <c r="C1123" s="5">
        <f t="shared" ref="C1123:C1124" si="492">DATE(2012,12,31)-858</f>
        <v>40416</v>
      </c>
      <c r="D1123" s="4" t="s">
        <v>63</v>
      </c>
      <c r="E1123" s="4">
        <v>24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spans="1:21" ht="12" customHeight="1">
      <c r="A1124" s="4">
        <v>6518</v>
      </c>
      <c r="B1124" s="4">
        <v>46375</v>
      </c>
      <c r="C1124" s="5">
        <f t="shared" si="492"/>
        <v>40416</v>
      </c>
      <c r="D1124" s="4" t="s">
        <v>63</v>
      </c>
      <c r="E1124" s="4">
        <v>16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0.55000000000000004</v>
      </c>
      <c r="U1124" s="5">
        <f>C1124+1</f>
        <v>40417</v>
      </c>
    </row>
    <row r="1125" spans="1:21" ht="12" customHeight="1">
      <c r="A1125" s="4">
        <v>6588</v>
      </c>
      <c r="B1125" s="4">
        <v>46885</v>
      </c>
      <c r="C1125" s="5">
        <f t="shared" ref="C1125:C1127" si="493">DATE(2012,12,31)-573</f>
        <v>40701</v>
      </c>
      <c r="D1125" s="4" t="s">
        <v>21</v>
      </c>
      <c r="E1125" s="4">
        <v>27</v>
      </c>
      <c r="F1125" s="4">
        <v>632.54999999999995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4">C1125+4</f>
        <v>40705</v>
      </c>
    </row>
    <row r="1126" spans="1:21" ht="12" customHeight="1">
      <c r="A1126" s="4">
        <v>6589</v>
      </c>
      <c r="B1126" s="4">
        <v>46885</v>
      </c>
      <c r="C1126" s="5">
        <f t="shared" si="493"/>
        <v>40701</v>
      </c>
      <c r="D1126" s="4" t="s">
        <v>21</v>
      </c>
      <c r="E1126" s="4">
        <v>48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4"/>
        <v>40705</v>
      </c>
    </row>
    <row r="1127" spans="1:21" ht="12" customHeight="1">
      <c r="A1127" s="4">
        <v>6590</v>
      </c>
      <c r="B1127" s="4">
        <v>46885</v>
      </c>
      <c r="C1127" s="5">
        <f t="shared" si="493"/>
        <v>40701</v>
      </c>
      <c r="D1127" s="4" t="s">
        <v>21</v>
      </c>
      <c r="E1127" s="4">
        <v>32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spans="1:21" ht="12" customHeight="1">
      <c r="A1128" s="4">
        <v>6596</v>
      </c>
      <c r="B1128" s="4">
        <v>46948</v>
      </c>
      <c r="C1128" s="5">
        <f>DATE(2012,12,31)-956</f>
        <v>40318</v>
      </c>
      <c r="D1128" s="4" t="s">
        <v>21</v>
      </c>
      <c r="E1128" s="4">
        <v>10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spans="1:21" ht="12" customHeight="1">
      <c r="A1129" s="4">
        <v>6644</v>
      </c>
      <c r="B1129" s="4">
        <v>47267</v>
      </c>
      <c r="C1129" s="5">
        <f t="shared" ref="C1129:C1130" si="495">DATE(2012,12,31)-733</f>
        <v>40541</v>
      </c>
      <c r="D1129" s="4" t="s">
        <v>63</v>
      </c>
      <c r="E1129" s="4">
        <v>24</v>
      </c>
      <c r="F1129" s="4">
        <v>492.71</v>
      </c>
      <c r="G1129" s="4">
        <v>0.02</v>
      </c>
      <c r="H1129" s="4" t="s">
        <v>22</v>
      </c>
      <c r="I1129" s="6">
        <v>67.010000000000005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6">C1129+1</f>
        <v>40542</v>
      </c>
    </row>
    <row r="1130" spans="1:21" ht="12" customHeight="1">
      <c r="A1130" s="4">
        <v>6645</v>
      </c>
      <c r="B1130" s="4">
        <v>47267</v>
      </c>
      <c r="C1130" s="5">
        <f t="shared" si="495"/>
        <v>40541</v>
      </c>
      <c r="D1130" s="4" t="s">
        <v>63</v>
      </c>
      <c r="E1130" s="4">
        <v>14</v>
      </c>
      <c r="F1130" s="4">
        <v>1042.06</v>
      </c>
      <c r="G1130" s="4">
        <v>0.04</v>
      </c>
      <c r="H1130" s="4" t="s">
        <v>31</v>
      </c>
      <c r="I1130" s="6">
        <v>-931.24800000000005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6"/>
        <v>40542</v>
      </c>
    </row>
    <row r="1131" spans="1:21" ht="12" customHeight="1">
      <c r="A1131" s="4">
        <v>6656</v>
      </c>
      <c r="B1131" s="4">
        <v>47333</v>
      </c>
      <c r="C1131" s="5">
        <f>DATE(2012,12,31)-481</f>
        <v>40793</v>
      </c>
      <c r="D1131" s="4" t="s">
        <v>78</v>
      </c>
      <c r="E1131" s="4">
        <v>16</v>
      </c>
      <c r="F1131" s="4">
        <v>760.24849999999992</v>
      </c>
      <c r="G1131" s="4">
        <v>0.04</v>
      </c>
      <c r="H1131" s="4" t="s">
        <v>22</v>
      </c>
      <c r="I1131" s="6">
        <v>29.798999999999999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spans="1:21" ht="12" customHeight="1">
      <c r="A1132" s="4">
        <v>6806</v>
      </c>
      <c r="B1132" s="4">
        <v>48480</v>
      </c>
      <c r="C1132" s="5">
        <f>DATE(2012,12,31)-1094</f>
        <v>40180</v>
      </c>
      <c r="D1132" s="4" t="s">
        <v>78</v>
      </c>
      <c r="E1132" s="4">
        <v>32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spans="1:21" ht="12" customHeight="1">
      <c r="A1133" s="4">
        <v>6825</v>
      </c>
      <c r="B1133" s="4">
        <v>48614</v>
      </c>
      <c r="C1133" s="5">
        <f>DATE(2012,12,31)-214</f>
        <v>41060</v>
      </c>
      <c r="D1133" s="4" t="s">
        <v>78</v>
      </c>
      <c r="E1133" s="4">
        <v>46</v>
      </c>
      <c r="F1133" s="4">
        <v>7965.9024999999992</v>
      </c>
      <c r="G1133" s="4">
        <v>0.01</v>
      </c>
      <c r="H1133" s="4" t="s">
        <v>22</v>
      </c>
      <c r="I1133" s="6">
        <v>2311.9560000000001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spans="1:21" ht="12" customHeight="1">
      <c r="A1134" s="4">
        <v>6852</v>
      </c>
      <c r="B1134" s="4">
        <v>48800</v>
      </c>
      <c r="C1134" s="5">
        <f>DATE(2012,12,31)-801</f>
        <v>40473</v>
      </c>
      <c r="D1134" s="4" t="s">
        <v>45</v>
      </c>
      <c r="E1134" s="4">
        <v>8</v>
      </c>
      <c r="F1134" s="4">
        <v>28761.52</v>
      </c>
      <c r="G1134" s="4">
        <v>0.04</v>
      </c>
      <c r="H1134" s="4" t="s">
        <v>22</v>
      </c>
      <c r="I1134" s="6">
        <v>285.11300000000028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spans="1:21" ht="12" customHeight="1">
      <c r="A1135" s="4">
        <v>6892</v>
      </c>
      <c r="B1135" s="4">
        <v>49126</v>
      </c>
      <c r="C1135" s="5">
        <f>DATE(2012,12,31)-540</f>
        <v>40734</v>
      </c>
      <c r="D1135" s="4" t="s">
        <v>21</v>
      </c>
      <c r="E1135" s="4">
        <v>33</v>
      </c>
      <c r="F1135" s="4">
        <v>5661.08</v>
      </c>
      <c r="G1135" s="4">
        <v>0</v>
      </c>
      <c r="H1135" s="4" t="s">
        <v>31</v>
      </c>
      <c r="I1135" s="6">
        <v>1055.47</v>
      </c>
      <c r="J1135" s="4">
        <v>160.97999999999999</v>
      </c>
      <c r="K1135" s="4">
        <v>30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7">C1135+7</f>
        <v>40741</v>
      </c>
    </row>
    <row r="1136" spans="1:21" ht="12" customHeight="1">
      <c r="A1136" s="4">
        <v>6944</v>
      </c>
      <c r="B1136" s="4">
        <v>49601</v>
      </c>
      <c r="C1136" s="5">
        <f>DATE(2012,12,31)-705</f>
        <v>40569</v>
      </c>
      <c r="D1136" s="4" t="s">
        <v>21</v>
      </c>
      <c r="E1136" s="4">
        <v>15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7"/>
        <v>40576</v>
      </c>
    </row>
    <row r="1137" spans="1:21" ht="12" customHeight="1">
      <c r="A1137" s="4">
        <v>6960</v>
      </c>
      <c r="B1137" s="4">
        <v>49763</v>
      </c>
      <c r="C1137" s="5">
        <f t="shared" ref="C1137:C1138" si="498">DATE(2012,12,31)-687</f>
        <v>40587</v>
      </c>
      <c r="D1137" s="4" t="s">
        <v>78</v>
      </c>
      <c r="E1137" s="4">
        <v>8</v>
      </c>
      <c r="F1137" s="4">
        <v>49.04</v>
      </c>
      <c r="G1137" s="4">
        <v>0.02</v>
      </c>
      <c r="H1137" s="4" t="s">
        <v>22</v>
      </c>
      <c r="I1137" s="6">
        <v>9.2899999999999991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spans="1:21" ht="12" customHeight="1">
      <c r="A1138" s="4">
        <v>6961</v>
      </c>
      <c r="B1138" s="4">
        <v>49763</v>
      </c>
      <c r="C1138" s="5">
        <f t="shared" si="498"/>
        <v>40587</v>
      </c>
      <c r="D1138" s="4" t="s">
        <v>78</v>
      </c>
      <c r="E1138" s="4">
        <v>6</v>
      </c>
      <c r="F1138" s="4">
        <v>2320.35</v>
      </c>
      <c r="G1138" s="4">
        <v>0</v>
      </c>
      <c r="H1138" s="4" t="s">
        <v>31</v>
      </c>
      <c r="I1138" s="6">
        <v>-237.61799999999999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499">C1138+0</f>
        <v>40587</v>
      </c>
    </row>
    <row r="1139" spans="1:21" ht="12" customHeight="1">
      <c r="A1139" s="4">
        <v>6988</v>
      </c>
      <c r="B1139" s="4">
        <v>49927</v>
      </c>
      <c r="C1139" s="5">
        <f t="shared" ref="C1139:C1141" si="500">DATE(2012,12,31)-164</f>
        <v>41110</v>
      </c>
      <c r="D1139" s="4" t="s">
        <v>45</v>
      </c>
      <c r="E1139" s="4">
        <v>26</v>
      </c>
      <c r="F1139" s="4">
        <v>139.54</v>
      </c>
      <c r="G1139" s="4">
        <v>0.01</v>
      </c>
      <c r="H1139" s="4" t="s">
        <v>22</v>
      </c>
      <c r="I1139" s="6">
        <v>-54.084499999999998</v>
      </c>
      <c r="J1139" s="4">
        <v>4.9800000000000004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499"/>
        <v>41110</v>
      </c>
    </row>
    <row r="1140" spans="1:21" ht="12" customHeight="1">
      <c r="A1140" s="4">
        <v>6989</v>
      </c>
      <c r="B1140" s="4">
        <v>49927</v>
      </c>
      <c r="C1140" s="5">
        <f t="shared" si="500"/>
        <v>41110</v>
      </c>
      <c r="D1140" s="4" t="s">
        <v>45</v>
      </c>
      <c r="E1140" s="4">
        <v>28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spans="1:21" ht="12" customHeight="1">
      <c r="A1141" s="4">
        <v>6990</v>
      </c>
      <c r="B1141" s="4">
        <v>49927</v>
      </c>
      <c r="C1141" s="5">
        <f t="shared" si="500"/>
        <v>41110</v>
      </c>
      <c r="D1141" s="4" t="s">
        <v>45</v>
      </c>
      <c r="E1141" s="4">
        <v>39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2.1800000000000002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spans="1:21" ht="12" customHeight="1">
      <c r="A1142" s="4">
        <v>7009</v>
      </c>
      <c r="B1142" s="4">
        <v>50048</v>
      </c>
      <c r="C1142" s="5">
        <f t="shared" ref="C1142:C1143" si="501">DATE(2012,12,31)-1078</f>
        <v>40196</v>
      </c>
      <c r="D1142" s="4" t="s">
        <v>30</v>
      </c>
      <c r="E1142" s="4">
        <v>14</v>
      </c>
      <c r="F1142" s="4">
        <v>35.479999999999997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2">C1142+2</f>
        <v>40198</v>
      </c>
    </row>
    <row r="1143" spans="1:21" ht="12" customHeight="1">
      <c r="A1143" s="4">
        <v>7010</v>
      </c>
      <c r="B1143" s="4">
        <v>50048</v>
      </c>
      <c r="C1143" s="5">
        <f t="shared" si="501"/>
        <v>40196</v>
      </c>
      <c r="D1143" s="4" t="s">
        <v>30</v>
      </c>
      <c r="E1143" s="4">
        <v>1</v>
      </c>
      <c r="F1143" s="4">
        <v>15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8.3699999999999992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0.57999999999999996</v>
      </c>
      <c r="U1143" s="5">
        <f t="shared" si="502"/>
        <v>40198</v>
      </c>
    </row>
    <row r="1144" spans="1:21" ht="12" customHeight="1">
      <c r="A1144" s="4">
        <v>7075</v>
      </c>
      <c r="B1144" s="4">
        <v>50499</v>
      </c>
      <c r="C1144" s="5">
        <f>DATE(2012,12,31)-446</f>
        <v>40828</v>
      </c>
      <c r="D1144" s="4" t="s">
        <v>45</v>
      </c>
      <c r="E1144" s="4">
        <v>18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0.56999999999999995</v>
      </c>
      <c r="U1144" s="5">
        <f t="shared" ref="U1144:U1145" si="503">C1144+1</f>
        <v>40829</v>
      </c>
    </row>
    <row r="1145" spans="1:21" ht="12" customHeight="1">
      <c r="A1145" s="4">
        <v>7152</v>
      </c>
      <c r="B1145" s="4">
        <v>51041</v>
      </c>
      <c r="C1145" s="5">
        <f>DATE(2012,12,31)-886</f>
        <v>40388</v>
      </c>
      <c r="D1145" s="4" t="s">
        <v>30</v>
      </c>
      <c r="E1145" s="4">
        <v>47</v>
      </c>
      <c r="F1145" s="4">
        <v>2766.8179999999998</v>
      </c>
      <c r="G1145" s="4">
        <v>0.03</v>
      </c>
      <c r="H1145" s="4" t="s">
        <v>22</v>
      </c>
      <c r="I1145" s="6">
        <v>846.94500000000005</v>
      </c>
      <c r="J1145" s="4">
        <v>65.989999999999995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0.55000000000000004</v>
      </c>
      <c r="U1145" s="5">
        <f t="shared" si="503"/>
        <v>40389</v>
      </c>
    </row>
    <row r="1146" spans="1:21" ht="12" customHeight="1">
      <c r="A1146" s="4">
        <v>7194</v>
      </c>
      <c r="B1146" s="4">
        <v>51328</v>
      </c>
      <c r="C1146" s="5">
        <f>DATE(2012,12,31)-797</f>
        <v>40477</v>
      </c>
      <c r="D1146" s="4" t="s">
        <v>21</v>
      </c>
      <c r="E1146" s="4">
        <v>38</v>
      </c>
      <c r="F1146" s="4">
        <v>689.67</v>
      </c>
      <c r="G1146" s="4">
        <v>7.0000000000000007E-2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spans="1:21" ht="12" customHeight="1">
      <c r="A1147" s="4">
        <v>7195</v>
      </c>
      <c r="B1147" s="4">
        <v>51333</v>
      </c>
      <c r="C1147" s="5">
        <f t="shared" ref="C1147:C1148" si="504">DATE(2012,12,31)-88</f>
        <v>41186</v>
      </c>
      <c r="D1147" s="4" t="s">
        <v>45</v>
      </c>
      <c r="E1147" s="4">
        <v>30</v>
      </c>
      <c r="F1147" s="4">
        <v>2219.79</v>
      </c>
      <c r="G1147" s="4">
        <v>0.1</v>
      </c>
      <c r="H1147" s="4" t="s">
        <v>31</v>
      </c>
      <c r="I1147" s="6">
        <v>-9.4481999999999999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5">C1147+2</f>
        <v>41188</v>
      </c>
    </row>
    <row r="1148" spans="1:21" ht="12" customHeight="1">
      <c r="A1148" s="4">
        <v>7196</v>
      </c>
      <c r="B1148" s="4">
        <v>51333</v>
      </c>
      <c r="C1148" s="5">
        <f t="shared" si="504"/>
        <v>41186</v>
      </c>
      <c r="D1148" s="4" t="s">
        <v>45</v>
      </c>
      <c r="E1148" s="4">
        <v>25</v>
      </c>
      <c r="F1148" s="4">
        <v>237.36</v>
      </c>
      <c r="G1148" s="4">
        <v>7.0000000000000007E-2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5"/>
        <v>41188</v>
      </c>
    </row>
    <row r="1149" spans="1:21" ht="12" customHeight="1">
      <c r="A1149" s="4">
        <v>7201</v>
      </c>
      <c r="B1149" s="4">
        <v>51365</v>
      </c>
      <c r="C1149" s="5">
        <f t="shared" ref="C1149:C1150" si="506">DATE(2012,12,31)-146</f>
        <v>41128</v>
      </c>
      <c r="D1149" s="4" t="s">
        <v>30</v>
      </c>
      <c r="E1149" s="4">
        <v>35</v>
      </c>
      <c r="F1149" s="4">
        <v>195.23</v>
      </c>
      <c r="G1149" s="4">
        <v>0.08</v>
      </c>
      <c r="H1149" s="4" t="s">
        <v>22</v>
      </c>
      <c r="I1149" s="6">
        <v>-72.459999999999994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5"/>
        <v>41130</v>
      </c>
    </row>
    <row r="1150" spans="1:21" ht="12" customHeight="1">
      <c r="A1150" s="4">
        <v>7202</v>
      </c>
      <c r="B1150" s="4">
        <v>51365</v>
      </c>
      <c r="C1150" s="5">
        <f t="shared" si="506"/>
        <v>41128</v>
      </c>
      <c r="D1150" s="4" t="s">
        <v>30</v>
      </c>
      <c r="E1150" s="4">
        <v>35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7">C1150+1</f>
        <v>41129</v>
      </c>
    </row>
    <row r="1151" spans="1:21" ht="12" customHeight="1">
      <c r="A1151" s="4">
        <v>7253</v>
      </c>
      <c r="B1151" s="4">
        <v>51777</v>
      </c>
      <c r="C1151" s="5">
        <f t="shared" ref="C1151:C1152" si="508">DATE(2012,12,31)-681</f>
        <v>40593</v>
      </c>
      <c r="D1151" s="4" t="s">
        <v>63</v>
      </c>
      <c r="E1151" s="4">
        <v>4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19.989999999999998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7"/>
        <v>40594</v>
      </c>
    </row>
    <row r="1152" spans="1:21" ht="12" customHeight="1">
      <c r="A1152" s="4">
        <v>7254</v>
      </c>
      <c r="B1152" s="4">
        <v>51777</v>
      </c>
      <c r="C1152" s="5">
        <f t="shared" si="508"/>
        <v>40593</v>
      </c>
      <c r="D1152" s="4" t="s">
        <v>63</v>
      </c>
      <c r="E1152" s="4">
        <v>13</v>
      </c>
      <c r="F1152" s="4">
        <v>1307.8800000000001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09">C1152+2</f>
        <v>40595</v>
      </c>
    </row>
    <row r="1153" spans="1:21" ht="12" customHeight="1">
      <c r="A1153" s="4">
        <v>7263</v>
      </c>
      <c r="B1153" s="4">
        <v>51814</v>
      </c>
      <c r="C1153" s="5">
        <f>DATE(2012,12,31)-829</f>
        <v>40445</v>
      </c>
      <c r="D1153" s="4" t="s">
        <v>78</v>
      </c>
      <c r="E1153" s="4">
        <v>13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09"/>
        <v>40447</v>
      </c>
    </row>
    <row r="1154" spans="1:21" ht="12" customHeight="1">
      <c r="A1154" s="4">
        <v>7328</v>
      </c>
      <c r="B1154" s="4">
        <v>52225</v>
      </c>
      <c r="C1154" s="5">
        <f t="shared" ref="C1154:C1155" si="510">DATE(2012,12,31)-263</f>
        <v>41011</v>
      </c>
      <c r="D1154" s="4" t="s">
        <v>78</v>
      </c>
      <c r="E1154" s="4">
        <v>10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0.55000000000000004</v>
      </c>
      <c r="U1154" s="5">
        <f t="shared" ref="U1154:U1155" si="511">C1154+1</f>
        <v>41012</v>
      </c>
    </row>
    <row r="1155" spans="1:21" ht="12" customHeight="1">
      <c r="A1155" s="4">
        <v>7329</v>
      </c>
      <c r="B1155" s="4">
        <v>52225</v>
      </c>
      <c r="C1155" s="5">
        <f t="shared" si="510"/>
        <v>41011</v>
      </c>
      <c r="D1155" s="4" t="s">
        <v>78</v>
      </c>
      <c r="E1155" s="4">
        <v>33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1"/>
        <v>41012</v>
      </c>
    </row>
    <row r="1156" spans="1:21" ht="12" customHeight="1">
      <c r="A1156" s="4">
        <v>7410</v>
      </c>
      <c r="B1156" s="4">
        <v>52868</v>
      </c>
      <c r="C1156" s="5">
        <f>DATE(2012,12,31)-684</f>
        <v>40590</v>
      </c>
      <c r="D1156" s="4" t="s">
        <v>21</v>
      </c>
      <c r="E1156" s="4">
        <v>19</v>
      </c>
      <c r="F1156" s="4">
        <v>138.05000000000001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spans="1:21" ht="12" customHeight="1">
      <c r="A1157" s="4">
        <v>7459</v>
      </c>
      <c r="B1157" s="4">
        <v>53221</v>
      </c>
      <c r="C1157" s="5">
        <f>DATE(2012,12,31)-309</f>
        <v>40965</v>
      </c>
      <c r="D1157" s="4" t="s">
        <v>45</v>
      </c>
      <c r="E1157" s="4">
        <v>29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2">C1157+1</f>
        <v>40966</v>
      </c>
    </row>
    <row r="1158" spans="1:21" ht="12" customHeight="1">
      <c r="A1158" s="4">
        <v>7509</v>
      </c>
      <c r="B1158" s="4">
        <v>53600</v>
      </c>
      <c r="C1158" s="5">
        <f>DATE(2012,12,31)-174</f>
        <v>41100</v>
      </c>
      <c r="D1158" s="4" t="s">
        <v>63</v>
      </c>
      <c r="E1158" s="4">
        <v>8</v>
      </c>
      <c r="F1158" s="4">
        <v>55.59</v>
      </c>
      <c r="G1158" s="4">
        <v>0.03</v>
      </c>
      <c r="H1158" s="4" t="s">
        <v>56</v>
      </c>
      <c r="I1158" s="6">
        <v>-17.951499999999999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2"/>
        <v>41101</v>
      </c>
    </row>
    <row r="1159" spans="1:21" ht="12" customHeight="1">
      <c r="A1159" s="4">
        <v>7515</v>
      </c>
      <c r="B1159" s="4">
        <v>53667</v>
      </c>
      <c r="C1159" s="5">
        <f t="shared" ref="C1159:C1160" si="513">DATE(2012,12,31)-228</f>
        <v>41046</v>
      </c>
      <c r="D1159" s="4" t="s">
        <v>63</v>
      </c>
      <c r="E1159" s="4">
        <v>33</v>
      </c>
      <c r="F1159" s="4">
        <v>112.36</v>
      </c>
      <c r="G1159" s="4">
        <v>0.08</v>
      </c>
      <c r="H1159" s="4" t="s">
        <v>22</v>
      </c>
      <c r="I1159" s="6">
        <v>-159.73500000000001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4">C1159+2</f>
        <v>41048</v>
      </c>
    </row>
    <row r="1160" spans="1:21" ht="12" customHeight="1">
      <c r="A1160" s="4">
        <v>7516</v>
      </c>
      <c r="B1160" s="4">
        <v>53667</v>
      </c>
      <c r="C1160" s="5">
        <f t="shared" si="513"/>
        <v>41046</v>
      </c>
      <c r="D1160" s="4" t="s">
        <v>63</v>
      </c>
      <c r="E1160" s="4">
        <v>16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1.1000000000000001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0.55000000000000004</v>
      </c>
      <c r="U1160" s="5">
        <f t="shared" si="514"/>
        <v>41048</v>
      </c>
    </row>
    <row r="1161" spans="1:21" ht="12" customHeight="1">
      <c r="A1161" s="4">
        <v>7545</v>
      </c>
      <c r="B1161" s="4">
        <v>53955</v>
      </c>
      <c r="C1161" s="5">
        <f>DATE(2012,12,31)-668</f>
        <v>40606</v>
      </c>
      <c r="D1161" s="4" t="s">
        <v>78</v>
      </c>
      <c r="E1161" s="4">
        <v>43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130.97999999999999</v>
      </c>
      <c r="K1161" s="4">
        <v>130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4"/>
        <v>40608</v>
      </c>
    </row>
    <row r="1162" spans="1:21" ht="12" customHeight="1">
      <c r="A1162" s="4">
        <v>7569</v>
      </c>
      <c r="B1162" s="4">
        <v>54150</v>
      </c>
      <c r="C1162" s="5">
        <f>DATE(2012,12,31)-558</f>
        <v>40716</v>
      </c>
      <c r="D1162" s="4" t="s">
        <v>78</v>
      </c>
      <c r="E1162" s="4">
        <v>12</v>
      </c>
      <c r="F1162" s="4">
        <v>2011.6355000000001</v>
      </c>
      <c r="G1162" s="4">
        <v>0.01</v>
      </c>
      <c r="H1162" s="4" t="s">
        <v>56</v>
      </c>
      <c r="I1162" s="6">
        <v>-53.691000000000003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spans="1:21" ht="12" customHeight="1">
      <c r="A1163" s="4">
        <v>7751</v>
      </c>
      <c r="B1163" s="4">
        <v>55462</v>
      </c>
      <c r="C1163" s="5">
        <f t="shared" ref="C1163:C1165" si="515">DATE(2012,12,31)-279</f>
        <v>40995</v>
      </c>
      <c r="D1163" s="4" t="s">
        <v>63</v>
      </c>
      <c r="E1163" s="4">
        <v>13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spans="1:21" ht="12" customHeight="1">
      <c r="A1164" s="4">
        <v>7752</v>
      </c>
      <c r="B1164" s="4">
        <v>55462</v>
      </c>
      <c r="C1164" s="5">
        <f t="shared" si="515"/>
        <v>40995</v>
      </c>
      <c r="D1164" s="4" t="s">
        <v>63</v>
      </c>
      <c r="E1164" s="4">
        <v>31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39.979999999999997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6">C1164+1</f>
        <v>40996</v>
      </c>
    </row>
    <row r="1165" spans="1:21" ht="12" customHeight="1">
      <c r="A1165" s="4">
        <v>7753</v>
      </c>
      <c r="B1165" s="4">
        <v>55462</v>
      </c>
      <c r="C1165" s="5">
        <f t="shared" si="515"/>
        <v>40995</v>
      </c>
      <c r="D1165" s="4" t="s">
        <v>63</v>
      </c>
      <c r="E1165" s="4">
        <v>35</v>
      </c>
      <c r="F1165" s="4">
        <v>3683.73</v>
      </c>
      <c r="G1165" s="4">
        <v>0.09</v>
      </c>
      <c r="H1165" s="4" t="s">
        <v>22</v>
      </c>
      <c r="I1165" s="6">
        <v>708.75900000000001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6"/>
        <v>40996</v>
      </c>
    </row>
    <row r="1166" spans="1:21" ht="12" customHeight="1">
      <c r="A1166" s="4">
        <v>7793</v>
      </c>
      <c r="B1166" s="4">
        <v>55749</v>
      </c>
      <c r="C1166" s="5">
        <f>DATE(2012,12,31)-242</f>
        <v>41032</v>
      </c>
      <c r="D1166" s="4" t="s">
        <v>78</v>
      </c>
      <c r="E1166" s="4">
        <v>42</v>
      </c>
      <c r="F1166" s="4">
        <v>364.8</v>
      </c>
      <c r="G1166" s="4">
        <v>0.01</v>
      </c>
      <c r="H1166" s="4" t="s">
        <v>22</v>
      </c>
      <c r="I1166" s="6">
        <v>149.44999999999999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6"/>
        <v>41033</v>
      </c>
    </row>
    <row r="1167" spans="1:21" ht="12" customHeight="1">
      <c r="A1167" s="4">
        <v>7809</v>
      </c>
      <c r="B1167" s="4">
        <v>55873</v>
      </c>
      <c r="C1167" s="5">
        <f>DATE(2012,12,31)-408</f>
        <v>40866</v>
      </c>
      <c r="D1167" s="4" t="s">
        <v>21</v>
      </c>
      <c r="E1167" s="4">
        <v>48</v>
      </c>
      <c r="F1167" s="4">
        <v>15602.93</v>
      </c>
      <c r="G1167" s="4">
        <v>0</v>
      </c>
      <c r="H1167" s="4" t="s">
        <v>31</v>
      </c>
      <c r="I1167" s="6">
        <v>4875.8900000000003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0.56000000000000005</v>
      </c>
      <c r="U1167" s="5">
        <f>C1167+7</f>
        <v>40873</v>
      </c>
    </row>
    <row r="1168" spans="1:21" ht="12" customHeight="1">
      <c r="A1168" s="4">
        <v>7852</v>
      </c>
      <c r="B1168" s="4">
        <v>56135</v>
      </c>
      <c r="C1168" s="5">
        <f t="shared" ref="C1168:C1169" si="517">DATE(2012,12,31)-779</f>
        <v>40495</v>
      </c>
      <c r="D1168" s="4" t="s">
        <v>63</v>
      </c>
      <c r="E1168" s="4">
        <v>8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140.97999999999999</v>
      </c>
      <c r="K1168" s="4">
        <v>36.090000000000003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spans="1:21" ht="12" customHeight="1">
      <c r="A1169" s="4">
        <v>7853</v>
      </c>
      <c r="B1169" s="4">
        <v>56135</v>
      </c>
      <c r="C1169" s="5">
        <f t="shared" si="517"/>
        <v>40495</v>
      </c>
      <c r="D1169" s="4" t="s">
        <v>63</v>
      </c>
      <c r="E1169" s="4">
        <v>48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spans="1:21" ht="12" customHeight="1">
      <c r="A1170" s="4">
        <v>7934</v>
      </c>
      <c r="B1170" s="4">
        <v>56708</v>
      </c>
      <c r="C1170" s="5">
        <f t="shared" ref="C1170:C1171" si="518">DATE(2012,12,31)-29</f>
        <v>41245</v>
      </c>
      <c r="D1170" s="4" t="s">
        <v>45</v>
      </c>
      <c r="E1170" s="4">
        <v>36</v>
      </c>
      <c r="F1170" s="4">
        <v>10006.280000000001</v>
      </c>
      <c r="G1170" s="4">
        <v>0.1</v>
      </c>
      <c r="H1170" s="4" t="s">
        <v>31</v>
      </c>
      <c r="I1170" s="6">
        <v>-760.97699999999998</v>
      </c>
      <c r="J1170" s="4">
        <v>286.85000000000002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spans="1:21" ht="12" customHeight="1">
      <c r="A1171" s="4">
        <v>7935</v>
      </c>
      <c r="B1171" s="4">
        <v>56708</v>
      </c>
      <c r="C1171" s="5">
        <f t="shared" si="518"/>
        <v>41245</v>
      </c>
      <c r="D1171" s="4" t="s">
        <v>45</v>
      </c>
      <c r="E1171" s="4">
        <v>36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spans="1:21" ht="12" customHeight="1">
      <c r="A1172" s="4">
        <v>8120</v>
      </c>
      <c r="B1172" s="4">
        <v>57986</v>
      </c>
      <c r="C1172" s="5">
        <f>DATE(2012,12,31)-794</f>
        <v>40480</v>
      </c>
      <c r="D1172" s="4" t="s">
        <v>30</v>
      </c>
      <c r="E1172" s="4">
        <v>14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spans="1:21" ht="12" customHeight="1">
      <c r="A1173" s="4">
        <v>8215</v>
      </c>
      <c r="B1173" s="4">
        <v>58725</v>
      </c>
      <c r="C1173" s="5">
        <f>DATE(2012,12,31)-956</f>
        <v>40318</v>
      </c>
      <c r="D1173" s="4" t="s">
        <v>45</v>
      </c>
      <c r="E1173" s="4">
        <v>39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8.2899999999999991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spans="1:21" ht="12" customHeight="1">
      <c r="A1174" s="4">
        <v>309</v>
      </c>
      <c r="B1174" s="4">
        <v>2147</v>
      </c>
      <c r="C1174" s="5">
        <f>DATE(2012,12,31)-117</f>
        <v>41157</v>
      </c>
      <c r="D1174" s="4" t="s">
        <v>45</v>
      </c>
      <c r="E1174" s="4">
        <v>15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0.56999999999999995</v>
      </c>
      <c r="U1174" s="5">
        <f t="shared" ref="U1174:U1175" si="519">C1174+2</f>
        <v>41159</v>
      </c>
    </row>
    <row r="1175" spans="1:21" ht="12" customHeight="1">
      <c r="A1175" s="4">
        <v>338</v>
      </c>
      <c r="B1175" s="4">
        <v>2306</v>
      </c>
      <c r="C1175" s="5">
        <f>DATE(2012,12,31)-525</f>
        <v>40749</v>
      </c>
      <c r="D1175" s="4" t="s">
        <v>30</v>
      </c>
      <c r="E1175" s="4">
        <v>15</v>
      </c>
      <c r="F1175" s="4">
        <v>113.5</v>
      </c>
      <c r="G1175" s="4">
        <v>0.05</v>
      </c>
      <c r="H1175" s="4" t="s">
        <v>22</v>
      </c>
      <c r="I1175" s="6">
        <v>-46.344999999999999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19"/>
        <v>40751</v>
      </c>
    </row>
    <row r="1176" spans="1:21" ht="12" customHeight="1">
      <c r="A1176" s="4">
        <v>422</v>
      </c>
      <c r="B1176" s="4">
        <v>2823</v>
      </c>
      <c r="C1176" s="5">
        <f t="shared" ref="C1176:C1177" si="520">DATE(2012,12,31)-480</f>
        <v>40794</v>
      </c>
      <c r="D1176" s="4" t="s">
        <v>30</v>
      </c>
      <c r="E1176" s="4">
        <v>17</v>
      </c>
      <c r="F1176" s="4">
        <v>357.43</v>
      </c>
      <c r="G1176" s="4">
        <v>0.08</v>
      </c>
      <c r="H1176" s="4" t="s">
        <v>22</v>
      </c>
      <c r="I1176" s="6">
        <v>-135.97999999999999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1">C1176+1</f>
        <v>40795</v>
      </c>
    </row>
    <row r="1177" spans="1:21" ht="12" customHeight="1">
      <c r="A1177" s="4">
        <v>423</v>
      </c>
      <c r="B1177" s="4">
        <v>2823</v>
      </c>
      <c r="C1177" s="5">
        <f t="shared" si="520"/>
        <v>40794</v>
      </c>
      <c r="D1177" s="4" t="s">
        <v>30</v>
      </c>
      <c r="E1177" s="4">
        <v>21</v>
      </c>
      <c r="F1177" s="4">
        <v>4754.08</v>
      </c>
      <c r="G1177" s="4">
        <v>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1"/>
        <v>40795</v>
      </c>
    </row>
    <row r="1178" spans="1:21" ht="12" customHeight="1">
      <c r="A1178" s="4">
        <v>503</v>
      </c>
      <c r="B1178" s="4">
        <v>3463</v>
      </c>
      <c r="C1178" s="5">
        <f>DATE(2012,12,31)-867</f>
        <v>40407</v>
      </c>
      <c r="D1178" s="4" t="s">
        <v>78</v>
      </c>
      <c r="E1178" s="4">
        <v>43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1"/>
        <v>40408</v>
      </c>
    </row>
    <row r="1179" spans="1:21" ht="12" customHeight="1">
      <c r="A1179" s="4">
        <v>591</v>
      </c>
      <c r="B1179" s="4">
        <v>4034</v>
      </c>
      <c r="C1179" s="5">
        <f t="shared" ref="C1179:C1180" si="522">DATE(2012,12,31)-779</f>
        <v>40495</v>
      </c>
      <c r="D1179" s="4" t="s">
        <v>45</v>
      </c>
      <c r="E1179" s="4">
        <v>44</v>
      </c>
      <c r="F1179" s="4">
        <v>3367.24</v>
      </c>
      <c r="G1179" s="4">
        <v>7.0000000000000007E-2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1"/>
        <v>40496</v>
      </c>
    </row>
    <row r="1180" spans="1:21" ht="12" customHeight="1">
      <c r="A1180" s="4">
        <v>592</v>
      </c>
      <c r="B1180" s="4">
        <v>4034</v>
      </c>
      <c r="C1180" s="5">
        <f t="shared" si="522"/>
        <v>40495</v>
      </c>
      <c r="D1180" s="4" t="s">
        <v>45</v>
      </c>
      <c r="E1180" s="4">
        <v>37</v>
      </c>
      <c r="F1180" s="4">
        <v>5723.24</v>
      </c>
      <c r="G1180" s="4">
        <v>0</v>
      </c>
      <c r="H1180" s="4" t="s">
        <v>31</v>
      </c>
      <c r="I1180" s="6">
        <v>-194.96700000000001</v>
      </c>
      <c r="J1180" s="4">
        <v>145.97999999999999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1"/>
        <v>40496</v>
      </c>
    </row>
    <row r="1181" spans="1:21" ht="12" customHeight="1">
      <c r="A1181" s="4">
        <v>593</v>
      </c>
      <c r="B1181" s="4">
        <v>4037</v>
      </c>
      <c r="C1181" s="5">
        <f>DATE(2012,12,31)-1014</f>
        <v>40260</v>
      </c>
      <c r="D1181" s="4" t="s">
        <v>30</v>
      </c>
      <c r="E1181" s="4">
        <v>27</v>
      </c>
      <c r="F1181" s="4">
        <v>188.07</v>
      </c>
      <c r="G1181" s="4">
        <v>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1"/>
        <v>40261</v>
      </c>
    </row>
    <row r="1182" spans="1:21" ht="12" customHeight="1">
      <c r="A1182" s="4">
        <v>775</v>
      </c>
      <c r="B1182" s="4">
        <v>5538</v>
      </c>
      <c r="C1182" s="5">
        <f t="shared" ref="C1182:C1184" si="523">DATE(2012,12,31)-738</f>
        <v>40536</v>
      </c>
      <c r="D1182" s="4" t="s">
        <v>78</v>
      </c>
      <c r="E1182" s="4">
        <v>43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spans="1:21" ht="12" customHeight="1">
      <c r="A1183" s="4">
        <v>776</v>
      </c>
      <c r="B1183" s="4">
        <v>5538</v>
      </c>
      <c r="C1183" s="5">
        <f t="shared" si="523"/>
        <v>40536</v>
      </c>
      <c r="D1183" s="4" t="s">
        <v>78</v>
      </c>
      <c r="E1183" s="4">
        <v>13</v>
      </c>
      <c r="F1183" s="4">
        <v>1940.31</v>
      </c>
      <c r="G1183" s="4">
        <v>0.03</v>
      </c>
      <c r="H1183" s="4" t="s">
        <v>31</v>
      </c>
      <c r="I1183" s="6">
        <v>-668.18700000000001</v>
      </c>
      <c r="J1183" s="4">
        <v>146.05000000000001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spans="1:21" ht="12" customHeight="1">
      <c r="A1184" s="4">
        <v>777</v>
      </c>
      <c r="B1184" s="4">
        <v>5538</v>
      </c>
      <c r="C1184" s="5">
        <f t="shared" si="523"/>
        <v>40536</v>
      </c>
      <c r="D1184" s="4" t="s">
        <v>78</v>
      </c>
      <c r="E1184" s="4">
        <v>4</v>
      </c>
      <c r="F1184" s="4">
        <v>430.84800000000001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spans="1:21" ht="12" customHeight="1">
      <c r="A1185" s="4">
        <v>814</v>
      </c>
      <c r="B1185" s="4">
        <v>5863</v>
      </c>
      <c r="C1185" s="5">
        <f>DATE(2012,12,31)-771</f>
        <v>40503</v>
      </c>
      <c r="D1185" s="4" t="s">
        <v>63</v>
      </c>
      <c r="E1185" s="4">
        <v>40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spans="1:21" ht="12" customHeight="1">
      <c r="A1186" s="4">
        <v>997</v>
      </c>
      <c r="B1186" s="4">
        <v>7175</v>
      </c>
      <c r="C1186" s="5">
        <f>DATE(2012,12,31)-1058</f>
        <v>40216</v>
      </c>
      <c r="D1186" s="4" t="s">
        <v>78</v>
      </c>
      <c r="E1186" s="4">
        <v>10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spans="1:21" ht="12" customHeight="1">
      <c r="A1187" s="4">
        <v>1068</v>
      </c>
      <c r="B1187" s="4">
        <v>7878</v>
      </c>
      <c r="C1187" s="5">
        <f t="shared" ref="C1187:C1189" si="524">DATE(2012,12,31)-610</f>
        <v>40664</v>
      </c>
      <c r="D1187" s="4" t="s">
        <v>78</v>
      </c>
      <c r="E1187" s="4">
        <v>50</v>
      </c>
      <c r="F1187" s="4">
        <v>3904.12</v>
      </c>
      <c r="G1187" s="4">
        <v>7.0000000000000007E-2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spans="1:21" ht="12" customHeight="1">
      <c r="A1188" s="4">
        <v>1069</v>
      </c>
      <c r="B1188" s="4">
        <v>7878</v>
      </c>
      <c r="C1188" s="5">
        <f t="shared" si="524"/>
        <v>40664</v>
      </c>
      <c r="D1188" s="4" t="s">
        <v>78</v>
      </c>
      <c r="E1188" s="4">
        <v>41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spans="1:21" ht="12" customHeight="1">
      <c r="A1189" s="4">
        <v>1070</v>
      </c>
      <c r="B1189" s="4">
        <v>7878</v>
      </c>
      <c r="C1189" s="5">
        <f t="shared" si="524"/>
        <v>40664</v>
      </c>
      <c r="D1189" s="4" t="s">
        <v>21</v>
      </c>
      <c r="E1189" s="4">
        <v>42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spans="1:21" ht="12" customHeight="1">
      <c r="A1190" s="4">
        <v>1207</v>
      </c>
      <c r="B1190" s="4">
        <v>8834</v>
      </c>
      <c r="C1190" s="5">
        <f>DATE(2012,12,31)-784</f>
        <v>40490</v>
      </c>
      <c r="D1190" s="4" t="s">
        <v>30</v>
      </c>
      <c r="E1190" s="4">
        <v>1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4.9800000000000004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5">C1190+1</f>
        <v>40491</v>
      </c>
    </row>
    <row r="1191" spans="1:21" ht="12" customHeight="1">
      <c r="A1191" s="4">
        <v>1261</v>
      </c>
      <c r="B1191" s="4">
        <v>9155</v>
      </c>
      <c r="C1191" s="5">
        <f>DATE(2012,12,31)-123</f>
        <v>41151</v>
      </c>
      <c r="D1191" s="4" t="s">
        <v>78</v>
      </c>
      <c r="E1191" s="4">
        <v>17</v>
      </c>
      <c r="F1191" s="4">
        <v>518.79999999999995</v>
      </c>
      <c r="G1191" s="4">
        <v>0.1</v>
      </c>
      <c r="H1191" s="4" t="s">
        <v>22</v>
      </c>
      <c r="I1191" s="6">
        <v>54.629499999999993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5"/>
        <v>41152</v>
      </c>
    </row>
    <row r="1192" spans="1:21" ht="12" customHeight="1">
      <c r="A1192" s="4">
        <v>1408</v>
      </c>
      <c r="B1192" s="4">
        <v>10242</v>
      </c>
      <c r="C1192" s="5">
        <f>DATE(2012,12,31)-750</f>
        <v>40524</v>
      </c>
      <c r="D1192" s="4" t="s">
        <v>63</v>
      </c>
      <c r="E1192" s="4">
        <v>32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5"/>
        <v>40525</v>
      </c>
    </row>
    <row r="1193" spans="1:21" ht="12" customHeight="1">
      <c r="A1193" s="4">
        <v>1711</v>
      </c>
      <c r="B1193" s="4">
        <v>12292</v>
      </c>
      <c r="C1193" s="5">
        <f>DATE(2012,12,31)-212</f>
        <v>41062</v>
      </c>
      <c r="D1193" s="4" t="s">
        <v>45</v>
      </c>
      <c r="E1193" s="4">
        <v>32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spans="1:21" ht="12" customHeight="1">
      <c r="A1194" s="4">
        <v>2035</v>
      </c>
      <c r="B1194" s="4">
        <v>14503</v>
      </c>
      <c r="C1194" s="5">
        <f>DATE(2012,12,31)-695</f>
        <v>40579</v>
      </c>
      <c r="D1194" s="4" t="s">
        <v>45</v>
      </c>
      <c r="E1194" s="4">
        <v>14</v>
      </c>
      <c r="F1194" s="4">
        <v>438.47</v>
      </c>
      <c r="G1194" s="4">
        <v>0.02</v>
      </c>
      <c r="H1194" s="4" t="s">
        <v>56</v>
      </c>
      <c r="I1194" s="6">
        <v>157.88749999999999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spans="1:21" ht="12" customHeight="1">
      <c r="A1195" s="4">
        <v>2118</v>
      </c>
      <c r="B1195" s="4">
        <v>15109</v>
      </c>
      <c r="C1195" s="5">
        <f t="shared" ref="C1195:C1199" si="526">DATE(2012,12,31)-748</f>
        <v>40526</v>
      </c>
      <c r="D1195" s="4" t="s">
        <v>45</v>
      </c>
      <c r="E1195" s="4">
        <v>11</v>
      </c>
      <c r="F1195" s="4">
        <v>230.72</v>
      </c>
      <c r="G1195" s="4">
        <v>0.08</v>
      </c>
      <c r="H1195" s="4" t="s">
        <v>22</v>
      </c>
      <c r="I1195" s="6">
        <v>-68.760000000000005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spans="1:21" ht="12" customHeight="1">
      <c r="A1196" s="4">
        <v>2119</v>
      </c>
      <c r="B1196" s="4">
        <v>15109</v>
      </c>
      <c r="C1196" s="5">
        <f t="shared" si="526"/>
        <v>40526</v>
      </c>
      <c r="D1196" s="4" t="s">
        <v>45</v>
      </c>
      <c r="E1196" s="4">
        <v>45</v>
      </c>
      <c r="F1196" s="4">
        <v>293.47000000000003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7">C1196+2</f>
        <v>40528</v>
      </c>
    </row>
    <row r="1197" spans="1:21" ht="12" customHeight="1">
      <c r="A1197" s="4">
        <v>2120</v>
      </c>
      <c r="B1197" s="4">
        <v>15109</v>
      </c>
      <c r="C1197" s="5">
        <f t="shared" si="526"/>
        <v>40526</v>
      </c>
      <c r="D1197" s="4" t="s">
        <v>45</v>
      </c>
      <c r="E1197" s="4">
        <v>33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7"/>
        <v>40528</v>
      </c>
    </row>
    <row r="1198" spans="1:21" ht="12" customHeight="1">
      <c r="A1198" s="4">
        <v>2121</v>
      </c>
      <c r="B1198" s="4">
        <v>15109</v>
      </c>
      <c r="C1198" s="5">
        <f t="shared" si="526"/>
        <v>40526</v>
      </c>
      <c r="D1198" s="4" t="s">
        <v>45</v>
      </c>
      <c r="E1198" s="4">
        <v>23</v>
      </c>
      <c r="F1198" s="4">
        <v>262.77999999999997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0.56999999999999995</v>
      </c>
      <c r="U1198" s="5">
        <f>C1198+1</f>
        <v>40527</v>
      </c>
    </row>
    <row r="1199" spans="1:21" ht="12" customHeight="1">
      <c r="A1199" s="4">
        <v>2122</v>
      </c>
      <c r="B1199" s="4">
        <v>15109</v>
      </c>
      <c r="C1199" s="5">
        <f t="shared" si="526"/>
        <v>40526</v>
      </c>
      <c r="D1199" s="4" t="s">
        <v>45</v>
      </c>
      <c r="E1199" s="4">
        <v>10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9.3699999999999992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0.56000000000000005</v>
      </c>
      <c r="U1199" s="5">
        <f t="shared" ref="U1199:U1201" si="528">C1199+2</f>
        <v>40528</v>
      </c>
    </row>
    <row r="1200" spans="1:21" ht="12" customHeight="1">
      <c r="A1200" s="4">
        <v>2126</v>
      </c>
      <c r="B1200" s="4">
        <v>15142</v>
      </c>
      <c r="C1200" s="5">
        <f>DATE(2012,12,31)-271</f>
        <v>41003</v>
      </c>
      <c r="D1200" s="4" t="s">
        <v>45</v>
      </c>
      <c r="E1200" s="4">
        <v>21</v>
      </c>
      <c r="F1200" s="4">
        <v>330.22</v>
      </c>
      <c r="G1200" s="4">
        <v>7.0000000000000007E-2</v>
      </c>
      <c r="H1200" s="4" t="s">
        <v>22</v>
      </c>
      <c r="I1200" s="6">
        <v>-51.715499999999999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8"/>
        <v>41005</v>
      </c>
    </row>
    <row r="1201" spans="1:21" ht="12" customHeight="1">
      <c r="A1201" s="4">
        <v>2146</v>
      </c>
      <c r="B1201" s="4">
        <v>15332</v>
      </c>
      <c r="C1201" s="5">
        <f>DATE(2012,12,31)-946</f>
        <v>40328</v>
      </c>
      <c r="D1201" s="4" t="s">
        <v>45</v>
      </c>
      <c r="E1201" s="4">
        <v>6</v>
      </c>
      <c r="F1201" s="4">
        <v>321.70999999999998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8"/>
        <v>40330</v>
      </c>
    </row>
    <row r="1202" spans="1:21" ht="12" customHeight="1">
      <c r="A1202" s="4">
        <v>2199</v>
      </c>
      <c r="B1202" s="4">
        <v>15872</v>
      </c>
      <c r="C1202" s="5">
        <f t="shared" ref="C1202:C1204" si="529">DATE(2012,12,31)-62</f>
        <v>41212</v>
      </c>
      <c r="D1202" s="4" t="s">
        <v>45</v>
      </c>
      <c r="E1202" s="4">
        <v>48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0.56999999999999995</v>
      </c>
      <c r="U1202" s="5">
        <f>C1202+0</f>
        <v>41212</v>
      </c>
    </row>
    <row r="1203" spans="1:21" ht="12" customHeight="1">
      <c r="A1203" s="4">
        <v>2200</v>
      </c>
      <c r="B1203" s="4">
        <v>15872</v>
      </c>
      <c r="C1203" s="5">
        <f t="shared" si="529"/>
        <v>41212</v>
      </c>
      <c r="D1203" s="4" t="s">
        <v>45</v>
      </c>
      <c r="E1203" s="4">
        <v>23</v>
      </c>
      <c r="F1203" s="4">
        <v>188.53</v>
      </c>
      <c r="G1203" s="4">
        <v>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spans="1:21" ht="12" customHeight="1">
      <c r="A1204" s="4">
        <v>2201</v>
      </c>
      <c r="B1204" s="4">
        <v>15872</v>
      </c>
      <c r="C1204" s="5">
        <f t="shared" si="529"/>
        <v>41212</v>
      </c>
      <c r="D1204" s="4" t="s">
        <v>45</v>
      </c>
      <c r="E1204" s="4">
        <v>19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spans="1:21" ht="12" customHeight="1">
      <c r="A1205" s="4">
        <v>2242</v>
      </c>
      <c r="B1205" s="4">
        <v>16165</v>
      </c>
      <c r="C1205" s="5">
        <f t="shared" ref="C1205:C1207" si="530">DATE(2012,12,31)-893</f>
        <v>40381</v>
      </c>
      <c r="D1205" s="4" t="s">
        <v>45</v>
      </c>
      <c r="E1205" s="4">
        <v>4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spans="1:21" ht="12" customHeight="1">
      <c r="A1206" s="4">
        <v>2243</v>
      </c>
      <c r="B1206" s="4">
        <v>16165</v>
      </c>
      <c r="C1206" s="5">
        <f t="shared" si="530"/>
        <v>40381</v>
      </c>
      <c r="D1206" s="4" t="s">
        <v>45</v>
      </c>
      <c r="E1206" s="4">
        <v>24</v>
      </c>
      <c r="F1206" s="4">
        <v>1452.48</v>
      </c>
      <c r="G1206" s="4">
        <v>7.0000000000000007E-2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spans="1:21" ht="12" customHeight="1">
      <c r="A1207" s="4">
        <v>2244</v>
      </c>
      <c r="B1207" s="4">
        <v>16165</v>
      </c>
      <c r="C1207" s="5">
        <f t="shared" si="530"/>
        <v>40381</v>
      </c>
      <c r="D1207" s="4" t="s">
        <v>45</v>
      </c>
      <c r="E1207" s="4">
        <v>19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19.989999999999998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spans="1:21" ht="12" customHeight="1">
      <c r="A1208" s="4">
        <v>2426</v>
      </c>
      <c r="B1208" s="4">
        <v>17632</v>
      </c>
      <c r="C1208" s="5">
        <f>DATE(2012,12,31)-1044</f>
        <v>40230</v>
      </c>
      <c r="D1208" s="4" t="s">
        <v>63</v>
      </c>
      <c r="E1208" s="4">
        <v>38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spans="1:21" ht="12" customHeight="1">
      <c r="A1209" s="4">
        <v>2691</v>
      </c>
      <c r="B1209" s="4">
        <v>19492</v>
      </c>
      <c r="C1209" s="5">
        <f t="shared" ref="C1209:C1210" si="531">DATE(2012,12,31)-750</f>
        <v>40524</v>
      </c>
      <c r="D1209" s="4" t="s">
        <v>30</v>
      </c>
      <c r="E1209" s="4">
        <v>9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19.989999999999998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spans="1:21" ht="12" customHeight="1">
      <c r="A1210" s="4">
        <v>2692</v>
      </c>
      <c r="B1210" s="4">
        <v>19492</v>
      </c>
      <c r="C1210" s="5">
        <f t="shared" si="531"/>
        <v>40524</v>
      </c>
      <c r="D1210" s="4" t="s">
        <v>30</v>
      </c>
      <c r="E1210" s="4">
        <v>33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0.55000000000000004</v>
      </c>
      <c r="U1210" s="5">
        <f t="shared" ref="U1210:U1213" si="532">C1210+1</f>
        <v>40525</v>
      </c>
    </row>
    <row r="1211" spans="1:21" ht="12" customHeight="1">
      <c r="A1211" s="4">
        <v>2786</v>
      </c>
      <c r="B1211" s="4">
        <v>20102</v>
      </c>
      <c r="C1211" s="5">
        <f>DATE(2012,12,31)-575</f>
        <v>40699</v>
      </c>
      <c r="D1211" s="4" t="s">
        <v>30</v>
      </c>
      <c r="E1211" s="4">
        <v>15</v>
      </c>
      <c r="F1211" s="4">
        <v>333.3</v>
      </c>
      <c r="G1211" s="4">
        <v>0.03</v>
      </c>
      <c r="H1211" s="4" t="s">
        <v>22</v>
      </c>
      <c r="I1211" s="6">
        <v>71.040000000000006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2"/>
        <v>40700</v>
      </c>
    </row>
    <row r="1212" spans="1:21" ht="12" customHeight="1">
      <c r="A1212" s="4">
        <v>3050</v>
      </c>
      <c r="B1212" s="4">
        <v>21863</v>
      </c>
      <c r="C1212" s="5">
        <f t="shared" ref="C1212:C1213" si="533">DATE(2012,12,31)-771</f>
        <v>40503</v>
      </c>
      <c r="D1212" s="4" t="s">
        <v>45</v>
      </c>
      <c r="E1212" s="4">
        <v>27</v>
      </c>
      <c r="F1212" s="4">
        <v>85.77</v>
      </c>
      <c r="G1212" s="4">
        <v>0.03</v>
      </c>
      <c r="H1212" s="4" t="s">
        <v>22</v>
      </c>
      <c r="I1212" s="6">
        <v>-102.01649999999999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2"/>
        <v>40504</v>
      </c>
    </row>
    <row r="1213" spans="1:21" ht="12" customHeight="1">
      <c r="A1213" s="4">
        <v>3051</v>
      </c>
      <c r="B1213" s="4">
        <v>21863</v>
      </c>
      <c r="C1213" s="5">
        <f t="shared" si="533"/>
        <v>40503</v>
      </c>
      <c r="D1213" s="4" t="s">
        <v>45</v>
      </c>
      <c r="E1213" s="4">
        <v>13</v>
      </c>
      <c r="F1213" s="4">
        <v>149.31</v>
      </c>
      <c r="G1213" s="4">
        <v>0</v>
      </c>
      <c r="H1213" s="4" t="s">
        <v>22</v>
      </c>
      <c r="I1213" s="6">
        <v>7.7690000000000001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2"/>
        <v>40504</v>
      </c>
    </row>
    <row r="1214" spans="1:21" ht="12" customHeight="1">
      <c r="A1214" s="4">
        <v>3058</v>
      </c>
      <c r="B1214" s="4">
        <v>21894</v>
      </c>
      <c r="C1214" s="5">
        <f>DATE(2012,12,31)-379</f>
        <v>40895</v>
      </c>
      <c r="D1214" s="4" t="s">
        <v>78</v>
      </c>
      <c r="E1214" s="4">
        <v>6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2.0299999999999998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spans="1:21" ht="12" customHeight="1">
      <c r="A1215" s="4">
        <v>3072</v>
      </c>
      <c r="B1215" s="4">
        <v>22022</v>
      </c>
      <c r="C1215" s="5">
        <f>DATE(2012,12,31)-1003</f>
        <v>40271</v>
      </c>
      <c r="D1215" s="4" t="s">
        <v>78</v>
      </c>
      <c r="E1215" s="4">
        <v>1</v>
      </c>
      <c r="F1215" s="4">
        <v>1409.86</v>
      </c>
      <c r="G1215" s="4">
        <v>7.0000000000000007E-2</v>
      </c>
      <c r="H1215" s="4" t="s">
        <v>31</v>
      </c>
      <c r="I1215" s="6">
        <v>-3461.1210000000001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0.56999999999999995</v>
      </c>
      <c r="U1215" s="5">
        <f>C1215+1</f>
        <v>40272</v>
      </c>
    </row>
    <row r="1216" spans="1:21" ht="12" customHeight="1">
      <c r="A1216" s="4">
        <v>3159</v>
      </c>
      <c r="B1216" s="4">
        <v>22663</v>
      </c>
      <c r="C1216" s="5">
        <f t="shared" ref="C1216:C1217" si="534">DATE(2012,12,31)-355</f>
        <v>40919</v>
      </c>
      <c r="D1216" s="4" t="s">
        <v>21</v>
      </c>
      <c r="E1216" s="4">
        <v>35</v>
      </c>
      <c r="F1216" s="4">
        <v>9843.11</v>
      </c>
      <c r="G1216" s="4">
        <v>7.0000000000000007E-2</v>
      </c>
      <c r="H1216" s="4" t="s">
        <v>31</v>
      </c>
      <c r="I1216" s="6">
        <v>-384.6</v>
      </c>
      <c r="J1216" s="4">
        <v>280.98</v>
      </c>
      <c r="K1216" s="4">
        <v>57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spans="1:21" ht="12" customHeight="1">
      <c r="A1217" s="4">
        <v>3160</v>
      </c>
      <c r="B1217" s="4">
        <v>22663</v>
      </c>
      <c r="C1217" s="5">
        <f t="shared" si="534"/>
        <v>40919</v>
      </c>
      <c r="D1217" s="4" t="s">
        <v>21</v>
      </c>
      <c r="E1217" s="4">
        <v>15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spans="1:21" ht="12" customHeight="1">
      <c r="A1218" s="4">
        <v>3317</v>
      </c>
      <c r="B1218" s="4">
        <v>23713</v>
      </c>
      <c r="C1218" s="5">
        <f>DATE(2012,12,31)-33</f>
        <v>41241</v>
      </c>
      <c r="D1218" s="4" t="s">
        <v>45</v>
      </c>
      <c r="E1218" s="4">
        <v>38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0.57999999999999996</v>
      </c>
      <c r="U1218" s="5">
        <f>C1218+3</f>
        <v>41244</v>
      </c>
    </row>
    <row r="1219" spans="1:21" ht="12" customHeight="1">
      <c r="A1219" s="4">
        <v>3415</v>
      </c>
      <c r="B1219" s="4">
        <v>24386</v>
      </c>
      <c r="C1219" s="5">
        <f t="shared" ref="C1219:C1221" si="535">DATE(2012,12,31)-188</f>
        <v>41086</v>
      </c>
      <c r="D1219" s="4" t="s">
        <v>30</v>
      </c>
      <c r="E1219" s="4">
        <v>41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6">C1219+2</f>
        <v>41088</v>
      </c>
    </row>
    <row r="1220" spans="1:21" ht="12" customHeight="1">
      <c r="A1220" s="4">
        <v>3416</v>
      </c>
      <c r="B1220" s="4">
        <v>24386</v>
      </c>
      <c r="C1220" s="5">
        <f t="shared" si="535"/>
        <v>41086</v>
      </c>
      <c r="D1220" s="4" t="s">
        <v>30</v>
      </c>
      <c r="E1220" s="4">
        <v>12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6"/>
        <v>41088</v>
      </c>
    </row>
    <row r="1221" spans="1:21" ht="12" customHeight="1">
      <c r="A1221" s="4">
        <v>3417</v>
      </c>
      <c r="B1221" s="4">
        <v>24386</v>
      </c>
      <c r="C1221" s="5">
        <f t="shared" si="535"/>
        <v>41086</v>
      </c>
      <c r="D1221" s="4" t="s">
        <v>30</v>
      </c>
      <c r="E1221" s="4">
        <v>15</v>
      </c>
      <c r="F1221" s="4">
        <v>76.94</v>
      </c>
      <c r="G1221" s="4">
        <v>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spans="1:21" ht="12" customHeight="1">
      <c r="A1222" s="4">
        <v>3494</v>
      </c>
      <c r="B1222" s="4">
        <v>24899</v>
      </c>
      <c r="C1222" s="5">
        <f>DATE(2012,12,31)-499</f>
        <v>40775</v>
      </c>
      <c r="D1222" s="4" t="s">
        <v>45</v>
      </c>
      <c r="E1222" s="4">
        <v>37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7">C1222+2</f>
        <v>40777</v>
      </c>
    </row>
    <row r="1223" spans="1:21" ht="12" customHeight="1">
      <c r="A1223" s="4">
        <v>3571</v>
      </c>
      <c r="B1223" s="4">
        <v>25473</v>
      </c>
      <c r="C1223" s="5">
        <f t="shared" ref="C1223:C1224" si="538">DATE(2012,12,31)-78</f>
        <v>41196</v>
      </c>
      <c r="D1223" s="4" t="s">
        <v>30</v>
      </c>
      <c r="E1223" s="4">
        <v>36</v>
      </c>
      <c r="F1223" s="4">
        <v>17304.849999999999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7"/>
        <v>41198</v>
      </c>
    </row>
    <row r="1224" spans="1:21" ht="12" customHeight="1">
      <c r="A1224" s="4">
        <v>3572</v>
      </c>
      <c r="B1224" s="4">
        <v>25473</v>
      </c>
      <c r="C1224" s="5">
        <f t="shared" si="538"/>
        <v>41196</v>
      </c>
      <c r="D1224" s="4" t="s">
        <v>30</v>
      </c>
      <c r="E1224" s="4">
        <v>20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spans="1:21" ht="12" customHeight="1">
      <c r="A1225" s="4">
        <v>3659</v>
      </c>
      <c r="B1225" s="4">
        <v>26182</v>
      </c>
      <c r="C1225" s="5">
        <f>DATE(2012,12,31)-1080</f>
        <v>40194</v>
      </c>
      <c r="D1225" s="4" t="s">
        <v>45</v>
      </c>
      <c r="E1225" s="4">
        <v>4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0.57999999999999996</v>
      </c>
      <c r="U1225" s="5">
        <f>C1225+0</f>
        <v>40194</v>
      </c>
    </row>
    <row r="1226" spans="1:21" ht="12" customHeight="1">
      <c r="A1226" s="4">
        <v>3735</v>
      </c>
      <c r="B1226" s="4">
        <v>26691</v>
      </c>
      <c r="C1226" s="5">
        <f>DATE(2012,12,31)-150</f>
        <v>41124</v>
      </c>
      <c r="D1226" s="4" t="s">
        <v>45</v>
      </c>
      <c r="E1226" s="4">
        <v>37</v>
      </c>
      <c r="F1226" s="4">
        <v>270.43</v>
      </c>
      <c r="G1226" s="4">
        <v>7.0000000000000007E-2</v>
      </c>
      <c r="H1226" s="4" t="s">
        <v>22</v>
      </c>
      <c r="I1226" s="6">
        <v>-83.156500000000008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spans="1:21" ht="12" customHeight="1">
      <c r="A1227" s="4">
        <v>3793</v>
      </c>
      <c r="B1227" s="4">
        <v>27015</v>
      </c>
      <c r="C1227" s="5">
        <f>DATE(2012,12,31)-366</f>
        <v>40908</v>
      </c>
      <c r="D1227" s="4" t="s">
        <v>21</v>
      </c>
      <c r="E1227" s="4">
        <v>24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0.56000000000000005</v>
      </c>
      <c r="U1227" s="5">
        <f>C1227+0</f>
        <v>40908</v>
      </c>
    </row>
    <row r="1228" spans="1:21" ht="12" customHeight="1">
      <c r="A1228" s="4">
        <v>4211</v>
      </c>
      <c r="B1228" s="4">
        <v>29927</v>
      </c>
      <c r="C1228" s="5">
        <f>DATE(2012,12,31)-54</f>
        <v>41220</v>
      </c>
      <c r="D1228" s="4" t="s">
        <v>30</v>
      </c>
      <c r="E1228" s="4">
        <v>19</v>
      </c>
      <c r="F1228" s="4">
        <v>257.97000000000003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4.9800000000000004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spans="1:21" ht="12" customHeight="1">
      <c r="A1229" s="4">
        <v>4212</v>
      </c>
      <c r="B1229" s="4">
        <v>29953</v>
      </c>
      <c r="C1229" s="5">
        <f>DATE(2012,12,31)-693</f>
        <v>40581</v>
      </c>
      <c r="D1229" s="4" t="s">
        <v>78</v>
      </c>
      <c r="E1229" s="4">
        <v>42</v>
      </c>
      <c r="F1229" s="4">
        <v>619.77</v>
      </c>
      <c r="G1229" s="4">
        <v>0.02</v>
      </c>
      <c r="H1229" s="4" t="s">
        <v>22</v>
      </c>
      <c r="I1229" s="6">
        <v>50.243499999999997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spans="1:21" ht="12" customHeight="1">
      <c r="A1230" s="4">
        <v>4387</v>
      </c>
      <c r="B1230" s="4">
        <v>31238</v>
      </c>
      <c r="C1230" s="5">
        <f>DATE(2012,12,31)-862</f>
        <v>40412</v>
      </c>
      <c r="D1230" s="4" t="s">
        <v>63</v>
      </c>
      <c r="E1230" s="4">
        <v>21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19.989999999999998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0.56999999999999995</v>
      </c>
      <c r="U1230" s="5">
        <f>C1230+2</f>
        <v>40414</v>
      </c>
    </row>
    <row r="1231" spans="1:21" ht="12" customHeight="1">
      <c r="A1231" s="4">
        <v>4505</v>
      </c>
      <c r="B1231" s="4">
        <v>32067</v>
      </c>
      <c r="C1231" s="5">
        <f>DATE(2012,12,31)-294</f>
        <v>40980</v>
      </c>
      <c r="D1231" s="4" t="s">
        <v>30</v>
      </c>
      <c r="E1231" s="4">
        <v>27</v>
      </c>
      <c r="F1231" s="4">
        <v>2853.8834999999999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0.57999999999999996</v>
      </c>
      <c r="U1231" s="5">
        <f>C1231+1</f>
        <v>40981</v>
      </c>
    </row>
    <row r="1232" spans="1:21" ht="12" customHeight="1">
      <c r="A1232" s="4">
        <v>4527</v>
      </c>
      <c r="B1232" s="4">
        <v>32198</v>
      </c>
      <c r="C1232" s="5">
        <f>DATE(2012,12,31)-418</f>
        <v>40856</v>
      </c>
      <c r="D1232" s="4" t="s">
        <v>63</v>
      </c>
      <c r="E1232" s="4">
        <v>31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spans="1:21" ht="12" customHeight="1">
      <c r="A1233" s="4">
        <v>4535</v>
      </c>
      <c r="B1233" s="4">
        <v>32231</v>
      </c>
      <c r="C1233" s="5">
        <f>DATE(2012,12,31)-60</f>
        <v>41214</v>
      </c>
      <c r="D1233" s="4" t="s">
        <v>21</v>
      </c>
      <c r="E1233" s="4">
        <v>44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spans="1:21" ht="12" customHeight="1">
      <c r="A1234" s="4">
        <v>4563</v>
      </c>
      <c r="B1234" s="4">
        <v>32452</v>
      </c>
      <c r="C1234" s="5">
        <f>DATE(2012,12,31)-532</f>
        <v>40742</v>
      </c>
      <c r="D1234" s="4" t="s">
        <v>63</v>
      </c>
      <c r="E1234" s="4">
        <v>3</v>
      </c>
      <c r="F1234" s="4">
        <v>8.6</v>
      </c>
      <c r="G1234" s="4">
        <v>0.09</v>
      </c>
      <c r="H1234" s="4" t="s">
        <v>22</v>
      </c>
      <c r="I1234" s="6">
        <v>-2.0299999999999998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39">C1234+1</f>
        <v>40743</v>
      </c>
    </row>
    <row r="1235" spans="1:21" ht="12" customHeight="1">
      <c r="A1235" s="4">
        <v>4637</v>
      </c>
      <c r="B1235" s="4">
        <v>32998</v>
      </c>
      <c r="C1235" s="5">
        <f>DATE(2012,12,31)-824</f>
        <v>40450</v>
      </c>
      <c r="D1235" s="4" t="s">
        <v>45</v>
      </c>
      <c r="E1235" s="4">
        <v>13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130.97999999999999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39"/>
        <v>40451</v>
      </c>
    </row>
    <row r="1236" spans="1:21" ht="12" customHeight="1">
      <c r="A1236" s="4">
        <v>4647</v>
      </c>
      <c r="B1236" s="4">
        <v>33091</v>
      </c>
      <c r="C1236" s="5">
        <f>DATE(2012,12,31)-706</f>
        <v>40568</v>
      </c>
      <c r="D1236" s="4" t="s">
        <v>30</v>
      </c>
      <c r="E1236" s="4">
        <v>24</v>
      </c>
      <c r="F1236" s="4">
        <v>265.35000000000002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spans="1:21" ht="12" customHeight="1">
      <c r="A1237" s="4">
        <v>4689</v>
      </c>
      <c r="B1237" s="4">
        <v>33378</v>
      </c>
      <c r="C1237" s="5">
        <f>DATE(2012,12,31)-248</f>
        <v>41026</v>
      </c>
      <c r="D1237" s="4" t="s">
        <v>30</v>
      </c>
      <c r="E1237" s="4">
        <v>25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39.979999999999997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spans="1:21" ht="12" customHeight="1">
      <c r="A1238" s="4">
        <v>4766</v>
      </c>
      <c r="B1238" s="4">
        <v>33889</v>
      </c>
      <c r="C1238" s="5">
        <f t="shared" ref="C1238:C1241" si="540">DATE(2012,12,31)-786</f>
        <v>40488</v>
      </c>
      <c r="D1238" s="4" t="s">
        <v>21</v>
      </c>
      <c r="E1238" s="4">
        <v>46</v>
      </c>
      <c r="F1238" s="4">
        <v>9046.33</v>
      </c>
      <c r="G1238" s="4">
        <v>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0.56999999999999995</v>
      </c>
      <c r="U1238" s="5">
        <f>C1238+5</f>
        <v>40493</v>
      </c>
    </row>
    <row r="1239" spans="1:21" ht="12" customHeight="1">
      <c r="A1239" s="4">
        <v>4767</v>
      </c>
      <c r="B1239" s="4">
        <v>33889</v>
      </c>
      <c r="C1239" s="5">
        <f t="shared" si="540"/>
        <v>40488</v>
      </c>
      <c r="D1239" s="4" t="s">
        <v>21</v>
      </c>
      <c r="E1239" s="4">
        <v>43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0.57999999999999996</v>
      </c>
      <c r="U1239" s="5">
        <f>C1239+7</f>
        <v>40495</v>
      </c>
    </row>
    <row r="1240" spans="1:21" ht="12" customHeight="1">
      <c r="A1240" s="4">
        <v>4768</v>
      </c>
      <c r="B1240" s="4">
        <v>33889</v>
      </c>
      <c r="C1240" s="5">
        <f t="shared" si="540"/>
        <v>40488</v>
      </c>
      <c r="D1240" s="4" t="s">
        <v>21</v>
      </c>
      <c r="E1240" s="4">
        <v>27</v>
      </c>
      <c r="F1240" s="4">
        <v>159.05000000000001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spans="1:21" ht="12" customHeight="1">
      <c r="A1241" s="4">
        <v>4769</v>
      </c>
      <c r="B1241" s="4">
        <v>33889</v>
      </c>
      <c r="C1241" s="5">
        <f t="shared" si="540"/>
        <v>40488</v>
      </c>
      <c r="D1241" s="4" t="s">
        <v>21</v>
      </c>
      <c r="E1241" s="4">
        <v>39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spans="1:21" ht="12" customHeight="1">
      <c r="A1242" s="4">
        <v>5078</v>
      </c>
      <c r="B1242" s="4">
        <v>36163</v>
      </c>
      <c r="C1242" s="5">
        <f>DATE(2012,12,31)-56</f>
        <v>41218</v>
      </c>
      <c r="D1242" s="4" t="s">
        <v>21</v>
      </c>
      <c r="E1242" s="4">
        <v>32</v>
      </c>
      <c r="F1242" s="4">
        <v>463</v>
      </c>
      <c r="G1242" s="4">
        <v>7.0000000000000007E-2</v>
      </c>
      <c r="H1242" s="4" t="s">
        <v>22</v>
      </c>
      <c r="I1242" s="6">
        <v>24.607500000000002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1">C1242+0</f>
        <v>41218</v>
      </c>
    </row>
    <row r="1243" spans="1:21" ht="12" customHeight="1">
      <c r="A1243" s="4">
        <v>5114</v>
      </c>
      <c r="B1243" s="4">
        <v>36449</v>
      </c>
      <c r="C1243" s="5">
        <f>DATE(2012,12,31)-848</f>
        <v>40426</v>
      </c>
      <c r="D1243" s="4" t="s">
        <v>45</v>
      </c>
      <c r="E1243" s="4">
        <v>6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1"/>
        <v>40426</v>
      </c>
    </row>
    <row r="1244" spans="1:21" ht="12" customHeight="1">
      <c r="A1244" s="4">
        <v>5144</v>
      </c>
      <c r="B1244" s="4">
        <v>36675</v>
      </c>
      <c r="C1244" s="5">
        <f>DATE(2012,12,31)-547</f>
        <v>40727</v>
      </c>
      <c r="D1244" s="4" t="s">
        <v>30</v>
      </c>
      <c r="E1244" s="4">
        <v>39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spans="1:21" ht="12" customHeight="1">
      <c r="A1245" s="4">
        <v>5450</v>
      </c>
      <c r="B1245" s="4">
        <v>38693</v>
      </c>
      <c r="C1245" s="5">
        <f>DATE(2012,12,31)-566</f>
        <v>40708</v>
      </c>
      <c r="D1245" s="4" t="s">
        <v>21</v>
      </c>
      <c r="E1245" s="4">
        <v>3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2">C1245+7</f>
        <v>40715</v>
      </c>
    </row>
    <row r="1246" spans="1:21" ht="12" customHeight="1">
      <c r="A1246" s="4">
        <v>5483</v>
      </c>
      <c r="B1246" s="4">
        <v>38917</v>
      </c>
      <c r="C1246" s="5">
        <f>DATE(2012,12,31)-771</f>
        <v>40503</v>
      </c>
      <c r="D1246" s="4" t="s">
        <v>21</v>
      </c>
      <c r="E1246" s="4">
        <v>11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65.989999999999995</v>
      </c>
      <c r="K1246" s="4">
        <v>8.8000000000000007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0.57999999999999996</v>
      </c>
      <c r="U1246" s="5">
        <f t="shared" si="542"/>
        <v>40510</v>
      </c>
    </row>
    <row r="1247" spans="1:21" ht="12" customHeight="1">
      <c r="A1247" s="4">
        <v>5539</v>
      </c>
      <c r="B1247" s="4">
        <v>39265</v>
      </c>
      <c r="C1247" s="5">
        <f>DATE(2012,12,31)-969</f>
        <v>40305</v>
      </c>
      <c r="D1247" s="4" t="s">
        <v>78</v>
      </c>
      <c r="E1247" s="4">
        <v>47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0.56000000000000005</v>
      </c>
      <c r="U1247" s="5">
        <f t="shared" ref="U1247:U1249" si="543">C1247+1</f>
        <v>40306</v>
      </c>
    </row>
    <row r="1248" spans="1:21" ht="12" customHeight="1">
      <c r="A1248" s="4">
        <v>5770</v>
      </c>
      <c r="B1248" s="4">
        <v>40962</v>
      </c>
      <c r="C1248" s="5">
        <f t="shared" ref="C1248:C1249" si="544">DATE(2012,12,31)-680</f>
        <v>40594</v>
      </c>
      <c r="D1248" s="4" t="s">
        <v>78</v>
      </c>
      <c r="E1248" s="4">
        <v>28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0.56999999999999995</v>
      </c>
      <c r="U1248" s="5">
        <f t="shared" si="543"/>
        <v>40595</v>
      </c>
    </row>
    <row r="1249" spans="1:21" ht="12" customHeight="1">
      <c r="A1249" s="4">
        <v>5771</v>
      </c>
      <c r="B1249" s="4">
        <v>40962</v>
      </c>
      <c r="C1249" s="5">
        <f t="shared" si="544"/>
        <v>40594</v>
      </c>
      <c r="D1249" s="4" t="s">
        <v>78</v>
      </c>
      <c r="E1249" s="4">
        <v>30</v>
      </c>
      <c r="F1249" s="4">
        <v>3276.9964999999997</v>
      </c>
      <c r="G1249" s="4">
        <v>0</v>
      </c>
      <c r="H1249" s="4" t="s">
        <v>22</v>
      </c>
      <c r="I1249" s="6">
        <v>653.05799999999999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3"/>
        <v>40595</v>
      </c>
    </row>
    <row r="1250" spans="1:21" ht="12" customHeight="1">
      <c r="A1250" s="4">
        <v>5786</v>
      </c>
      <c r="B1250" s="4">
        <v>41059</v>
      </c>
      <c r="C1250" s="5">
        <f t="shared" ref="C1250:C1253" si="545">DATE(2012,12,31)-839</f>
        <v>40435</v>
      </c>
      <c r="D1250" s="4" t="s">
        <v>63</v>
      </c>
      <c r="E1250" s="4">
        <v>26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spans="1:21" ht="12" customHeight="1">
      <c r="A1251" s="4">
        <v>5787</v>
      </c>
      <c r="B1251" s="4">
        <v>41059</v>
      </c>
      <c r="C1251" s="5">
        <f t="shared" si="545"/>
        <v>40435</v>
      </c>
      <c r="D1251" s="4" t="s">
        <v>63</v>
      </c>
      <c r="E1251" s="4">
        <v>45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spans="1:21" ht="12" customHeight="1">
      <c r="A1252" s="4">
        <v>5788</v>
      </c>
      <c r="B1252" s="4">
        <v>41059</v>
      </c>
      <c r="C1252" s="5">
        <f t="shared" si="545"/>
        <v>40435</v>
      </c>
      <c r="D1252" s="4" t="s">
        <v>63</v>
      </c>
      <c r="E1252" s="4">
        <v>21</v>
      </c>
      <c r="F1252" s="4">
        <v>128.86000000000001</v>
      </c>
      <c r="G1252" s="4">
        <v>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0.55000000000000004</v>
      </c>
      <c r="U1252" s="5">
        <f>C1252+2</f>
        <v>40437</v>
      </c>
    </row>
    <row r="1253" spans="1:21" ht="12" customHeight="1">
      <c r="A1253" s="4">
        <v>5789</v>
      </c>
      <c r="B1253" s="4">
        <v>41059</v>
      </c>
      <c r="C1253" s="5">
        <f t="shared" si="545"/>
        <v>40435</v>
      </c>
      <c r="D1253" s="4" t="s">
        <v>63</v>
      </c>
      <c r="E1253" s="4">
        <v>45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spans="1:21" ht="12" customHeight="1">
      <c r="A1254" s="4">
        <v>5872</v>
      </c>
      <c r="B1254" s="4">
        <v>41664</v>
      </c>
      <c r="C1254" s="5">
        <f t="shared" ref="C1254:C1255" si="546">DATE(2012,12,31)-393</f>
        <v>40881</v>
      </c>
      <c r="D1254" s="4" t="s">
        <v>78</v>
      </c>
      <c r="E1254" s="4">
        <v>5</v>
      </c>
      <c r="F1254" s="4">
        <v>54.8</v>
      </c>
      <c r="G1254" s="4">
        <v>0</v>
      </c>
      <c r="H1254" s="4" t="s">
        <v>22</v>
      </c>
      <c r="I1254" s="6">
        <v>-15.3</v>
      </c>
      <c r="J1254" s="4">
        <v>9.7799999999999994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spans="1:21" ht="12" customHeight="1">
      <c r="A1255" s="4">
        <v>5873</v>
      </c>
      <c r="B1255" s="4">
        <v>41664</v>
      </c>
      <c r="C1255" s="5">
        <f t="shared" si="546"/>
        <v>40881</v>
      </c>
      <c r="D1255" s="4" t="s">
        <v>78</v>
      </c>
      <c r="E1255" s="4">
        <v>40</v>
      </c>
      <c r="F1255" s="4">
        <v>1038.19</v>
      </c>
      <c r="G1255" s="4">
        <v>7.0000000000000007E-2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0.56999999999999995</v>
      </c>
      <c r="U1255" s="5">
        <f t="shared" ref="U1255:U1257" si="547">C1255+2</f>
        <v>40883</v>
      </c>
    </row>
    <row r="1256" spans="1:21" ht="12" customHeight="1">
      <c r="A1256" s="4">
        <v>6012</v>
      </c>
      <c r="B1256" s="4">
        <v>42596</v>
      </c>
      <c r="C1256" s="5">
        <f>DATE(2012,12,31)-139</f>
        <v>41135</v>
      </c>
      <c r="D1256" s="4" t="s">
        <v>63</v>
      </c>
      <c r="E1256" s="4">
        <v>9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7"/>
        <v>41137</v>
      </c>
    </row>
    <row r="1257" spans="1:21" ht="12" customHeight="1">
      <c r="A1257" s="4">
        <v>6135</v>
      </c>
      <c r="B1257" s="4">
        <v>43424</v>
      </c>
      <c r="C1257" s="5">
        <f>DATE(2012,12,31)-501</f>
        <v>40773</v>
      </c>
      <c r="D1257" s="4" t="s">
        <v>45</v>
      </c>
      <c r="E1257" s="4">
        <v>34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0.55000000000000004</v>
      </c>
      <c r="U1257" s="5">
        <f t="shared" si="547"/>
        <v>40775</v>
      </c>
    </row>
    <row r="1258" spans="1:21" ht="12" customHeight="1">
      <c r="A1258" s="4">
        <v>6179</v>
      </c>
      <c r="B1258" s="4">
        <v>43808</v>
      </c>
      <c r="C1258" s="5">
        <f>DATE(2012,12,31)-725</f>
        <v>40549</v>
      </c>
      <c r="D1258" s="4" t="s">
        <v>21</v>
      </c>
      <c r="E1258" s="4">
        <v>16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spans="1:21" ht="12" customHeight="1">
      <c r="A1259" s="4">
        <v>6470</v>
      </c>
      <c r="B1259" s="4">
        <v>46050</v>
      </c>
      <c r="C1259" s="5">
        <f>DATE(2012,12,31)-1092</f>
        <v>40182</v>
      </c>
      <c r="D1259" s="4" t="s">
        <v>30</v>
      </c>
      <c r="E1259" s="4">
        <v>3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289.52999999999997</v>
      </c>
      <c r="K1259" s="4">
        <v>19.989999999999998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0.56000000000000005</v>
      </c>
      <c r="U1259" s="5">
        <f>C1259+3</f>
        <v>40185</v>
      </c>
    </row>
    <row r="1260" spans="1:21" ht="12" customHeight="1">
      <c r="A1260" s="4">
        <v>6479</v>
      </c>
      <c r="B1260" s="4">
        <v>46117</v>
      </c>
      <c r="C1260" s="5">
        <f>DATE(2012,12,31)-589</f>
        <v>40685</v>
      </c>
      <c r="D1260" s="4" t="s">
        <v>21</v>
      </c>
      <c r="E1260" s="4">
        <v>22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0.56000000000000005</v>
      </c>
      <c r="U1260" s="5">
        <f>C1260+4</f>
        <v>40689</v>
      </c>
    </row>
    <row r="1261" spans="1:21" ht="12" customHeight="1">
      <c r="A1261" s="4">
        <v>6494</v>
      </c>
      <c r="B1261" s="4">
        <v>46243</v>
      </c>
      <c r="C1261" s="5">
        <f t="shared" ref="C1261:C1263" si="548">DATE(2012,12,31)-342</f>
        <v>40932</v>
      </c>
      <c r="D1261" s="4" t="s">
        <v>21</v>
      </c>
      <c r="E1261" s="4">
        <v>31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9.0299999999999994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spans="1:21" ht="12" customHeight="1">
      <c r="A1262" s="4">
        <v>6495</v>
      </c>
      <c r="B1262" s="4">
        <v>46243</v>
      </c>
      <c r="C1262" s="5">
        <f t="shared" si="548"/>
        <v>40932</v>
      </c>
      <c r="D1262" s="4" t="s">
        <v>21</v>
      </c>
      <c r="E1262" s="4">
        <v>1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0.56000000000000005</v>
      </c>
      <c r="U1262" s="5">
        <f>C1262+5</f>
        <v>40937</v>
      </c>
    </row>
    <row r="1263" spans="1:21" ht="12" customHeight="1">
      <c r="A1263" s="4">
        <v>6496</v>
      </c>
      <c r="B1263" s="4">
        <v>46243</v>
      </c>
      <c r="C1263" s="5">
        <f t="shared" si="548"/>
        <v>40932</v>
      </c>
      <c r="D1263" s="4" t="s">
        <v>21</v>
      </c>
      <c r="E1263" s="4">
        <v>31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spans="1:21" ht="12" customHeight="1">
      <c r="A1264" s="4">
        <v>6504</v>
      </c>
      <c r="B1264" s="4">
        <v>46310</v>
      </c>
      <c r="C1264" s="5">
        <f t="shared" ref="C1264:C1266" si="549">DATE(2012,12,31)-894</f>
        <v>40380</v>
      </c>
      <c r="D1264" s="4" t="s">
        <v>30</v>
      </c>
      <c r="E1264" s="4">
        <v>29</v>
      </c>
      <c r="F1264" s="4">
        <v>1935.25</v>
      </c>
      <c r="G1264" s="4">
        <v>0.04</v>
      </c>
      <c r="H1264" s="4" t="s">
        <v>22</v>
      </c>
      <c r="I1264" s="6">
        <v>652.18799999999999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0">C1264+1</f>
        <v>40381</v>
      </c>
    </row>
    <row r="1265" spans="1:21" ht="12" customHeight="1">
      <c r="A1265" s="4">
        <v>6505</v>
      </c>
      <c r="B1265" s="4">
        <v>46310</v>
      </c>
      <c r="C1265" s="5">
        <f t="shared" si="549"/>
        <v>40380</v>
      </c>
      <c r="D1265" s="4" t="s">
        <v>30</v>
      </c>
      <c r="E1265" s="4">
        <v>13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0"/>
        <v>40381</v>
      </c>
    </row>
    <row r="1266" spans="1:21" ht="12" customHeight="1">
      <c r="A1266" s="4">
        <v>6506</v>
      </c>
      <c r="B1266" s="4">
        <v>46310</v>
      </c>
      <c r="C1266" s="5">
        <f t="shared" si="549"/>
        <v>40380</v>
      </c>
      <c r="D1266" s="4" t="s">
        <v>30</v>
      </c>
      <c r="E1266" s="4">
        <v>42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19.989999999999998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spans="1:21" ht="12" customHeight="1">
      <c r="A1267" s="4">
        <v>6537</v>
      </c>
      <c r="B1267" s="4">
        <v>46503</v>
      </c>
      <c r="C1267" s="5">
        <f>DATE(2012,12,31)-421</f>
        <v>40853</v>
      </c>
      <c r="D1267" s="4" t="s">
        <v>45</v>
      </c>
      <c r="E1267" s="4">
        <v>26</v>
      </c>
      <c r="F1267" s="4">
        <v>1196.7915</v>
      </c>
      <c r="G1267" s="4">
        <v>7.0000000000000007E-2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0.55000000000000004</v>
      </c>
      <c r="U1267" s="5">
        <f>C1267+3</f>
        <v>40856</v>
      </c>
    </row>
    <row r="1268" spans="1:21" ht="12" customHeight="1">
      <c r="A1268" s="4">
        <v>6572</v>
      </c>
      <c r="B1268" s="4">
        <v>46726</v>
      </c>
      <c r="C1268" s="5">
        <f t="shared" ref="C1268:C1269" si="551">DATE(2012,12,31)-179</f>
        <v>41095</v>
      </c>
      <c r="D1268" s="4" t="s">
        <v>45</v>
      </c>
      <c r="E1268" s="4">
        <v>46</v>
      </c>
      <c r="F1268" s="4">
        <v>325.97000000000003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8.3699999999999992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0.57999999999999996</v>
      </c>
      <c r="U1268" s="5">
        <f>C1268+0</f>
        <v>41095</v>
      </c>
    </row>
    <row r="1269" spans="1:21" ht="12" customHeight="1">
      <c r="A1269" s="4">
        <v>6573</v>
      </c>
      <c r="B1269" s="4">
        <v>46726</v>
      </c>
      <c r="C1269" s="5">
        <f t="shared" si="551"/>
        <v>41095</v>
      </c>
      <c r="D1269" s="4" t="s">
        <v>45</v>
      </c>
      <c r="E1269" s="4">
        <v>10</v>
      </c>
      <c r="F1269" s="4">
        <v>49.65</v>
      </c>
      <c r="G1269" s="4">
        <v>0.02</v>
      </c>
      <c r="H1269" s="4" t="s">
        <v>22</v>
      </c>
      <c r="I1269" s="6">
        <v>8.2705000000000002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spans="1:21" ht="12" customHeight="1">
      <c r="A1270" s="4">
        <v>6613</v>
      </c>
      <c r="B1270" s="4">
        <v>47042</v>
      </c>
      <c r="C1270" s="5">
        <f>DATE(2012,12,31)-304</f>
        <v>40970</v>
      </c>
      <c r="D1270" s="4" t="s">
        <v>78</v>
      </c>
      <c r="E1270" s="4">
        <v>45</v>
      </c>
      <c r="F1270" s="4">
        <v>1375.3764999999999</v>
      </c>
      <c r="G1270" s="4">
        <v>0.03</v>
      </c>
      <c r="H1270" s="4" t="s">
        <v>22</v>
      </c>
      <c r="I1270" s="6">
        <v>592.21799999999996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spans="1:21" ht="12" customHeight="1">
      <c r="A1271" s="4">
        <v>6635</v>
      </c>
      <c r="B1271" s="4">
        <v>47174</v>
      </c>
      <c r="C1271" s="5">
        <f>DATE(2012,12,31)-472</f>
        <v>40802</v>
      </c>
      <c r="D1271" s="4" t="s">
        <v>78</v>
      </c>
      <c r="E1271" s="4">
        <v>42</v>
      </c>
      <c r="F1271" s="4">
        <v>642.1</v>
      </c>
      <c r="G1271" s="4">
        <v>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spans="1:21" ht="12" customHeight="1">
      <c r="A1272" s="4">
        <v>6760</v>
      </c>
      <c r="B1272" s="4">
        <v>48164</v>
      </c>
      <c r="C1272" s="5">
        <f>DATE(2012,12,31)-429</f>
        <v>40845</v>
      </c>
      <c r="D1272" s="4" t="s">
        <v>30</v>
      </c>
      <c r="E1272" s="4">
        <v>33</v>
      </c>
      <c r="F1272" s="4">
        <v>94.39</v>
      </c>
      <c r="G1272" s="4">
        <v>7.0000000000000007E-2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0.56000000000000005</v>
      </c>
      <c r="U1272" s="5">
        <f>C1272+2</f>
        <v>40847</v>
      </c>
    </row>
    <row r="1273" spans="1:21" ht="12" customHeight="1">
      <c r="A1273" s="4">
        <v>6896</v>
      </c>
      <c r="B1273" s="4">
        <v>49189</v>
      </c>
      <c r="C1273" s="5">
        <f>DATE(2012,12,31)-716</f>
        <v>40558</v>
      </c>
      <c r="D1273" s="4" t="s">
        <v>78</v>
      </c>
      <c r="E1273" s="4">
        <v>32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spans="1:21" ht="12" customHeight="1">
      <c r="A1274" s="4">
        <v>6997</v>
      </c>
      <c r="B1274" s="4">
        <v>49986</v>
      </c>
      <c r="C1274" s="5">
        <f>DATE(2012,12,31)-809</f>
        <v>40465</v>
      </c>
      <c r="D1274" s="4" t="s">
        <v>78</v>
      </c>
      <c r="E1274" s="4">
        <v>39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2">C1274+2</f>
        <v>40467</v>
      </c>
    </row>
    <row r="1275" spans="1:21" ht="12" customHeight="1">
      <c r="A1275" s="4">
        <v>7086</v>
      </c>
      <c r="B1275" s="4">
        <v>50564</v>
      </c>
      <c r="C1275" s="5">
        <f>DATE(2012,12,31)-304</f>
        <v>40970</v>
      </c>
      <c r="D1275" s="4" t="s">
        <v>30</v>
      </c>
      <c r="E1275" s="4">
        <v>30</v>
      </c>
      <c r="F1275" s="4">
        <v>11041.42</v>
      </c>
      <c r="G1275" s="4">
        <v>7.0000000000000007E-2</v>
      </c>
      <c r="H1275" s="4" t="s">
        <v>22</v>
      </c>
      <c r="I1275" s="6">
        <v>4456.2524999999996</v>
      </c>
      <c r="J1275" s="4">
        <v>387.99</v>
      </c>
      <c r="K1275" s="4">
        <v>19.989999999999998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2"/>
        <v>40972</v>
      </c>
    </row>
    <row r="1276" spans="1:21" ht="12" customHeight="1">
      <c r="A1276" s="4">
        <v>7139</v>
      </c>
      <c r="B1276" s="4">
        <v>50949</v>
      </c>
      <c r="C1276" s="5">
        <f t="shared" ref="C1276:C1277" si="553">DATE(2012,12,31)-696</f>
        <v>40578</v>
      </c>
      <c r="D1276" s="4" t="s">
        <v>63</v>
      </c>
      <c r="E1276" s="4">
        <v>32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2.1800000000000002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spans="1:21" ht="12" customHeight="1">
      <c r="A1277" s="4">
        <v>7140</v>
      </c>
      <c r="B1277" s="4">
        <v>50949</v>
      </c>
      <c r="C1277" s="5">
        <f t="shared" si="553"/>
        <v>40578</v>
      </c>
      <c r="D1277" s="4" t="s">
        <v>63</v>
      </c>
      <c r="E1277" s="4">
        <v>46</v>
      </c>
      <c r="F1277" s="4">
        <v>4804.0385000000006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8.8000000000000007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4">C1277+2</f>
        <v>40580</v>
      </c>
    </row>
    <row r="1278" spans="1:21" ht="12" customHeight="1">
      <c r="A1278" s="4">
        <v>7198</v>
      </c>
      <c r="B1278" s="4">
        <v>51361</v>
      </c>
      <c r="C1278" s="5">
        <f t="shared" ref="C1278:C1279" si="555">DATE(2012,12,31)-654</f>
        <v>40620</v>
      </c>
      <c r="D1278" s="4" t="s">
        <v>21</v>
      </c>
      <c r="E1278" s="4">
        <v>14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4"/>
        <v>40622</v>
      </c>
    </row>
    <row r="1279" spans="1:21" ht="12" customHeight="1">
      <c r="A1279" s="4">
        <v>7199</v>
      </c>
      <c r="B1279" s="4">
        <v>51361</v>
      </c>
      <c r="C1279" s="5">
        <f t="shared" si="555"/>
        <v>40620</v>
      </c>
      <c r="D1279" s="4" t="s">
        <v>78</v>
      </c>
      <c r="E1279" s="4">
        <v>50</v>
      </c>
      <c r="F1279" s="4">
        <v>18056.68</v>
      </c>
      <c r="G1279" s="4">
        <v>0</v>
      </c>
      <c r="H1279" s="4" t="s">
        <v>31</v>
      </c>
      <c r="I1279" s="6">
        <v>-6474.6540000000005</v>
      </c>
      <c r="J1279" s="4">
        <v>349.45</v>
      </c>
      <c r="K1279" s="4">
        <v>60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spans="1:21" ht="12" customHeight="1">
      <c r="A1280" s="4">
        <v>7258</v>
      </c>
      <c r="B1280" s="4">
        <v>51780</v>
      </c>
      <c r="C1280" s="5">
        <f>DATE(2012,12,31)-891</f>
        <v>40383</v>
      </c>
      <c r="D1280" s="4" t="s">
        <v>21</v>
      </c>
      <c r="E1280" s="4">
        <v>42</v>
      </c>
      <c r="F1280" s="4">
        <v>372.69</v>
      </c>
      <c r="G1280" s="4">
        <v>0.01</v>
      </c>
      <c r="H1280" s="4" t="s">
        <v>56</v>
      </c>
      <c r="I1280" s="6">
        <v>-177.03100000000001</v>
      </c>
      <c r="J1280" s="4">
        <v>8.0399999999999991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spans="1:21" ht="12" customHeight="1">
      <c r="A1281" s="4">
        <v>7278</v>
      </c>
      <c r="B1281" s="4">
        <v>51940</v>
      </c>
      <c r="C1281" s="5">
        <f>DATE(2012,12,31)-75</f>
        <v>41199</v>
      </c>
      <c r="D1281" s="4" t="s">
        <v>30</v>
      </c>
      <c r="E1281" s="4">
        <v>11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spans="1:21" ht="12" customHeight="1">
      <c r="A1282" s="4">
        <v>7305</v>
      </c>
      <c r="B1282" s="4">
        <v>52071</v>
      </c>
      <c r="C1282" s="5">
        <f t="shared" ref="C1282:C1283" si="556">DATE(2012,12,31)-400</f>
        <v>40874</v>
      </c>
      <c r="D1282" s="4" t="s">
        <v>45</v>
      </c>
      <c r="E1282" s="4">
        <v>14</v>
      </c>
      <c r="F1282" s="4">
        <v>136.85</v>
      </c>
      <c r="G1282" s="4">
        <v>0.01</v>
      </c>
      <c r="H1282" s="4" t="s">
        <v>22</v>
      </c>
      <c r="I1282" s="6">
        <v>-4.4275000000000002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7">C1282+2</f>
        <v>40876</v>
      </c>
    </row>
    <row r="1283" spans="1:21" ht="12" customHeight="1">
      <c r="A1283" s="4">
        <v>7306</v>
      </c>
      <c r="B1283" s="4">
        <v>52071</v>
      </c>
      <c r="C1283" s="5">
        <f t="shared" si="556"/>
        <v>40874</v>
      </c>
      <c r="D1283" s="4" t="s">
        <v>45</v>
      </c>
      <c r="E1283" s="4">
        <v>1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7"/>
        <v>40876</v>
      </c>
    </row>
    <row r="1284" spans="1:21" ht="12" customHeight="1">
      <c r="A1284" s="4">
        <v>7573</v>
      </c>
      <c r="B1284" s="4">
        <v>54177</v>
      </c>
      <c r="C1284" s="5">
        <f t="shared" ref="C1284:C1285" si="558">DATE(2012,12,31)-341</f>
        <v>40933</v>
      </c>
      <c r="D1284" s="4" t="s">
        <v>78</v>
      </c>
      <c r="E1284" s="4">
        <v>12</v>
      </c>
      <c r="F1284" s="4">
        <v>480.73</v>
      </c>
      <c r="G1284" s="4">
        <v>0.1</v>
      </c>
      <c r="H1284" s="4" t="s">
        <v>22</v>
      </c>
      <c r="I1284" s="6">
        <v>148.19749999999999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spans="1:21" ht="12" customHeight="1">
      <c r="A1285" s="4">
        <v>7574</v>
      </c>
      <c r="B1285" s="4">
        <v>54177</v>
      </c>
      <c r="C1285" s="5">
        <f t="shared" si="558"/>
        <v>40933</v>
      </c>
      <c r="D1285" s="4" t="s">
        <v>78</v>
      </c>
      <c r="E1285" s="4">
        <v>25</v>
      </c>
      <c r="F1285" s="4">
        <v>159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spans="1:21" ht="12" customHeight="1">
      <c r="A1286" s="4">
        <v>7688</v>
      </c>
      <c r="B1286" s="4">
        <v>55107</v>
      </c>
      <c r="C1286" s="5">
        <f>DATE(2012,12,31)-968</f>
        <v>40306</v>
      </c>
      <c r="D1286" s="4" t="s">
        <v>21</v>
      </c>
      <c r="E1286" s="4">
        <v>32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spans="1:21" ht="12" customHeight="1">
      <c r="A1287" s="4">
        <v>7760</v>
      </c>
      <c r="B1287" s="4">
        <v>55526</v>
      </c>
      <c r="C1287" s="5">
        <f>DATE(2012,12,31)-182</f>
        <v>41092</v>
      </c>
      <c r="D1287" s="4" t="s">
        <v>30</v>
      </c>
      <c r="E1287" s="4">
        <v>23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9.0299999999999994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spans="1:21" ht="12" customHeight="1">
      <c r="A1288" s="4">
        <v>7829</v>
      </c>
      <c r="B1288" s="4">
        <v>55969</v>
      </c>
      <c r="C1288" s="5">
        <f>DATE(2012,12,31)-819</f>
        <v>40455</v>
      </c>
      <c r="D1288" s="4" t="s">
        <v>63</v>
      </c>
      <c r="E1288" s="4">
        <v>37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spans="1:21" ht="12" customHeight="1">
      <c r="A1289" s="4">
        <v>8065</v>
      </c>
      <c r="B1289" s="4">
        <v>57538</v>
      </c>
      <c r="C1289" s="5">
        <f>DATE(2012,12,31)-1045</f>
        <v>40229</v>
      </c>
      <c r="D1289" s="4" t="s">
        <v>78</v>
      </c>
      <c r="E1289" s="4">
        <v>40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33.979999999999997</v>
      </c>
      <c r="K1289" s="4">
        <v>19.989999999999998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0.55000000000000004</v>
      </c>
      <c r="U1289" s="5">
        <f t="shared" ref="U1289:U1291" si="559">C1289+2</f>
        <v>40231</v>
      </c>
    </row>
    <row r="1290" spans="1:21" ht="12" customHeight="1">
      <c r="A1290" s="4">
        <v>8201</v>
      </c>
      <c r="B1290" s="4">
        <v>58656</v>
      </c>
      <c r="C1290" s="5">
        <f t="shared" ref="C1290:C1291" si="560">DATE(2012,12,31)-758</f>
        <v>40516</v>
      </c>
      <c r="D1290" s="4" t="s">
        <v>30</v>
      </c>
      <c r="E1290" s="4">
        <v>5</v>
      </c>
      <c r="F1290" s="4">
        <v>39.44</v>
      </c>
      <c r="G1290" s="4">
        <v>0</v>
      </c>
      <c r="H1290" s="4" t="s">
        <v>22</v>
      </c>
      <c r="I1290" s="6">
        <v>-0.94299999999999995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59"/>
        <v>40518</v>
      </c>
    </row>
    <row r="1291" spans="1:21" ht="12" customHeight="1">
      <c r="A1291" s="4">
        <v>8202</v>
      </c>
      <c r="B1291" s="4">
        <v>58656</v>
      </c>
      <c r="C1291" s="5">
        <f t="shared" si="560"/>
        <v>40516</v>
      </c>
      <c r="D1291" s="4" t="s">
        <v>30</v>
      </c>
      <c r="E1291" s="4">
        <v>3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59"/>
        <v>40518</v>
      </c>
    </row>
    <row r="1292" spans="1:21" ht="12" customHeight="1">
      <c r="A1292" s="4">
        <v>8226</v>
      </c>
      <c r="B1292" s="4">
        <v>58789</v>
      </c>
      <c r="C1292" s="5">
        <f t="shared" ref="C1292:C1293" si="561">DATE(2012,12,31)-879</f>
        <v>40395</v>
      </c>
      <c r="D1292" s="4" t="s">
        <v>21</v>
      </c>
      <c r="E1292" s="4">
        <v>26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spans="1:21" ht="12" customHeight="1">
      <c r="A1293" s="4">
        <v>8227</v>
      </c>
      <c r="B1293" s="4">
        <v>58789</v>
      </c>
      <c r="C1293" s="5">
        <f t="shared" si="561"/>
        <v>40395</v>
      </c>
      <c r="D1293" s="4" t="s">
        <v>21</v>
      </c>
      <c r="E1293" s="4">
        <v>38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spans="1:21" ht="12" customHeight="1">
      <c r="A1294" s="4">
        <v>8280</v>
      </c>
      <c r="B1294" s="4">
        <v>59200</v>
      </c>
      <c r="C1294" s="5">
        <f t="shared" ref="C1294:C1295" si="562">DATE(2012,12,31)-388</f>
        <v>40886</v>
      </c>
      <c r="D1294" s="4" t="s">
        <v>63</v>
      </c>
      <c r="E1294" s="4">
        <v>4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0.56000000000000005</v>
      </c>
      <c r="U1294" s="5">
        <f>C1294+0</f>
        <v>40886</v>
      </c>
    </row>
    <row r="1295" spans="1:21" ht="12" customHeight="1">
      <c r="A1295" s="4">
        <v>8281</v>
      </c>
      <c r="B1295" s="4">
        <v>59200</v>
      </c>
      <c r="C1295" s="5">
        <f t="shared" si="562"/>
        <v>40886</v>
      </c>
      <c r="D1295" s="4" t="s">
        <v>63</v>
      </c>
      <c r="E1295" s="4">
        <v>28</v>
      </c>
      <c r="F1295" s="4">
        <v>350.42</v>
      </c>
      <c r="G1295" s="4">
        <v>0.03</v>
      </c>
      <c r="H1295" s="4" t="s">
        <v>22</v>
      </c>
      <c r="I1295" s="6">
        <v>-37.299999999999997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spans="1:21" ht="12" customHeight="1">
      <c r="A1296" s="4">
        <v>8379</v>
      </c>
      <c r="B1296" s="4">
        <v>59878</v>
      </c>
      <c r="C1296" s="5">
        <f t="shared" ref="C1296:C1297" si="563">DATE(2012,12,31)-217</f>
        <v>41057</v>
      </c>
      <c r="D1296" s="4" t="s">
        <v>30</v>
      </c>
      <c r="E1296" s="4">
        <v>6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4">C1296+1</f>
        <v>41058</v>
      </c>
    </row>
    <row r="1297" spans="1:21" ht="12" customHeight="1">
      <c r="A1297" s="4">
        <v>8380</v>
      </c>
      <c r="B1297" s="4">
        <v>59878</v>
      </c>
      <c r="C1297" s="5">
        <f t="shared" si="563"/>
        <v>41057</v>
      </c>
      <c r="D1297" s="4" t="s">
        <v>30</v>
      </c>
      <c r="E1297" s="4">
        <v>23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4"/>
        <v>41058</v>
      </c>
    </row>
    <row r="1298" spans="1:21" ht="12" customHeight="1">
      <c r="A1298" s="4">
        <v>8386</v>
      </c>
      <c r="B1298" s="4">
        <v>59909</v>
      </c>
      <c r="C1298" s="5">
        <f t="shared" ref="C1298:C1299" si="565">DATE(2012,12,31)-148</f>
        <v>41126</v>
      </c>
      <c r="D1298" s="4" t="s">
        <v>21</v>
      </c>
      <c r="E1298" s="4">
        <v>11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spans="1:21" ht="12" customHeight="1">
      <c r="A1299" s="4">
        <v>8387</v>
      </c>
      <c r="B1299" s="4">
        <v>59909</v>
      </c>
      <c r="C1299" s="5">
        <f t="shared" si="565"/>
        <v>41126</v>
      </c>
      <c r="D1299" s="4" t="s">
        <v>21</v>
      </c>
      <c r="E1299" s="4">
        <v>46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9.3800000000000008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0.56999999999999995</v>
      </c>
      <c r="U1299" s="5">
        <f>C1299+7</f>
        <v>41133</v>
      </c>
    </row>
    <row r="1300" spans="1:21" ht="12" customHeight="1">
      <c r="A1300" s="4">
        <v>237</v>
      </c>
      <c r="B1300" s="4">
        <v>1600</v>
      </c>
      <c r="C1300" s="5">
        <f t="shared" ref="C1300:C1301" si="566">DATE(2012,12,31)-1035</f>
        <v>40239</v>
      </c>
      <c r="D1300" s="4" t="s">
        <v>63</v>
      </c>
      <c r="E1300" s="4">
        <v>32</v>
      </c>
      <c r="F1300" s="4">
        <v>303.58999999999997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0.55000000000000004</v>
      </c>
      <c r="U1300" s="5">
        <f>C1300+2</f>
        <v>40241</v>
      </c>
    </row>
    <row r="1301" spans="1:21" ht="12" customHeight="1">
      <c r="A1301" s="4">
        <v>238</v>
      </c>
      <c r="B1301" s="4">
        <v>1600</v>
      </c>
      <c r="C1301" s="5">
        <f t="shared" si="566"/>
        <v>40239</v>
      </c>
      <c r="D1301" s="4" t="s">
        <v>63</v>
      </c>
      <c r="E1301" s="4">
        <v>36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4.9800000000000004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spans="1:21" ht="12" customHeight="1">
      <c r="A1302" s="4">
        <v>377</v>
      </c>
      <c r="B1302" s="4">
        <v>2626</v>
      </c>
      <c r="C1302" s="5">
        <f>DATE(2012,12,31)-481</f>
        <v>40793</v>
      </c>
      <c r="D1302" s="4" t="s">
        <v>45</v>
      </c>
      <c r="E1302" s="4">
        <v>16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spans="1:21" ht="12" customHeight="1">
      <c r="A1303" s="4">
        <v>458</v>
      </c>
      <c r="B1303" s="4">
        <v>3109</v>
      </c>
      <c r="C1303" s="5">
        <f t="shared" ref="C1303:C1304" si="567">DATE(2012,12,31)-892</f>
        <v>40382</v>
      </c>
      <c r="D1303" s="4" t="s">
        <v>21</v>
      </c>
      <c r="E1303" s="4">
        <v>47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8">C1303+7</f>
        <v>40389</v>
      </c>
    </row>
    <row r="1304" spans="1:21" ht="12" customHeight="1">
      <c r="A1304" s="4">
        <v>459</v>
      </c>
      <c r="B1304" s="4">
        <v>3109</v>
      </c>
      <c r="C1304" s="5">
        <f t="shared" si="567"/>
        <v>40382</v>
      </c>
      <c r="D1304" s="4" t="s">
        <v>21</v>
      </c>
      <c r="E1304" s="4">
        <v>37</v>
      </c>
      <c r="F1304" s="4">
        <v>6477.7394999999997</v>
      </c>
      <c r="G1304" s="4">
        <v>0.01</v>
      </c>
      <c r="H1304" s="4" t="s">
        <v>22</v>
      </c>
      <c r="I1304" s="6">
        <v>1653.9659999999999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0.57999999999999996</v>
      </c>
      <c r="U1304" s="5">
        <f t="shared" si="568"/>
        <v>40389</v>
      </c>
    </row>
    <row r="1305" spans="1:21" ht="12" customHeight="1">
      <c r="A1305" s="4">
        <v>583</v>
      </c>
      <c r="B1305" s="4">
        <v>3973</v>
      </c>
      <c r="C1305" s="5">
        <f>DATE(2012,12,31)-283</f>
        <v>40991</v>
      </c>
      <c r="D1305" s="4" t="s">
        <v>45</v>
      </c>
      <c r="E1305" s="4">
        <v>21</v>
      </c>
      <c r="F1305" s="4">
        <v>316.35000000000002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69">C1305+2</f>
        <v>40993</v>
      </c>
    </row>
    <row r="1306" spans="1:21" ht="12" customHeight="1">
      <c r="A1306" s="4">
        <v>704</v>
      </c>
      <c r="B1306" s="4">
        <v>4932</v>
      </c>
      <c r="C1306" s="5">
        <f>DATE(2012,12,31)-875</f>
        <v>40399</v>
      </c>
      <c r="D1306" s="4" t="s">
        <v>78</v>
      </c>
      <c r="E1306" s="4">
        <v>11</v>
      </c>
      <c r="F1306" s="4">
        <v>109.37</v>
      </c>
      <c r="G1306" s="4">
        <v>7.0000000000000007E-2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69"/>
        <v>40401</v>
      </c>
    </row>
    <row r="1307" spans="1:21" ht="12" customHeight="1">
      <c r="A1307" s="4">
        <v>999</v>
      </c>
      <c r="B1307" s="4">
        <v>7239</v>
      </c>
      <c r="C1307" s="5">
        <f>DATE(2012,12,31)-551</f>
        <v>40723</v>
      </c>
      <c r="D1307" s="4" t="s">
        <v>63</v>
      </c>
      <c r="E1307" s="4">
        <v>50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19.989999999999998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69"/>
        <v>40725</v>
      </c>
    </row>
    <row r="1308" spans="1:21" ht="12" customHeight="1">
      <c r="A1308" s="4">
        <v>1584</v>
      </c>
      <c r="B1308" s="4">
        <v>11428</v>
      </c>
      <c r="C1308" s="5">
        <f>DATE(2012,12,31)-345</f>
        <v>40929</v>
      </c>
      <c r="D1308" s="4" t="s">
        <v>63</v>
      </c>
      <c r="E1308" s="4">
        <v>16</v>
      </c>
      <c r="F1308" s="4">
        <v>1554.53</v>
      </c>
      <c r="G1308" s="4">
        <v>0</v>
      </c>
      <c r="H1308" s="4" t="s">
        <v>22</v>
      </c>
      <c r="I1308" s="6">
        <v>474.66</v>
      </c>
      <c r="J1308" s="4">
        <v>90.48</v>
      </c>
      <c r="K1308" s="4">
        <v>19.989999999999998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spans="1:21" ht="12" customHeight="1">
      <c r="A1309" s="4">
        <v>1736</v>
      </c>
      <c r="B1309" s="4">
        <v>12452</v>
      </c>
      <c r="C1309" s="5">
        <f t="shared" ref="C1309:C1311" si="570">DATE(2012,12,31)-755</f>
        <v>40519</v>
      </c>
      <c r="D1309" s="4" t="s">
        <v>63</v>
      </c>
      <c r="E1309" s="4">
        <v>1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19.989999999999998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spans="1:21" ht="12" customHeight="1">
      <c r="A1310" s="4">
        <v>1737</v>
      </c>
      <c r="B1310" s="4">
        <v>12452</v>
      </c>
      <c r="C1310" s="5">
        <f t="shared" si="570"/>
        <v>40519</v>
      </c>
      <c r="D1310" s="4" t="s">
        <v>63</v>
      </c>
      <c r="E1310" s="4">
        <v>17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1">C1310+2</f>
        <v>40521</v>
      </c>
    </row>
    <row r="1311" spans="1:21" ht="12" customHeight="1">
      <c r="A1311" s="4">
        <v>1738</v>
      </c>
      <c r="B1311" s="4">
        <v>12452</v>
      </c>
      <c r="C1311" s="5">
        <f t="shared" si="570"/>
        <v>40519</v>
      </c>
      <c r="D1311" s="4" t="s">
        <v>63</v>
      </c>
      <c r="E1311" s="4">
        <v>38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1"/>
        <v>40521</v>
      </c>
    </row>
    <row r="1312" spans="1:21" ht="12" customHeight="1">
      <c r="A1312" s="4">
        <v>1853</v>
      </c>
      <c r="B1312" s="4">
        <v>13345</v>
      </c>
      <c r="C1312" s="5">
        <f t="shared" ref="C1312:C1313" si="572">DATE(2012,12,31)-120</f>
        <v>41154</v>
      </c>
      <c r="D1312" s="4" t="s">
        <v>45</v>
      </c>
      <c r="E1312" s="4">
        <v>24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4.7699999999999996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spans="1:21" ht="12" customHeight="1">
      <c r="A1313" s="4">
        <v>1854</v>
      </c>
      <c r="B1313" s="4">
        <v>13345</v>
      </c>
      <c r="C1313" s="5">
        <f t="shared" si="572"/>
        <v>41154</v>
      </c>
      <c r="D1313" s="4" t="s">
        <v>45</v>
      </c>
      <c r="E1313" s="4">
        <v>45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0.56999999999999995</v>
      </c>
      <c r="U1313" s="5">
        <f>C1313+0</f>
        <v>41154</v>
      </c>
    </row>
    <row r="1314" spans="1:21" ht="12" customHeight="1">
      <c r="A1314" s="4">
        <v>1864</v>
      </c>
      <c r="B1314" s="4">
        <v>13410</v>
      </c>
      <c r="C1314" s="5">
        <f t="shared" ref="C1314:C1315" si="573">DATE(2012,12,31)-939</f>
        <v>40335</v>
      </c>
      <c r="D1314" s="4" t="s">
        <v>45</v>
      </c>
      <c r="E1314" s="4">
        <v>4</v>
      </c>
      <c r="F1314" s="4">
        <v>33.64</v>
      </c>
      <c r="G1314" s="4">
        <v>7.0000000000000007E-2</v>
      </c>
      <c r="H1314" s="4" t="s">
        <v>22</v>
      </c>
      <c r="I1314" s="6">
        <v>-35.17</v>
      </c>
      <c r="J1314" s="4">
        <v>8.1199999999999992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spans="1:21" ht="12" customHeight="1">
      <c r="A1315" s="4">
        <v>1865</v>
      </c>
      <c r="B1315" s="4">
        <v>13410</v>
      </c>
      <c r="C1315" s="5">
        <f t="shared" si="573"/>
        <v>40335</v>
      </c>
      <c r="D1315" s="4" t="s">
        <v>45</v>
      </c>
      <c r="E1315" s="4">
        <v>29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spans="1:21" ht="12" customHeight="1">
      <c r="A1316" s="4">
        <v>2193</v>
      </c>
      <c r="B1316" s="4">
        <v>15808</v>
      </c>
      <c r="C1316" s="5">
        <f t="shared" ref="C1316:C1319" si="574">DATE(2012,12,31)-748</f>
        <v>40526</v>
      </c>
      <c r="D1316" s="4" t="s">
        <v>78</v>
      </c>
      <c r="E1316" s="4">
        <v>33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5">C1316+0</f>
        <v>40526</v>
      </c>
    </row>
    <row r="1317" spans="1:21" ht="12" customHeight="1">
      <c r="A1317" s="4">
        <v>2194</v>
      </c>
      <c r="B1317" s="4">
        <v>15808</v>
      </c>
      <c r="C1317" s="5">
        <f t="shared" si="574"/>
        <v>40526</v>
      </c>
      <c r="D1317" s="4" t="s">
        <v>78</v>
      </c>
      <c r="E1317" s="4">
        <v>42</v>
      </c>
      <c r="F1317" s="4">
        <v>906.64</v>
      </c>
      <c r="G1317" s="4">
        <v>7.0000000000000007E-2</v>
      </c>
      <c r="H1317" s="4" t="s">
        <v>56</v>
      </c>
      <c r="I1317" s="6">
        <v>-148.92500000000001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5"/>
        <v>40526</v>
      </c>
    </row>
    <row r="1318" spans="1:21" ht="12" customHeight="1">
      <c r="A1318" s="4">
        <v>2195</v>
      </c>
      <c r="B1318" s="4">
        <v>15808</v>
      </c>
      <c r="C1318" s="5">
        <f t="shared" si="574"/>
        <v>40526</v>
      </c>
      <c r="D1318" s="4" t="s">
        <v>78</v>
      </c>
      <c r="E1318" s="4">
        <v>45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spans="1:21" ht="12" customHeight="1">
      <c r="A1319" s="4">
        <v>2196</v>
      </c>
      <c r="B1319" s="4">
        <v>15808</v>
      </c>
      <c r="C1319" s="5">
        <f t="shared" si="574"/>
        <v>40526</v>
      </c>
      <c r="D1319" s="4" t="s">
        <v>78</v>
      </c>
      <c r="E1319" s="4">
        <v>3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4.8099999999999996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0.57999999999999996</v>
      </c>
      <c r="U1319" s="5">
        <f>C1319+1</f>
        <v>40527</v>
      </c>
    </row>
    <row r="1320" spans="1:21" ht="12" customHeight="1">
      <c r="A1320" s="4">
        <v>2271</v>
      </c>
      <c r="B1320" s="4">
        <v>16326</v>
      </c>
      <c r="C1320" s="5">
        <f t="shared" ref="C1320:C1321" si="576">DATE(2012,12,31)-966</f>
        <v>40308</v>
      </c>
      <c r="D1320" s="4" t="s">
        <v>30</v>
      </c>
      <c r="E1320" s="4">
        <v>39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39.479999999999997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spans="1:21" ht="12" customHeight="1">
      <c r="A1321" s="4">
        <v>2272</v>
      </c>
      <c r="B1321" s="4">
        <v>16326</v>
      </c>
      <c r="C1321" s="5">
        <f t="shared" si="576"/>
        <v>40308</v>
      </c>
      <c r="D1321" s="4" t="s">
        <v>30</v>
      </c>
      <c r="E1321" s="4">
        <v>39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spans="1:21" ht="12" customHeight="1">
      <c r="A1322" s="4">
        <v>2474</v>
      </c>
      <c r="B1322" s="4">
        <v>17985</v>
      </c>
      <c r="C1322" s="5">
        <f t="shared" ref="C1322:C1323" si="577">DATE(2012,12,31)-629</f>
        <v>40645</v>
      </c>
      <c r="D1322" s="4" t="s">
        <v>63</v>
      </c>
      <c r="E1322" s="4">
        <v>4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spans="1:21" ht="12" customHeight="1">
      <c r="A1323" s="4">
        <v>2475</v>
      </c>
      <c r="B1323" s="4">
        <v>17985</v>
      </c>
      <c r="C1323" s="5">
        <f t="shared" si="577"/>
        <v>40645</v>
      </c>
      <c r="D1323" s="4" t="s">
        <v>63</v>
      </c>
      <c r="E1323" s="4">
        <v>50</v>
      </c>
      <c r="F1323" s="4">
        <v>849.03099999999995</v>
      </c>
      <c r="G1323" s="4">
        <v>7.0000000000000007E-2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8">C1323+2</f>
        <v>40647</v>
      </c>
    </row>
    <row r="1324" spans="1:21" ht="12" customHeight="1">
      <c r="A1324" s="4">
        <v>3748</v>
      </c>
      <c r="B1324" s="4">
        <v>26759</v>
      </c>
      <c r="C1324" s="5">
        <f>DATE(2012,12,31)-341</f>
        <v>40933</v>
      </c>
      <c r="D1324" s="4" t="s">
        <v>45</v>
      </c>
      <c r="E1324" s="4">
        <v>30</v>
      </c>
      <c r="F1324" s="4">
        <v>251.11</v>
      </c>
      <c r="G1324" s="4">
        <v>0.03</v>
      </c>
      <c r="H1324" s="4" t="s">
        <v>22</v>
      </c>
      <c r="I1324" s="6">
        <v>10.038500000000001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8"/>
        <v>40935</v>
      </c>
    </row>
    <row r="1325" spans="1:21" ht="12" customHeight="1">
      <c r="A1325" s="4">
        <v>3759</v>
      </c>
      <c r="B1325" s="4">
        <v>26853</v>
      </c>
      <c r="C1325" s="5">
        <f>DATE(2012,12,31)-202</f>
        <v>41072</v>
      </c>
      <c r="D1325" s="4" t="s">
        <v>21</v>
      </c>
      <c r="E1325" s="4">
        <v>21</v>
      </c>
      <c r="F1325" s="4">
        <v>64.44</v>
      </c>
      <c r="G1325" s="4">
        <v>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spans="1:21" ht="12" customHeight="1">
      <c r="A1326" s="4">
        <v>4123</v>
      </c>
      <c r="B1326" s="4">
        <v>29318</v>
      </c>
      <c r="C1326" s="5">
        <f t="shared" ref="C1326:C1327" si="579">DATE(2012,12,31)-550</f>
        <v>40724</v>
      </c>
      <c r="D1326" s="4" t="s">
        <v>45</v>
      </c>
      <c r="E1326" s="4">
        <v>21</v>
      </c>
      <c r="F1326" s="4">
        <v>2954.14</v>
      </c>
      <c r="G1326" s="4">
        <v>0.04</v>
      </c>
      <c r="H1326" s="4" t="s">
        <v>56</v>
      </c>
      <c r="I1326" s="6">
        <v>-522.94000000000005</v>
      </c>
      <c r="J1326" s="4">
        <v>138.13999999999999</v>
      </c>
      <c r="K1326" s="4">
        <v>35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0">C1326+1</f>
        <v>40725</v>
      </c>
    </row>
    <row r="1327" spans="1:21" ht="12" customHeight="1">
      <c r="A1327" s="4">
        <v>4124</v>
      </c>
      <c r="B1327" s="4">
        <v>29318</v>
      </c>
      <c r="C1327" s="5">
        <f t="shared" si="579"/>
        <v>40724</v>
      </c>
      <c r="D1327" s="4" t="s">
        <v>45</v>
      </c>
      <c r="E1327" s="4">
        <v>34</v>
      </c>
      <c r="F1327" s="4">
        <v>3375.3074999999999</v>
      </c>
      <c r="G1327" s="4">
        <v>0.1</v>
      </c>
      <c r="H1327" s="4" t="s">
        <v>22</v>
      </c>
      <c r="I1327" s="6">
        <v>562.13100000000009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0.56999999999999995</v>
      </c>
      <c r="U1327" s="5">
        <f t="shared" si="580"/>
        <v>40725</v>
      </c>
    </row>
    <row r="1328" spans="1:21" ht="12" customHeight="1">
      <c r="A1328" s="4">
        <v>4676</v>
      </c>
      <c r="B1328" s="4">
        <v>33255</v>
      </c>
      <c r="C1328" s="5">
        <f>DATE(2012,12,31)-921</f>
        <v>40353</v>
      </c>
      <c r="D1328" s="4" t="s">
        <v>78</v>
      </c>
      <c r="E1328" s="4">
        <v>19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0"/>
        <v>40354</v>
      </c>
    </row>
    <row r="1329" spans="1:21" ht="12" customHeight="1">
      <c r="A1329" s="4">
        <v>4933</v>
      </c>
      <c r="B1329" s="4">
        <v>35104</v>
      </c>
      <c r="C1329" s="5">
        <f t="shared" ref="C1329:C1330" si="581">DATE(2012,12,31)-253</f>
        <v>41021</v>
      </c>
      <c r="D1329" s="4" t="s">
        <v>30</v>
      </c>
      <c r="E1329" s="4">
        <v>1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spans="1:21" ht="12" customHeight="1">
      <c r="A1330" s="4">
        <v>4934</v>
      </c>
      <c r="B1330" s="4">
        <v>35104</v>
      </c>
      <c r="C1330" s="5">
        <f t="shared" si="581"/>
        <v>41021</v>
      </c>
      <c r="D1330" s="4" t="s">
        <v>30</v>
      </c>
      <c r="E1330" s="4">
        <v>18</v>
      </c>
      <c r="F1330" s="4">
        <v>388.15</v>
      </c>
      <c r="G1330" s="4">
        <v>0</v>
      </c>
      <c r="H1330" s="4" t="s">
        <v>22</v>
      </c>
      <c r="I1330" s="6">
        <v>-44.21</v>
      </c>
      <c r="J1330" s="4">
        <v>19.940000000000001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0.56999999999999995</v>
      </c>
      <c r="U1330" s="5">
        <f t="shared" ref="U1330:U1331" si="582">C1330+2</f>
        <v>41023</v>
      </c>
    </row>
    <row r="1331" spans="1:21" ht="12" customHeight="1">
      <c r="A1331" s="4">
        <v>4946</v>
      </c>
      <c r="B1331" s="4">
        <v>35142</v>
      </c>
      <c r="C1331" s="5">
        <f>DATE(2012,12,31)-984</f>
        <v>40290</v>
      </c>
      <c r="D1331" s="4" t="s">
        <v>21</v>
      </c>
      <c r="E1331" s="4">
        <v>11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20.239999999999998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2"/>
        <v>40292</v>
      </c>
    </row>
    <row r="1332" spans="1:21" ht="12" customHeight="1">
      <c r="A1332" s="4">
        <v>4997</v>
      </c>
      <c r="B1332" s="4">
        <v>35584</v>
      </c>
      <c r="C1332" s="5">
        <f>DATE(2012,12,31)-608</f>
        <v>40666</v>
      </c>
      <c r="D1332" s="4" t="s">
        <v>63</v>
      </c>
      <c r="E1332" s="4">
        <v>15</v>
      </c>
      <c r="F1332" s="4">
        <v>150.33000000000001</v>
      </c>
      <c r="G1332" s="4">
        <v>0.08</v>
      </c>
      <c r="H1332" s="4" t="s">
        <v>56</v>
      </c>
      <c r="I1332" s="6">
        <v>-98.23</v>
      </c>
      <c r="J1332" s="4">
        <v>9.7100000000000009</v>
      </c>
      <c r="K1332" s="4">
        <v>9.4499999999999993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spans="1:21" ht="12" customHeight="1">
      <c r="A1333" s="4">
        <v>5037</v>
      </c>
      <c r="B1333" s="4">
        <v>35908</v>
      </c>
      <c r="C1333" s="5">
        <f t="shared" ref="C1333:C1334" si="583">DATE(2012,12,31)-750</f>
        <v>40524</v>
      </c>
      <c r="D1333" s="4" t="s">
        <v>45</v>
      </c>
      <c r="E1333" s="4">
        <v>40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spans="1:21" ht="12" customHeight="1">
      <c r="A1334" s="4">
        <v>5038</v>
      </c>
      <c r="B1334" s="4">
        <v>35908</v>
      </c>
      <c r="C1334" s="5">
        <f t="shared" si="583"/>
        <v>40524</v>
      </c>
      <c r="D1334" s="4" t="s">
        <v>45</v>
      </c>
      <c r="E1334" s="4">
        <v>45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4.8099999999999996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0.57999999999999996</v>
      </c>
      <c r="U1334" s="5">
        <f t="shared" ref="U1334:U1336" si="584">C1334+1</f>
        <v>40525</v>
      </c>
    </row>
    <row r="1335" spans="1:21" ht="12" customHeight="1">
      <c r="A1335" s="4">
        <v>5214</v>
      </c>
      <c r="B1335" s="4">
        <v>37121</v>
      </c>
      <c r="C1335" s="5">
        <f>DATE(2012,12,31)-657</f>
        <v>40617</v>
      </c>
      <c r="D1335" s="4" t="s">
        <v>45</v>
      </c>
      <c r="E1335" s="4">
        <v>44</v>
      </c>
      <c r="F1335" s="4">
        <v>9499.2999999999993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4"/>
        <v>40618</v>
      </c>
    </row>
    <row r="1336" spans="1:21" ht="12" customHeight="1">
      <c r="A1336" s="4">
        <v>5420</v>
      </c>
      <c r="B1336" s="4">
        <v>38528</v>
      </c>
      <c r="C1336" s="5">
        <f>DATE(2012,12,31)-377</f>
        <v>40897</v>
      </c>
      <c r="D1336" s="4" t="s">
        <v>78</v>
      </c>
      <c r="E1336" s="4">
        <v>36</v>
      </c>
      <c r="F1336" s="4">
        <v>2544.9850000000001</v>
      </c>
      <c r="G1336" s="4">
        <v>7.0000000000000007E-2</v>
      </c>
      <c r="H1336" s="4" t="s">
        <v>22</v>
      </c>
      <c r="I1336" s="6">
        <v>-113.05800000000001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4"/>
        <v>40898</v>
      </c>
    </row>
    <row r="1337" spans="1:21" ht="12" customHeight="1">
      <c r="A1337" s="4">
        <v>5469</v>
      </c>
      <c r="B1337" s="4">
        <v>38853</v>
      </c>
      <c r="C1337" s="5">
        <f>DATE(2012,12,31)-283</f>
        <v>40991</v>
      </c>
      <c r="D1337" s="4" t="s">
        <v>21</v>
      </c>
      <c r="E1337" s="4">
        <v>13</v>
      </c>
      <c r="F1337" s="4">
        <v>728.02499999999998</v>
      </c>
      <c r="G1337" s="4">
        <v>0.04</v>
      </c>
      <c r="H1337" s="4" t="s">
        <v>22</v>
      </c>
      <c r="I1337" s="6">
        <v>19.997999999999998</v>
      </c>
      <c r="J1337" s="4">
        <v>65.989999999999995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0.55000000000000004</v>
      </c>
      <c r="U1337" s="5">
        <f>C1337+4</f>
        <v>40995</v>
      </c>
    </row>
    <row r="1338" spans="1:21" ht="12" customHeight="1">
      <c r="A1338" s="4">
        <v>5585</v>
      </c>
      <c r="B1338" s="4">
        <v>39590</v>
      </c>
      <c r="C1338" s="5">
        <f>DATE(2012,12,31)-597</f>
        <v>40677</v>
      </c>
      <c r="D1338" s="4" t="s">
        <v>21</v>
      </c>
      <c r="E1338" s="4">
        <v>9</v>
      </c>
      <c r="F1338" s="4">
        <v>79.25</v>
      </c>
      <c r="G1338" s="4">
        <v>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spans="1:21" ht="12" customHeight="1">
      <c r="A1339" s="4">
        <v>5769</v>
      </c>
      <c r="B1339" s="4">
        <v>40961</v>
      </c>
      <c r="C1339" s="5">
        <f>DATE(2012,12,31)-642</f>
        <v>40632</v>
      </c>
      <c r="D1339" s="4" t="s">
        <v>63</v>
      </c>
      <c r="E1339" s="4">
        <v>7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5">C1339+1</f>
        <v>40633</v>
      </c>
    </row>
    <row r="1340" spans="1:21" ht="12" customHeight="1">
      <c r="A1340" s="4">
        <v>5783</v>
      </c>
      <c r="B1340" s="4">
        <v>41026</v>
      </c>
      <c r="C1340" s="5">
        <f t="shared" ref="C1340:C1341" si="586">DATE(2012,12,31)-622</f>
        <v>40652</v>
      </c>
      <c r="D1340" s="4" t="s">
        <v>63</v>
      </c>
      <c r="E1340" s="4">
        <v>8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5"/>
        <v>40653</v>
      </c>
    </row>
    <row r="1341" spans="1:21" ht="12" customHeight="1">
      <c r="A1341" s="4">
        <v>5784</v>
      </c>
      <c r="B1341" s="4">
        <v>41026</v>
      </c>
      <c r="C1341" s="5">
        <f t="shared" si="586"/>
        <v>40652</v>
      </c>
      <c r="D1341" s="4" t="s">
        <v>63</v>
      </c>
      <c r="E1341" s="4">
        <v>19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spans="1:21" ht="12" customHeight="1">
      <c r="A1342" s="4">
        <v>5913</v>
      </c>
      <c r="B1342" s="4">
        <v>41926</v>
      </c>
      <c r="C1342" s="5">
        <f t="shared" ref="C1342:C1343" si="587">DATE(2012,12,31)-695</f>
        <v>40579</v>
      </c>
      <c r="D1342" s="4" t="s">
        <v>30</v>
      </c>
      <c r="E1342" s="4">
        <v>17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spans="1:21" ht="12" customHeight="1">
      <c r="A1343" s="4">
        <v>5914</v>
      </c>
      <c r="B1343" s="4">
        <v>41926</v>
      </c>
      <c r="C1343" s="5">
        <f t="shared" si="587"/>
        <v>40579</v>
      </c>
      <c r="D1343" s="4" t="s">
        <v>30</v>
      </c>
      <c r="E1343" s="4">
        <v>43</v>
      </c>
      <c r="F1343" s="4">
        <v>1562.69</v>
      </c>
      <c r="G1343" s="4">
        <v>0</v>
      </c>
      <c r="H1343" s="4" t="s">
        <v>22</v>
      </c>
      <c r="I1343" s="6">
        <v>287.74</v>
      </c>
      <c r="J1343" s="4">
        <v>34.76</v>
      </c>
      <c r="K1343" s="4">
        <v>8.2200000000000006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0.56999999999999995</v>
      </c>
      <c r="U1343" s="5">
        <f>C1343+0</f>
        <v>40579</v>
      </c>
    </row>
    <row r="1344" spans="1:21" ht="12" customHeight="1">
      <c r="A1344" s="4">
        <v>7082</v>
      </c>
      <c r="B1344" s="4">
        <v>50533</v>
      </c>
      <c r="C1344" s="5">
        <f t="shared" ref="C1344:C1345" si="588">DATE(2012,12,31)-580</f>
        <v>40694</v>
      </c>
      <c r="D1344" s="4" t="s">
        <v>45</v>
      </c>
      <c r="E1344" s="4">
        <v>32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64.650000000000006</v>
      </c>
      <c r="K1344" s="4">
        <v>35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spans="1:21" ht="12" customHeight="1">
      <c r="A1345" s="4">
        <v>7083</v>
      </c>
      <c r="B1345" s="4">
        <v>50533</v>
      </c>
      <c r="C1345" s="5">
        <f t="shared" si="588"/>
        <v>40694</v>
      </c>
      <c r="D1345" s="4" t="s">
        <v>45</v>
      </c>
      <c r="E1345" s="4">
        <v>3</v>
      </c>
      <c r="F1345" s="4">
        <v>73.44</v>
      </c>
      <c r="G1345" s="4">
        <v>0</v>
      </c>
      <c r="H1345" s="4" t="s">
        <v>31</v>
      </c>
      <c r="I1345" s="6">
        <v>-53.783999999999999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89">C1345+1</f>
        <v>40695</v>
      </c>
    </row>
    <row r="1346" spans="1:21" ht="12" customHeight="1">
      <c r="A1346" s="4">
        <v>7252</v>
      </c>
      <c r="B1346" s="4">
        <v>51747</v>
      </c>
      <c r="C1346" s="5">
        <f>DATE(2012,12,31)-179</f>
        <v>41095</v>
      </c>
      <c r="D1346" s="4" t="s">
        <v>63</v>
      </c>
      <c r="E1346" s="4">
        <v>3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89"/>
        <v>41096</v>
      </c>
    </row>
    <row r="1347" spans="1:21" ht="12" customHeight="1">
      <c r="A1347" s="4">
        <v>7469</v>
      </c>
      <c r="B1347" s="4">
        <v>53314</v>
      </c>
      <c r="C1347" s="5">
        <f t="shared" ref="C1347:C1348" si="590">DATE(2012,12,31)-834</f>
        <v>40440</v>
      </c>
      <c r="D1347" s="4" t="s">
        <v>30</v>
      </c>
      <c r="E1347" s="4">
        <v>33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19.989999999999998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spans="1:21" ht="12" customHeight="1">
      <c r="A1348" s="4">
        <v>7470</v>
      </c>
      <c r="B1348" s="4">
        <v>53314</v>
      </c>
      <c r="C1348" s="5">
        <f t="shared" si="590"/>
        <v>40440</v>
      </c>
      <c r="D1348" s="4" t="s">
        <v>30</v>
      </c>
      <c r="E1348" s="4">
        <v>15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145.97999999999999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1">C1348+2</f>
        <v>40442</v>
      </c>
    </row>
    <row r="1349" spans="1:21" ht="12" customHeight="1">
      <c r="A1349" s="4">
        <v>7648</v>
      </c>
      <c r="B1349" s="4">
        <v>54791</v>
      </c>
      <c r="C1349" s="5">
        <f>DATE(2012,12,31)-11</f>
        <v>41263</v>
      </c>
      <c r="D1349" s="4" t="s">
        <v>30</v>
      </c>
      <c r="E1349" s="4">
        <v>45</v>
      </c>
      <c r="F1349" s="4">
        <v>4165.04</v>
      </c>
      <c r="G1349" s="4">
        <v>0</v>
      </c>
      <c r="H1349" s="4" t="s">
        <v>31</v>
      </c>
      <c r="I1349" s="6">
        <v>135.68</v>
      </c>
      <c r="J1349" s="4">
        <v>90.98</v>
      </c>
      <c r="K1349" s="4">
        <v>30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1"/>
        <v>41265</v>
      </c>
    </row>
    <row r="1350" spans="1:21" ht="12" customHeight="1">
      <c r="A1350" s="4">
        <v>7657</v>
      </c>
      <c r="B1350" s="4">
        <v>54912</v>
      </c>
      <c r="C1350" s="5">
        <f>DATE(2012,12,31)-529</f>
        <v>40745</v>
      </c>
      <c r="D1350" s="4" t="s">
        <v>21</v>
      </c>
      <c r="E1350" s="4">
        <v>17</v>
      </c>
      <c r="F1350" s="4">
        <v>117.33</v>
      </c>
      <c r="G1350" s="4">
        <v>7.0000000000000007E-2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spans="1:21" ht="12" customHeight="1">
      <c r="A1351" s="4">
        <v>7711</v>
      </c>
      <c r="B1351" s="4">
        <v>55269</v>
      </c>
      <c r="C1351" s="5">
        <f>DATE(2012,12,31)-1030</f>
        <v>40244</v>
      </c>
      <c r="D1351" s="4" t="s">
        <v>63</v>
      </c>
      <c r="E1351" s="4">
        <v>1</v>
      </c>
      <c r="F1351" s="4">
        <v>49.61</v>
      </c>
      <c r="G1351" s="4">
        <v>0</v>
      </c>
      <c r="H1351" s="4" t="s">
        <v>22</v>
      </c>
      <c r="I1351" s="6">
        <v>-41.82</v>
      </c>
      <c r="J1351" s="4">
        <v>30.98</v>
      </c>
      <c r="K1351" s="4">
        <v>17.079999999999998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spans="1:21" ht="12" customHeight="1">
      <c r="A1352" s="4">
        <v>7845</v>
      </c>
      <c r="B1352" s="4">
        <v>56101</v>
      </c>
      <c r="C1352" s="5">
        <f t="shared" ref="C1352:C1353" si="592">DATE(2012,12,31)-896</f>
        <v>40378</v>
      </c>
      <c r="D1352" s="4" t="s">
        <v>45</v>
      </c>
      <c r="E1352" s="4">
        <v>1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spans="1:21" ht="12" customHeight="1">
      <c r="A1353" s="4">
        <v>7846</v>
      </c>
      <c r="B1353" s="4">
        <v>56101</v>
      </c>
      <c r="C1353" s="5">
        <f t="shared" si="592"/>
        <v>40378</v>
      </c>
      <c r="D1353" s="4" t="s">
        <v>45</v>
      </c>
      <c r="E1353" s="4">
        <v>44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19.989999999999998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spans="1:21" ht="12" customHeight="1">
      <c r="A1354" s="4">
        <v>8214</v>
      </c>
      <c r="B1354" s="4">
        <v>58725</v>
      </c>
      <c r="C1354" s="5">
        <f>DATE(2012,12,31)-956</f>
        <v>40318</v>
      </c>
      <c r="D1354" s="4" t="s">
        <v>45</v>
      </c>
      <c r="E1354" s="4">
        <v>20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3">C1354+1</f>
        <v>40319</v>
      </c>
    </row>
    <row r="1355" spans="1:21" ht="12" customHeight="1">
      <c r="A1355" s="4">
        <v>8349</v>
      </c>
      <c r="B1355" s="4">
        <v>59683</v>
      </c>
      <c r="C1355" s="5">
        <f>DATE(2012,12,31)-79</f>
        <v>41195</v>
      </c>
      <c r="D1355" s="4" t="s">
        <v>45</v>
      </c>
      <c r="E1355" s="4">
        <v>37</v>
      </c>
      <c r="F1355" s="4">
        <v>191.36</v>
      </c>
      <c r="G1355" s="4">
        <v>0.05</v>
      </c>
      <c r="H1355" s="4" t="s">
        <v>22</v>
      </c>
      <c r="I1355" s="6">
        <v>-82.086999999999989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3"/>
        <v>41196</v>
      </c>
    </row>
    <row r="1356" spans="1:21" ht="12" customHeight="1">
      <c r="A1356" s="4">
        <v>264</v>
      </c>
      <c r="B1356" s="4">
        <v>1826</v>
      </c>
      <c r="C1356" s="5">
        <f>DATE(2012,12,31)-260</f>
        <v>41014</v>
      </c>
      <c r="D1356" s="4" t="s">
        <v>45</v>
      </c>
      <c r="E1356" s="4">
        <v>5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4.9800000000000004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3"/>
        <v>41015</v>
      </c>
    </row>
    <row r="1357" spans="1:21" ht="12" customHeight="1">
      <c r="A1357" s="4">
        <v>288</v>
      </c>
      <c r="B1357" s="4">
        <v>2020</v>
      </c>
      <c r="C1357" s="5">
        <f>DATE(2012,12,31)-925</f>
        <v>40349</v>
      </c>
      <c r="D1357" s="4" t="s">
        <v>63</v>
      </c>
      <c r="E1357" s="4">
        <v>42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5.0199999999999996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spans="1:21" ht="12" customHeight="1">
      <c r="A1358" s="4">
        <v>1428</v>
      </c>
      <c r="B1358" s="4">
        <v>10340</v>
      </c>
      <c r="C1358" s="5">
        <f t="shared" ref="C1358:C1360" si="594">DATE(2012,12,31)-558</f>
        <v>40716</v>
      </c>
      <c r="D1358" s="4" t="s">
        <v>30</v>
      </c>
      <c r="E1358" s="4">
        <v>24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0.55000000000000004</v>
      </c>
      <c r="U1358" s="5">
        <f t="shared" ref="U1358:U1359" si="595">C1358+1</f>
        <v>40717</v>
      </c>
    </row>
    <row r="1359" spans="1:21" ht="12" customHeight="1">
      <c r="A1359" s="4">
        <v>1429</v>
      </c>
      <c r="B1359" s="4">
        <v>10340</v>
      </c>
      <c r="C1359" s="5">
        <f t="shared" si="594"/>
        <v>40716</v>
      </c>
      <c r="D1359" s="4" t="s">
        <v>30</v>
      </c>
      <c r="E1359" s="4">
        <v>2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5"/>
        <v>40717</v>
      </c>
    </row>
    <row r="1360" spans="1:21" ht="12" customHeight="1">
      <c r="A1360" s="4">
        <v>1430</v>
      </c>
      <c r="B1360" s="4">
        <v>10340</v>
      </c>
      <c r="C1360" s="5">
        <f t="shared" si="594"/>
        <v>40716</v>
      </c>
      <c r="D1360" s="4" t="s">
        <v>30</v>
      </c>
      <c r="E1360" s="4">
        <v>15</v>
      </c>
      <c r="F1360" s="4">
        <v>311.98</v>
      </c>
      <c r="G1360" s="4">
        <v>0.09</v>
      </c>
      <c r="H1360" s="4" t="s">
        <v>22</v>
      </c>
      <c r="I1360" s="6">
        <v>-9.7799999999999994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spans="1:21" ht="12" customHeight="1">
      <c r="A1361" s="4">
        <v>1533</v>
      </c>
      <c r="B1361" s="4">
        <v>11044</v>
      </c>
      <c r="C1361" s="5">
        <f>DATE(2012,12,31)-190</f>
        <v>41084</v>
      </c>
      <c r="D1361" s="4" t="s">
        <v>63</v>
      </c>
      <c r="E1361" s="4">
        <v>3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0.56000000000000005</v>
      </c>
      <c r="U1361" s="5">
        <f>C1361+1</f>
        <v>41085</v>
      </c>
    </row>
    <row r="1362" spans="1:21" ht="12" customHeight="1">
      <c r="A1362" s="4">
        <v>2410</v>
      </c>
      <c r="B1362" s="4">
        <v>17506</v>
      </c>
      <c r="C1362" s="5">
        <f>DATE(2012,12,31)-1037</f>
        <v>40237</v>
      </c>
      <c r="D1362" s="4" t="s">
        <v>21</v>
      </c>
      <c r="E1362" s="4">
        <v>33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0.56999999999999995</v>
      </c>
      <c r="U1362" s="5">
        <f>C1362+4</f>
        <v>40241</v>
      </c>
    </row>
    <row r="1363" spans="1:21" ht="12" customHeight="1">
      <c r="A1363" s="4">
        <v>2766</v>
      </c>
      <c r="B1363" s="4">
        <v>20003</v>
      </c>
      <c r="C1363" s="5">
        <f>DATE(2012,12,31)-336</f>
        <v>40938</v>
      </c>
      <c r="D1363" s="4" t="s">
        <v>63</v>
      </c>
      <c r="E1363" s="4">
        <v>39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spans="1:21" ht="12" customHeight="1">
      <c r="A1364" s="4">
        <v>2882</v>
      </c>
      <c r="B1364" s="4">
        <v>20805</v>
      </c>
      <c r="C1364" s="5">
        <f t="shared" ref="C1364:C1367" si="596">DATE(2012,12,31)-721</f>
        <v>40553</v>
      </c>
      <c r="D1364" s="4" t="s">
        <v>30</v>
      </c>
      <c r="E1364" s="4">
        <v>12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spans="1:21" ht="12" customHeight="1">
      <c r="A1365" s="4">
        <v>2883</v>
      </c>
      <c r="B1365" s="4">
        <v>20805</v>
      </c>
      <c r="C1365" s="5">
        <f t="shared" si="596"/>
        <v>40553</v>
      </c>
      <c r="D1365" s="4" t="s">
        <v>30</v>
      </c>
      <c r="E1365" s="4">
        <v>35</v>
      </c>
      <c r="F1365" s="4">
        <v>418.34</v>
      </c>
      <c r="G1365" s="4">
        <v>0.08</v>
      </c>
      <c r="H1365" s="4" t="s">
        <v>22</v>
      </c>
      <c r="I1365" s="6">
        <v>73.569999999999993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spans="1:21" ht="12" customHeight="1">
      <c r="A1366" s="4">
        <v>2884</v>
      </c>
      <c r="B1366" s="4">
        <v>20805</v>
      </c>
      <c r="C1366" s="5">
        <f t="shared" si="596"/>
        <v>40553</v>
      </c>
      <c r="D1366" s="4" t="s">
        <v>30</v>
      </c>
      <c r="E1366" s="4">
        <v>3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7">C1366+1</f>
        <v>40554</v>
      </c>
    </row>
    <row r="1367" spans="1:21" ht="12" customHeight="1">
      <c r="A1367" s="4">
        <v>2885</v>
      </c>
      <c r="B1367" s="4">
        <v>20805</v>
      </c>
      <c r="C1367" s="5">
        <f t="shared" si="596"/>
        <v>40553</v>
      </c>
      <c r="D1367" s="4" t="s">
        <v>30</v>
      </c>
      <c r="E1367" s="4">
        <v>12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7"/>
        <v>40554</v>
      </c>
    </row>
    <row r="1368" spans="1:21" ht="12" customHeight="1">
      <c r="A1368" s="4">
        <v>4325</v>
      </c>
      <c r="B1368" s="4">
        <v>30787</v>
      </c>
      <c r="C1368" s="5">
        <f>DATE(2012,12,31)-461</f>
        <v>40813</v>
      </c>
      <c r="D1368" s="4" t="s">
        <v>30</v>
      </c>
      <c r="E1368" s="4">
        <v>43</v>
      </c>
      <c r="F1368" s="4">
        <v>6477.4589999999998</v>
      </c>
      <c r="G1368" s="4">
        <v>0.05</v>
      </c>
      <c r="H1368" s="4" t="s">
        <v>22</v>
      </c>
      <c r="I1368" s="6">
        <v>1836.4590000000001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0.56999999999999995</v>
      </c>
      <c r="U1368" s="5">
        <f t="shared" si="597"/>
        <v>40814</v>
      </c>
    </row>
    <row r="1369" spans="1:21" ht="12" customHeight="1">
      <c r="A1369" s="4">
        <v>5258</v>
      </c>
      <c r="B1369" s="4">
        <v>37440</v>
      </c>
      <c r="C1369" s="5">
        <f>DATE(2012,12,31)-922</f>
        <v>40352</v>
      </c>
      <c r="D1369" s="4" t="s">
        <v>45</v>
      </c>
      <c r="E1369" s="4">
        <v>31</v>
      </c>
      <c r="F1369" s="4">
        <v>295.45</v>
      </c>
      <c r="G1369" s="4">
        <v>0.03</v>
      </c>
      <c r="H1369" s="4" t="s">
        <v>22</v>
      </c>
      <c r="I1369" s="6">
        <v>-4.3600000000000003</v>
      </c>
      <c r="J1369" s="4">
        <v>9.3800000000000008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0.56999999999999995</v>
      </c>
      <c r="U1369" s="5">
        <f>C1369+2</f>
        <v>40354</v>
      </c>
    </row>
    <row r="1370" spans="1:21" ht="12" customHeight="1">
      <c r="A1370" s="4">
        <v>5633</v>
      </c>
      <c r="B1370" s="4">
        <v>39872</v>
      </c>
      <c r="C1370" s="5">
        <f>DATE(2012,12,31)-1043</f>
        <v>40231</v>
      </c>
      <c r="D1370" s="4" t="s">
        <v>78</v>
      </c>
      <c r="E1370" s="4">
        <v>5</v>
      </c>
      <c r="F1370" s="4">
        <v>16.239999999999998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8">C1370+1</f>
        <v>40232</v>
      </c>
    </row>
    <row r="1371" spans="1:21" ht="12" customHeight="1">
      <c r="A1371" s="4">
        <v>5646</v>
      </c>
      <c r="B1371" s="4">
        <v>39943</v>
      </c>
      <c r="C1371" s="5">
        <f t="shared" ref="C1371:C1372" si="599">DATE(2012,12,31)-207</f>
        <v>41067</v>
      </c>
      <c r="D1371" s="4" t="s">
        <v>30</v>
      </c>
      <c r="E1371" s="4">
        <v>16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8"/>
        <v>41068</v>
      </c>
    </row>
    <row r="1372" spans="1:21" ht="12" customHeight="1">
      <c r="A1372" s="4">
        <v>5647</v>
      </c>
      <c r="B1372" s="4">
        <v>39943</v>
      </c>
      <c r="C1372" s="5">
        <f t="shared" si="599"/>
        <v>41067</v>
      </c>
      <c r="D1372" s="4" t="s">
        <v>30</v>
      </c>
      <c r="E1372" s="4">
        <v>12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0">C1372+2</f>
        <v>41069</v>
      </c>
    </row>
    <row r="1373" spans="1:21" ht="12" customHeight="1">
      <c r="A1373" s="4">
        <v>5985</v>
      </c>
      <c r="B1373" s="4">
        <v>42405</v>
      </c>
      <c r="C1373" s="5">
        <f>DATE(2012,12,31)-1075</f>
        <v>40199</v>
      </c>
      <c r="D1373" s="4" t="s">
        <v>30</v>
      </c>
      <c r="E1373" s="4">
        <v>13</v>
      </c>
      <c r="F1373" s="4">
        <v>81.680000000000007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0"/>
        <v>40201</v>
      </c>
    </row>
    <row r="1374" spans="1:21" ht="12" customHeight="1">
      <c r="A1374" s="4">
        <v>6631</v>
      </c>
      <c r="B1374" s="4">
        <v>47171</v>
      </c>
      <c r="C1374" s="5">
        <f t="shared" ref="C1374:C1376" si="601">DATE(2012,12,31)-1089</f>
        <v>40185</v>
      </c>
      <c r="D1374" s="4" t="s">
        <v>63</v>
      </c>
      <c r="E1374" s="4">
        <v>21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2">C1374+1</f>
        <v>40186</v>
      </c>
    </row>
    <row r="1375" spans="1:21" ht="12" customHeight="1">
      <c r="A1375" s="4">
        <v>6632</v>
      </c>
      <c r="B1375" s="4">
        <v>47171</v>
      </c>
      <c r="C1375" s="5">
        <f t="shared" si="601"/>
        <v>40185</v>
      </c>
      <c r="D1375" s="4" t="s">
        <v>63</v>
      </c>
      <c r="E1375" s="4">
        <v>19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0.56999999999999995</v>
      </c>
      <c r="U1375" s="5">
        <f t="shared" si="602"/>
        <v>40186</v>
      </c>
    </row>
    <row r="1376" spans="1:21" ht="12" customHeight="1">
      <c r="A1376" s="4">
        <v>6633</v>
      </c>
      <c r="B1376" s="4">
        <v>47171</v>
      </c>
      <c r="C1376" s="5">
        <f t="shared" si="601"/>
        <v>40185</v>
      </c>
      <c r="D1376" s="4" t="s">
        <v>63</v>
      </c>
      <c r="E1376" s="4">
        <v>32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spans="1:21" ht="12" customHeight="1">
      <c r="A1377" s="4">
        <v>6820</v>
      </c>
      <c r="B1377" s="4">
        <v>48576</v>
      </c>
      <c r="C1377" s="5">
        <f t="shared" ref="C1377:C1378" si="603">DATE(2012,12,31)-30</f>
        <v>41244</v>
      </c>
      <c r="D1377" s="4" t="s">
        <v>45</v>
      </c>
      <c r="E1377" s="4">
        <v>17</v>
      </c>
      <c r="F1377" s="4">
        <v>464.59</v>
      </c>
      <c r="G1377" s="4">
        <v>7.0000000000000007E-2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spans="1:21" ht="12" customHeight="1">
      <c r="A1378" s="4">
        <v>6821</v>
      </c>
      <c r="B1378" s="4">
        <v>48576</v>
      </c>
      <c r="C1378" s="5">
        <f t="shared" si="603"/>
        <v>41244</v>
      </c>
      <c r="D1378" s="4" t="s">
        <v>45</v>
      </c>
      <c r="E1378" s="4">
        <v>47</v>
      </c>
      <c r="F1378" s="4">
        <v>316.68</v>
      </c>
      <c r="G1378" s="4">
        <v>0.06</v>
      </c>
      <c r="H1378" s="4" t="s">
        <v>22</v>
      </c>
      <c r="I1378" s="6">
        <v>-161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spans="1:21" ht="12" customHeight="1">
      <c r="A1379" s="4">
        <v>7547</v>
      </c>
      <c r="B1379" s="4">
        <v>53984</v>
      </c>
      <c r="C1379" s="5">
        <f>DATE(2012,12,31)-21</f>
        <v>41253</v>
      </c>
      <c r="D1379" s="4" t="s">
        <v>63</v>
      </c>
      <c r="E1379" s="4">
        <v>23</v>
      </c>
      <c r="F1379" s="4">
        <v>172.9</v>
      </c>
      <c r="G1379" s="4">
        <v>0</v>
      </c>
      <c r="H1379" s="4" t="s">
        <v>22</v>
      </c>
      <c r="I1379" s="6">
        <v>51.43</v>
      </c>
      <c r="J1379" s="4">
        <v>6.88</v>
      </c>
      <c r="K1379" s="4">
        <v>2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spans="1:21" ht="12" customHeight="1">
      <c r="A1380" s="4">
        <v>18</v>
      </c>
      <c r="B1380" s="4">
        <v>129</v>
      </c>
      <c r="C1380" s="5">
        <f>DATE(2012,12,31)-43</f>
        <v>41231</v>
      </c>
      <c r="D1380" s="4" t="s">
        <v>21</v>
      </c>
      <c r="E1380" s="4">
        <v>4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spans="1:21" ht="12" customHeight="1">
      <c r="A1381" s="4">
        <v>68</v>
      </c>
      <c r="B1381" s="4">
        <v>388</v>
      </c>
      <c r="C1381" s="5">
        <f>DATE(2012,12,31)-16</f>
        <v>41258</v>
      </c>
      <c r="D1381" s="4" t="s">
        <v>45</v>
      </c>
      <c r="E1381" s="4">
        <v>46</v>
      </c>
      <c r="F1381" s="4">
        <v>517.92999999999995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spans="1:21" ht="12" customHeight="1">
      <c r="A1382" s="4">
        <v>205</v>
      </c>
      <c r="B1382" s="4">
        <v>1345</v>
      </c>
      <c r="C1382" s="5">
        <f>DATE(2012,12,31)-65</f>
        <v>41209</v>
      </c>
      <c r="D1382" s="4" t="s">
        <v>21</v>
      </c>
      <c r="E1382" s="4">
        <v>24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35.840000000000003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spans="1:21" ht="12" customHeight="1">
      <c r="A1383" s="4">
        <v>257</v>
      </c>
      <c r="B1383" s="4">
        <v>1793</v>
      </c>
      <c r="C1383" s="5">
        <f>DATE(2012,12,31)-173</f>
        <v>41101</v>
      </c>
      <c r="D1383" s="4" t="s">
        <v>45</v>
      </c>
      <c r="E1383" s="4">
        <v>36</v>
      </c>
      <c r="F1383" s="4">
        <v>233.43</v>
      </c>
      <c r="G1383" s="4">
        <v>0.03</v>
      </c>
      <c r="H1383" s="4" t="s">
        <v>22</v>
      </c>
      <c r="I1383" s="6">
        <v>-71.897999999999996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spans="1:21" ht="12" customHeight="1">
      <c r="A1384" s="4">
        <v>316</v>
      </c>
      <c r="B1384" s="4">
        <v>2209</v>
      </c>
      <c r="C1384" s="5">
        <f t="shared" ref="C1384:C1387" si="604">DATE(2012,12,31)-175</f>
        <v>41099</v>
      </c>
      <c r="D1384" s="4" t="s">
        <v>30</v>
      </c>
      <c r="E1384" s="4">
        <v>27</v>
      </c>
      <c r="F1384" s="4">
        <v>9418.73</v>
      </c>
      <c r="G1384" s="4">
        <v>0</v>
      </c>
      <c r="H1384" s="4" t="s">
        <v>31</v>
      </c>
      <c r="I1384" s="6">
        <v>2245.2399999999998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0.56999999999999995</v>
      </c>
      <c r="U1384" s="5">
        <f>C1384+2</f>
        <v>41101</v>
      </c>
    </row>
    <row r="1385" spans="1:21" ht="12" customHeight="1">
      <c r="A1385" s="4">
        <v>317</v>
      </c>
      <c r="B1385" s="4">
        <v>2209</v>
      </c>
      <c r="C1385" s="5">
        <f t="shared" si="604"/>
        <v>41099</v>
      </c>
      <c r="D1385" s="4" t="s">
        <v>30</v>
      </c>
      <c r="E1385" s="4">
        <v>1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spans="1:21" ht="12" customHeight="1">
      <c r="A1386" s="4">
        <v>318</v>
      </c>
      <c r="B1386" s="4">
        <v>2209</v>
      </c>
      <c r="C1386" s="5">
        <f t="shared" si="604"/>
        <v>41099</v>
      </c>
      <c r="D1386" s="4" t="s">
        <v>30</v>
      </c>
      <c r="E1386" s="4">
        <v>42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0.56000000000000005</v>
      </c>
      <c r="U1386" s="5">
        <f>C1386+0</f>
        <v>41099</v>
      </c>
    </row>
    <row r="1387" spans="1:21" ht="12" customHeight="1">
      <c r="A1387" s="4">
        <v>319</v>
      </c>
      <c r="B1387" s="4">
        <v>2209</v>
      </c>
      <c r="C1387" s="5">
        <f t="shared" si="604"/>
        <v>41099</v>
      </c>
      <c r="D1387" s="4" t="s">
        <v>30</v>
      </c>
      <c r="E1387" s="4">
        <v>13</v>
      </c>
      <c r="F1387" s="4">
        <v>1265.4969999999998</v>
      </c>
      <c r="G1387" s="4">
        <v>0.1</v>
      </c>
      <c r="H1387" s="4" t="s">
        <v>22</v>
      </c>
      <c r="I1387" s="6">
        <v>-161.11699999999999</v>
      </c>
      <c r="J1387" s="4">
        <v>125.99</v>
      </c>
      <c r="K1387" s="4">
        <v>3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spans="1:21" ht="12" customHeight="1">
      <c r="A1388" s="4">
        <v>439</v>
      </c>
      <c r="B1388" s="4">
        <v>2947</v>
      </c>
      <c r="C1388" s="5">
        <f>DATE(2012,12,31)-616</f>
        <v>40658</v>
      </c>
      <c r="D1388" s="4" t="s">
        <v>78</v>
      </c>
      <c r="E1388" s="4">
        <v>8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spans="1:21" ht="12" customHeight="1">
      <c r="A1389" s="4">
        <v>474</v>
      </c>
      <c r="B1389" s="4">
        <v>3271</v>
      </c>
      <c r="C1389" s="5">
        <f t="shared" ref="C1389:C1390" si="605">DATE(2012,12,31)-366</f>
        <v>40908</v>
      </c>
      <c r="D1389" s="4" t="s">
        <v>78</v>
      </c>
      <c r="E1389" s="4">
        <v>45</v>
      </c>
      <c r="F1389" s="4">
        <v>11532.99</v>
      </c>
      <c r="G1389" s="4">
        <v>7.0000000000000007E-2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0.57999999999999996</v>
      </c>
      <c r="U1389" s="5">
        <f>C1389+0</f>
        <v>40908</v>
      </c>
    </row>
    <row r="1390" spans="1:21" ht="12" customHeight="1">
      <c r="A1390" s="4">
        <v>475</v>
      </c>
      <c r="B1390" s="4">
        <v>3271</v>
      </c>
      <c r="C1390" s="5">
        <f t="shared" si="605"/>
        <v>40908</v>
      </c>
      <c r="D1390" s="4" t="s">
        <v>78</v>
      </c>
      <c r="E1390" s="4">
        <v>18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spans="1:21" ht="12" customHeight="1">
      <c r="A1391" s="4">
        <v>643</v>
      </c>
      <c r="B1391" s="4">
        <v>4545</v>
      </c>
      <c r="C1391" s="5">
        <f t="shared" ref="C1391:C1392" si="606">DATE(2012,12,31)-1080</f>
        <v>40194</v>
      </c>
      <c r="D1391" s="4" t="s">
        <v>45</v>
      </c>
      <c r="E1391" s="4">
        <v>33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spans="1:21" ht="12" customHeight="1">
      <c r="A1392" s="4">
        <v>644</v>
      </c>
      <c r="B1392" s="4">
        <v>4545</v>
      </c>
      <c r="C1392" s="5">
        <f t="shared" si="606"/>
        <v>40194</v>
      </c>
      <c r="D1392" s="4" t="s">
        <v>45</v>
      </c>
      <c r="E1392" s="4">
        <v>4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7">C1392+1</f>
        <v>40195</v>
      </c>
    </row>
    <row r="1393" spans="1:21" ht="12" customHeight="1">
      <c r="A1393" s="4">
        <v>800</v>
      </c>
      <c r="B1393" s="4">
        <v>5703</v>
      </c>
      <c r="C1393" s="5">
        <f>DATE(2012,12,31)-961</f>
        <v>40313</v>
      </c>
      <c r="D1393" s="4" t="s">
        <v>63</v>
      </c>
      <c r="E1393" s="4">
        <v>29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7"/>
        <v>40314</v>
      </c>
    </row>
    <row r="1394" spans="1:21" ht="12" customHeight="1">
      <c r="A1394" s="4">
        <v>880</v>
      </c>
      <c r="B1394" s="4">
        <v>6311</v>
      </c>
      <c r="C1394" s="5">
        <f>DATE(2012,12,31)-1055</f>
        <v>40219</v>
      </c>
      <c r="D1394" s="4" t="s">
        <v>63</v>
      </c>
      <c r="E1394" s="4">
        <v>18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0.57999999999999996</v>
      </c>
      <c r="U1394" s="5">
        <f>C1394+3</f>
        <v>40222</v>
      </c>
    </row>
    <row r="1395" spans="1:21" ht="12" customHeight="1">
      <c r="A1395" s="4">
        <v>1125</v>
      </c>
      <c r="B1395" s="4">
        <v>8231</v>
      </c>
      <c r="C1395" s="5">
        <f t="shared" ref="C1395:C1396" si="608">DATE(2012,12,31)-74</f>
        <v>41200</v>
      </c>
      <c r="D1395" s="4" t="s">
        <v>78</v>
      </c>
      <c r="E1395" s="4">
        <v>27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spans="1:21" ht="12" customHeight="1">
      <c r="A1396" s="4">
        <v>1126</v>
      </c>
      <c r="B1396" s="4">
        <v>8231</v>
      </c>
      <c r="C1396" s="5">
        <f t="shared" si="608"/>
        <v>41200</v>
      </c>
      <c r="D1396" s="4" t="s">
        <v>78</v>
      </c>
      <c r="E1396" s="4">
        <v>5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spans="1:21" ht="12" customHeight="1">
      <c r="A1397" s="4">
        <v>1338</v>
      </c>
      <c r="B1397" s="4">
        <v>9765</v>
      </c>
      <c r="C1397" s="5">
        <f>DATE(2012,12,31)-80</f>
        <v>41194</v>
      </c>
      <c r="D1397" s="4" t="s">
        <v>21</v>
      </c>
      <c r="E1397" s="4">
        <v>26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spans="1:21" ht="12" customHeight="1">
      <c r="A1398" s="4">
        <v>1399</v>
      </c>
      <c r="B1398" s="4">
        <v>10147</v>
      </c>
      <c r="C1398" s="5">
        <f>DATE(2012,12,31)-814</f>
        <v>40460</v>
      </c>
      <c r="D1398" s="4" t="s">
        <v>30</v>
      </c>
      <c r="E1398" s="4">
        <v>22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spans="1:21" ht="12" customHeight="1">
      <c r="A1399" s="4">
        <v>1645</v>
      </c>
      <c r="B1399" s="4">
        <v>11876</v>
      </c>
      <c r="C1399" s="5">
        <f>DATE(2012,12,31)-547</f>
        <v>40727</v>
      </c>
      <c r="D1399" s="4" t="s">
        <v>30</v>
      </c>
      <c r="E1399" s="4">
        <v>47</v>
      </c>
      <c r="F1399" s="4">
        <v>5051.8900000000003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spans="1:21" ht="12" customHeight="1">
      <c r="A1400" s="4">
        <v>1696</v>
      </c>
      <c r="B1400" s="4">
        <v>12256</v>
      </c>
      <c r="C1400" s="5">
        <f>DATE(2012,12,31)-13</f>
        <v>41261</v>
      </c>
      <c r="D1400" s="4" t="s">
        <v>63</v>
      </c>
      <c r="E1400" s="4">
        <v>44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spans="1:21" ht="12" customHeight="1">
      <c r="A1401" s="4">
        <v>1703</v>
      </c>
      <c r="B1401" s="4">
        <v>12261</v>
      </c>
      <c r="C1401" s="5">
        <f t="shared" ref="C1401:C1405" si="609">DATE(2012,12,31)-800</f>
        <v>40474</v>
      </c>
      <c r="D1401" s="4" t="s">
        <v>21</v>
      </c>
      <c r="E1401" s="4">
        <v>12</v>
      </c>
      <c r="F1401" s="4">
        <v>2237.7600000000002</v>
      </c>
      <c r="G1401" s="4">
        <v>0.1</v>
      </c>
      <c r="H1401" s="4" t="s">
        <v>31</v>
      </c>
      <c r="I1401" s="6">
        <v>151.86000000000001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0.57999999999999996</v>
      </c>
      <c r="U1401" s="5">
        <f>C1401+5</f>
        <v>40479</v>
      </c>
    </row>
    <row r="1402" spans="1:21" ht="12" customHeight="1">
      <c r="A1402" s="4">
        <v>1704</v>
      </c>
      <c r="B1402" s="4">
        <v>12261</v>
      </c>
      <c r="C1402" s="5">
        <f t="shared" si="609"/>
        <v>40474</v>
      </c>
      <c r="D1402" s="4" t="s">
        <v>21</v>
      </c>
      <c r="E1402" s="4">
        <v>4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spans="1:21" ht="12" customHeight="1">
      <c r="A1403" s="4">
        <v>1705</v>
      </c>
      <c r="B1403" s="4">
        <v>12261</v>
      </c>
      <c r="C1403" s="5">
        <f t="shared" si="609"/>
        <v>40474</v>
      </c>
      <c r="D1403" s="4" t="s">
        <v>21</v>
      </c>
      <c r="E1403" s="4">
        <v>19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0.57999999999999996</v>
      </c>
      <c r="U1403" s="5">
        <f>C1403+5</f>
        <v>40479</v>
      </c>
    </row>
    <row r="1404" spans="1:21" ht="12" customHeight="1">
      <c r="A1404" s="4">
        <v>1706</v>
      </c>
      <c r="B1404" s="4">
        <v>12261</v>
      </c>
      <c r="C1404" s="5">
        <f t="shared" si="609"/>
        <v>40474</v>
      </c>
      <c r="D1404" s="4" t="s">
        <v>21</v>
      </c>
      <c r="E1404" s="4">
        <v>23</v>
      </c>
      <c r="F1404" s="4">
        <v>217.35</v>
      </c>
      <c r="G1404" s="4">
        <v>0</v>
      </c>
      <c r="H1404" s="4" t="s">
        <v>22</v>
      </c>
      <c r="I1404" s="6">
        <v>-67.19</v>
      </c>
      <c r="J1404" s="4">
        <v>8.74</v>
      </c>
      <c r="K1404" s="4">
        <v>8.2899999999999991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spans="1:21" ht="12" customHeight="1">
      <c r="A1405" s="4">
        <v>1707</v>
      </c>
      <c r="B1405" s="4">
        <v>12261</v>
      </c>
      <c r="C1405" s="5">
        <f t="shared" si="609"/>
        <v>40474</v>
      </c>
      <c r="D1405" s="4" t="s">
        <v>21</v>
      </c>
      <c r="E1405" s="4">
        <v>15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19.989999999999998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0.55000000000000004</v>
      </c>
      <c r="U1405" s="5">
        <f>C1405+5</f>
        <v>40479</v>
      </c>
    </row>
    <row r="1406" spans="1:21" ht="12" customHeight="1">
      <c r="A1406" s="4">
        <v>1868</v>
      </c>
      <c r="B1406" s="4">
        <v>13444</v>
      </c>
      <c r="C1406" s="5">
        <f>DATE(2012,12,31)-361</f>
        <v>40913</v>
      </c>
      <c r="D1406" s="4" t="s">
        <v>30</v>
      </c>
      <c r="E1406" s="4">
        <v>33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spans="1:21" ht="12" customHeight="1">
      <c r="A1407" s="4">
        <v>1893</v>
      </c>
      <c r="B1407" s="4">
        <v>13601</v>
      </c>
      <c r="C1407" s="5">
        <f>DATE(2012,12,31)-137</f>
        <v>41137</v>
      </c>
      <c r="D1407" s="4" t="s">
        <v>21</v>
      </c>
      <c r="E1407" s="4">
        <v>17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19.989999999999998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0.56999999999999995</v>
      </c>
      <c r="U1407" s="5">
        <f>C1407+4</f>
        <v>41141</v>
      </c>
    </row>
    <row r="1408" spans="1:21" ht="12" customHeight="1">
      <c r="A1408" s="4">
        <v>1938</v>
      </c>
      <c r="B1408" s="4">
        <v>13894</v>
      </c>
      <c r="C1408" s="5">
        <f t="shared" ref="C1408:C1409" si="610">DATE(2012,12,31)-265</f>
        <v>41009</v>
      </c>
      <c r="D1408" s="4" t="s">
        <v>63</v>
      </c>
      <c r="E1408" s="4">
        <v>31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1">C1408+1</f>
        <v>41010</v>
      </c>
    </row>
    <row r="1409" spans="1:21" ht="12" customHeight="1">
      <c r="A1409" s="4">
        <v>1939</v>
      </c>
      <c r="B1409" s="4">
        <v>13894</v>
      </c>
      <c r="C1409" s="5">
        <f t="shared" si="610"/>
        <v>41009</v>
      </c>
      <c r="D1409" s="4" t="s">
        <v>63</v>
      </c>
      <c r="E1409" s="4">
        <v>50</v>
      </c>
      <c r="F1409" s="4">
        <v>1540.2850000000001</v>
      </c>
      <c r="G1409" s="4">
        <v>0.05</v>
      </c>
      <c r="H1409" s="4" t="s">
        <v>22</v>
      </c>
      <c r="I1409" s="6">
        <v>829.64700000000005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1"/>
        <v>41010</v>
      </c>
    </row>
    <row r="1410" spans="1:21" ht="12" customHeight="1">
      <c r="A1410" s="4">
        <v>2455</v>
      </c>
      <c r="B1410" s="4">
        <v>17858</v>
      </c>
      <c r="C1410" s="5">
        <f t="shared" ref="C1410:C1412" si="612">DATE(2012,12,31)-828</f>
        <v>40446</v>
      </c>
      <c r="D1410" s="4" t="s">
        <v>63</v>
      </c>
      <c r="E1410" s="4">
        <v>21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spans="1:21" ht="12" customHeight="1">
      <c r="A1411" s="4">
        <v>2456</v>
      </c>
      <c r="B1411" s="4">
        <v>17858</v>
      </c>
      <c r="C1411" s="5">
        <f t="shared" si="612"/>
        <v>40446</v>
      </c>
      <c r="D1411" s="4" t="s">
        <v>63</v>
      </c>
      <c r="E1411" s="4">
        <v>12</v>
      </c>
      <c r="F1411" s="4">
        <v>385.7</v>
      </c>
      <c r="G1411" s="4">
        <v>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3">C1411+1</f>
        <v>40447</v>
      </c>
    </row>
    <row r="1412" spans="1:21" ht="12" customHeight="1">
      <c r="A1412" s="4">
        <v>2457</v>
      </c>
      <c r="B1412" s="4">
        <v>17858</v>
      </c>
      <c r="C1412" s="5">
        <f t="shared" si="612"/>
        <v>40446</v>
      </c>
      <c r="D1412" s="4" t="s">
        <v>63</v>
      </c>
      <c r="E1412" s="4">
        <v>46</v>
      </c>
      <c r="F1412" s="4">
        <v>1048.3900000000001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3"/>
        <v>40447</v>
      </c>
    </row>
    <row r="1413" spans="1:21" ht="12" customHeight="1">
      <c r="A1413" s="4">
        <v>2739</v>
      </c>
      <c r="B1413" s="4">
        <v>19777</v>
      </c>
      <c r="C1413" s="5">
        <f t="shared" ref="C1413:C1415" si="614">DATE(2012,12,31)-73</f>
        <v>41201</v>
      </c>
      <c r="D1413" s="4" t="s">
        <v>45</v>
      </c>
      <c r="E1413" s="4">
        <v>22</v>
      </c>
      <c r="F1413" s="4">
        <v>321.91000000000003</v>
      </c>
      <c r="G1413" s="4">
        <v>0.06</v>
      </c>
      <c r="H1413" s="4" t="s">
        <v>22</v>
      </c>
      <c r="I1413" s="6">
        <v>-24.954999999999998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spans="1:21" ht="12" customHeight="1">
      <c r="A1414" s="4">
        <v>2740</v>
      </c>
      <c r="B1414" s="4">
        <v>19777</v>
      </c>
      <c r="C1414" s="5">
        <f t="shared" si="614"/>
        <v>41201</v>
      </c>
      <c r="D1414" s="4" t="s">
        <v>45</v>
      </c>
      <c r="E1414" s="4">
        <v>2</v>
      </c>
      <c r="F1414" s="4">
        <v>132.96</v>
      </c>
      <c r="G1414" s="4">
        <v>0.05</v>
      </c>
      <c r="H1414" s="4" t="s">
        <v>22</v>
      </c>
      <c r="I1414" s="6">
        <v>-61.881500000000003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5">C1414+2</f>
        <v>41203</v>
      </c>
    </row>
    <row r="1415" spans="1:21" ht="12" customHeight="1">
      <c r="A1415" s="4">
        <v>2741</v>
      </c>
      <c r="B1415" s="4">
        <v>19777</v>
      </c>
      <c r="C1415" s="5">
        <f t="shared" si="614"/>
        <v>41201</v>
      </c>
      <c r="D1415" s="4" t="s">
        <v>45</v>
      </c>
      <c r="E1415" s="4">
        <v>24</v>
      </c>
      <c r="F1415" s="4">
        <v>3268.7514999999999</v>
      </c>
      <c r="G1415" s="4">
        <v>0.04</v>
      </c>
      <c r="H1415" s="4" t="s">
        <v>22</v>
      </c>
      <c r="I1415" s="6">
        <v>562.91399999999999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5"/>
        <v>41203</v>
      </c>
    </row>
    <row r="1416" spans="1:21" ht="12" customHeight="1">
      <c r="A1416" s="4">
        <v>2992</v>
      </c>
      <c r="B1416" s="4">
        <v>21601</v>
      </c>
      <c r="C1416" s="5">
        <f>DATE(2012,12,31)-635</f>
        <v>40639</v>
      </c>
      <c r="D1416" s="4" t="s">
        <v>21</v>
      </c>
      <c r="E1416" s="4">
        <v>20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spans="1:21" ht="12" customHeight="1">
      <c r="A1417" s="4">
        <v>3013</v>
      </c>
      <c r="B1417" s="4">
        <v>21670</v>
      </c>
      <c r="C1417" s="5">
        <f>DATE(2012,12,31)-720</f>
        <v>40554</v>
      </c>
      <c r="D1417" s="4" t="s">
        <v>30</v>
      </c>
      <c r="E1417" s="4">
        <v>24</v>
      </c>
      <c r="F1417" s="4">
        <v>1965.21</v>
      </c>
      <c r="G1417" s="4">
        <v>0</v>
      </c>
      <c r="H1417" s="4" t="s">
        <v>22</v>
      </c>
      <c r="I1417" s="6">
        <v>830.75</v>
      </c>
      <c r="J1417" s="4">
        <v>78.69</v>
      </c>
      <c r="K1417" s="4">
        <v>19.989999999999998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spans="1:21" ht="12" customHeight="1">
      <c r="A1418" s="4">
        <v>3285</v>
      </c>
      <c r="B1418" s="4">
        <v>23489</v>
      </c>
      <c r="C1418" s="5">
        <f>DATE(2012,12,31)-125</f>
        <v>41149</v>
      </c>
      <c r="D1418" s="4" t="s">
        <v>30</v>
      </c>
      <c r="E1418" s="4">
        <v>42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spans="1:21" ht="12" customHeight="1">
      <c r="A1419" s="4">
        <v>3432</v>
      </c>
      <c r="B1419" s="4">
        <v>24486</v>
      </c>
      <c r="C1419" s="5">
        <f t="shared" ref="C1419:C1420" si="616">DATE(2012,12,31)-619</f>
        <v>40655</v>
      </c>
      <c r="D1419" s="4" t="s">
        <v>63</v>
      </c>
      <c r="E1419" s="4">
        <v>3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8.1199999999999992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7">C1419+1</f>
        <v>40656</v>
      </c>
    </row>
    <row r="1420" spans="1:21" ht="12" customHeight="1">
      <c r="A1420" s="4">
        <v>3433</v>
      </c>
      <c r="B1420" s="4">
        <v>24486</v>
      </c>
      <c r="C1420" s="5">
        <f t="shared" si="616"/>
        <v>40655</v>
      </c>
      <c r="D1420" s="4" t="s">
        <v>63</v>
      </c>
      <c r="E1420" s="4">
        <v>14</v>
      </c>
      <c r="F1420" s="4">
        <v>27.06</v>
      </c>
      <c r="G1420" s="4">
        <v>0</v>
      </c>
      <c r="H1420" s="4" t="s">
        <v>22</v>
      </c>
      <c r="I1420" s="6">
        <v>-6.0000000000000053E-2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0.56000000000000005</v>
      </c>
      <c r="U1420" s="5">
        <f t="shared" si="617"/>
        <v>40656</v>
      </c>
    </row>
    <row r="1421" spans="1:21" ht="12" customHeight="1">
      <c r="A1421" s="4">
        <v>3601</v>
      </c>
      <c r="B1421" s="4">
        <v>25697</v>
      </c>
      <c r="C1421" s="5">
        <f>DATE(2012,12,31)-615</f>
        <v>40659</v>
      </c>
      <c r="D1421" s="4" t="s">
        <v>21</v>
      </c>
      <c r="E1421" s="4">
        <v>46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8.4600000000000009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spans="1:21" ht="12" customHeight="1">
      <c r="A1422" s="4">
        <v>3854</v>
      </c>
      <c r="B1422" s="4">
        <v>27490</v>
      </c>
      <c r="C1422" s="5">
        <f>DATE(2012,12,31)-292</f>
        <v>40982</v>
      </c>
      <c r="D1422" s="4" t="s">
        <v>45</v>
      </c>
      <c r="E1422" s="4">
        <v>18</v>
      </c>
      <c r="F1422" s="4">
        <v>611.71</v>
      </c>
      <c r="G1422" s="4">
        <v>0.02</v>
      </c>
      <c r="H1422" s="4" t="s">
        <v>22</v>
      </c>
      <c r="I1422" s="6">
        <v>93.228000000000009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8">C1422+2</f>
        <v>40984</v>
      </c>
    </row>
    <row r="1423" spans="1:21" ht="12" customHeight="1">
      <c r="A1423" s="4">
        <v>3906</v>
      </c>
      <c r="B1423" s="4">
        <v>27844</v>
      </c>
      <c r="C1423" s="5">
        <f>DATE(2012,12,31)-551</f>
        <v>40723</v>
      </c>
      <c r="D1423" s="4" t="s">
        <v>21</v>
      </c>
      <c r="E1423" s="4">
        <v>27</v>
      </c>
      <c r="F1423" s="4">
        <v>135.86000000000001</v>
      </c>
      <c r="G1423" s="4">
        <v>0.04</v>
      </c>
      <c r="H1423" s="4" t="s">
        <v>22</v>
      </c>
      <c r="I1423" s="6">
        <v>-73.42</v>
      </c>
      <c r="J1423" s="4">
        <v>4.9800000000000004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8"/>
        <v>40725</v>
      </c>
    </row>
    <row r="1424" spans="1:21" ht="12" customHeight="1">
      <c r="A1424" s="4">
        <v>3989</v>
      </c>
      <c r="B1424" s="4">
        <v>28482</v>
      </c>
      <c r="C1424" s="5">
        <f t="shared" ref="C1424:C1425" si="619">DATE(2012,12,31)-1029</f>
        <v>40245</v>
      </c>
      <c r="D1424" s="4" t="s">
        <v>78</v>
      </c>
      <c r="E1424" s="4">
        <v>22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8"/>
        <v>40247</v>
      </c>
    </row>
    <row r="1425" spans="1:21" ht="12" customHeight="1">
      <c r="A1425" s="4">
        <v>3990</v>
      </c>
      <c r="B1425" s="4">
        <v>28482</v>
      </c>
      <c r="C1425" s="5">
        <f t="shared" si="619"/>
        <v>40245</v>
      </c>
      <c r="D1425" s="4" t="s">
        <v>78</v>
      </c>
      <c r="E1425" s="4">
        <v>40</v>
      </c>
      <c r="F1425" s="4">
        <v>177.92</v>
      </c>
      <c r="G1425" s="4">
        <v>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spans="1:21" ht="12" customHeight="1">
      <c r="A1426" s="4">
        <v>4012</v>
      </c>
      <c r="B1426" s="4">
        <v>28642</v>
      </c>
      <c r="C1426" s="5">
        <f t="shared" ref="C1426:C1427" si="620">DATE(2012,12,31)-713</f>
        <v>40561</v>
      </c>
      <c r="D1426" s="4" t="s">
        <v>30</v>
      </c>
      <c r="E1426" s="4">
        <v>41</v>
      </c>
      <c r="F1426" s="4">
        <v>230.29</v>
      </c>
      <c r="G1426" s="4">
        <v>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1">C1426+2</f>
        <v>40563</v>
      </c>
    </row>
    <row r="1427" spans="1:21" ht="12" customHeight="1">
      <c r="A1427" s="4">
        <v>4013</v>
      </c>
      <c r="B1427" s="4">
        <v>28642</v>
      </c>
      <c r="C1427" s="5">
        <f t="shared" si="620"/>
        <v>40561</v>
      </c>
      <c r="D1427" s="4" t="s">
        <v>30</v>
      </c>
      <c r="E1427" s="4">
        <v>27</v>
      </c>
      <c r="F1427" s="4">
        <v>1592.0415</v>
      </c>
      <c r="G1427" s="4">
        <v>0</v>
      </c>
      <c r="H1427" s="4" t="s">
        <v>22</v>
      </c>
      <c r="I1427" s="6">
        <v>-52.700999999999993</v>
      </c>
      <c r="J1427" s="4">
        <v>65.989999999999995</v>
      </c>
      <c r="K1427" s="4">
        <v>19.989999999999998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1"/>
        <v>40563</v>
      </c>
    </row>
    <row r="1428" spans="1:21" ht="12" customHeight="1">
      <c r="A1428" s="4">
        <v>4499</v>
      </c>
      <c r="B1428" s="4">
        <v>32036</v>
      </c>
      <c r="C1428" s="5">
        <f t="shared" ref="C1428:C1429" si="622">DATE(2012,12,31)-453</f>
        <v>40821</v>
      </c>
      <c r="D1428" s="4" t="s">
        <v>63</v>
      </c>
      <c r="E1428" s="4">
        <v>6</v>
      </c>
      <c r="F1428" s="4">
        <v>338.89</v>
      </c>
      <c r="G1428" s="4">
        <v>7.0000000000000007E-2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1"/>
        <v>40823</v>
      </c>
    </row>
    <row r="1429" spans="1:21" ht="12" customHeight="1">
      <c r="A1429" s="4">
        <v>4500</v>
      </c>
      <c r="B1429" s="4">
        <v>32036</v>
      </c>
      <c r="C1429" s="5">
        <f t="shared" si="622"/>
        <v>40821</v>
      </c>
      <c r="D1429" s="4" t="s">
        <v>63</v>
      </c>
      <c r="E1429" s="4">
        <v>25</v>
      </c>
      <c r="F1429" s="4">
        <v>362.52</v>
      </c>
      <c r="G1429" s="4">
        <v>7.0000000000000007E-2</v>
      </c>
      <c r="H1429" s="4" t="s">
        <v>22</v>
      </c>
      <c r="I1429" s="6">
        <v>-68.489999999999995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0.56999999999999995</v>
      </c>
      <c r="U1429" s="5">
        <f>C1429+1</f>
        <v>40822</v>
      </c>
    </row>
    <row r="1430" spans="1:21" ht="12" customHeight="1">
      <c r="A1430" s="4">
        <v>4702</v>
      </c>
      <c r="B1430" s="4">
        <v>33505</v>
      </c>
      <c r="C1430" s="5">
        <f t="shared" ref="C1430:C1431" si="623">DATE(2012,12,31)-828</f>
        <v>40446</v>
      </c>
      <c r="D1430" s="4" t="s">
        <v>21</v>
      </c>
      <c r="E1430" s="4">
        <v>32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spans="1:21" ht="12" customHeight="1">
      <c r="A1431" s="4">
        <v>4703</v>
      </c>
      <c r="B1431" s="4">
        <v>33505</v>
      </c>
      <c r="C1431" s="5">
        <f t="shared" si="623"/>
        <v>40446</v>
      </c>
      <c r="D1431" s="4" t="s">
        <v>21</v>
      </c>
      <c r="E1431" s="4">
        <v>35</v>
      </c>
      <c r="F1431" s="4">
        <v>2463.2404999999999</v>
      </c>
      <c r="G1431" s="4">
        <v>7.0000000000000007E-2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0.57999999999999996</v>
      </c>
      <c r="U1431" s="5">
        <f>C1431+0</f>
        <v>40446</v>
      </c>
    </row>
    <row r="1432" spans="1:21" ht="12" customHeight="1">
      <c r="A1432" s="4">
        <v>4797</v>
      </c>
      <c r="B1432" s="4">
        <v>34086</v>
      </c>
      <c r="C1432" s="5">
        <f>DATE(2012,12,31)-246</f>
        <v>41028</v>
      </c>
      <c r="D1432" s="4" t="s">
        <v>30</v>
      </c>
      <c r="E1432" s="4">
        <v>41</v>
      </c>
      <c r="F1432" s="4">
        <v>2251.9135000000001</v>
      </c>
      <c r="G1432" s="4">
        <v>0.04</v>
      </c>
      <c r="H1432" s="4" t="s">
        <v>22</v>
      </c>
      <c r="I1432" s="6">
        <v>655.91099999999994</v>
      </c>
      <c r="J1432" s="4">
        <v>65.989999999999995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0.55000000000000004</v>
      </c>
      <c r="U1432" s="5">
        <f t="shared" ref="U1432:U1436" si="624">C1432+2</f>
        <v>41030</v>
      </c>
    </row>
    <row r="1433" spans="1:21" ht="12" customHeight="1">
      <c r="A1433" s="4">
        <v>4809</v>
      </c>
      <c r="B1433" s="4">
        <v>34209</v>
      </c>
      <c r="C1433" s="5">
        <f t="shared" ref="C1433:C1434" si="625">DATE(2012,12,31)-860</f>
        <v>40414</v>
      </c>
      <c r="D1433" s="4" t="s">
        <v>30</v>
      </c>
      <c r="E1433" s="4">
        <v>48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4"/>
        <v>40416</v>
      </c>
    </row>
    <row r="1434" spans="1:21" ht="12" customHeight="1">
      <c r="A1434" s="4">
        <v>4810</v>
      </c>
      <c r="B1434" s="4">
        <v>34209</v>
      </c>
      <c r="C1434" s="5">
        <f t="shared" si="625"/>
        <v>40414</v>
      </c>
      <c r="D1434" s="4" t="s">
        <v>30</v>
      </c>
      <c r="E1434" s="4">
        <v>29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4"/>
        <v>40416</v>
      </c>
    </row>
    <row r="1435" spans="1:21" ht="12" customHeight="1">
      <c r="A1435" s="4">
        <v>5247</v>
      </c>
      <c r="B1435" s="4">
        <v>37318</v>
      </c>
      <c r="C1435" s="5">
        <f>DATE(2012,12,31)-991</f>
        <v>40283</v>
      </c>
      <c r="D1435" s="4" t="s">
        <v>63</v>
      </c>
      <c r="E1435" s="4">
        <v>32</v>
      </c>
      <c r="F1435" s="4">
        <v>1031.23</v>
      </c>
      <c r="G1435" s="4">
        <v>7.0000000000000007E-2</v>
      </c>
      <c r="H1435" s="4" t="s">
        <v>22</v>
      </c>
      <c r="I1435" s="6">
        <v>-138.54</v>
      </c>
      <c r="J1435" s="4">
        <v>33.979999999999997</v>
      </c>
      <c r="K1435" s="4">
        <v>19.989999999999998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0.55000000000000004</v>
      </c>
      <c r="U1435" s="5">
        <f t="shared" si="624"/>
        <v>40285</v>
      </c>
    </row>
    <row r="1436" spans="1:21" ht="12" customHeight="1">
      <c r="A1436" s="4">
        <v>5412</v>
      </c>
      <c r="B1436" s="4">
        <v>38496</v>
      </c>
      <c r="C1436" s="5">
        <f>DATE(2012,12,31)-1045</f>
        <v>40229</v>
      </c>
      <c r="D1436" s="4" t="s">
        <v>78</v>
      </c>
      <c r="E1436" s="4">
        <v>23</v>
      </c>
      <c r="F1436" s="4">
        <v>116.57</v>
      </c>
      <c r="G1436" s="4">
        <v>7.0000000000000007E-2</v>
      </c>
      <c r="H1436" s="4" t="s">
        <v>22</v>
      </c>
      <c r="I1436" s="6">
        <v>-43.18</v>
      </c>
      <c r="J1436" s="4">
        <v>4.9800000000000004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4"/>
        <v>40231</v>
      </c>
    </row>
    <row r="1437" spans="1:21" ht="12" customHeight="1">
      <c r="A1437" s="4">
        <v>5878</v>
      </c>
      <c r="B1437" s="4">
        <v>41702</v>
      </c>
      <c r="C1437" s="5">
        <f t="shared" ref="C1437:C1438" si="626">DATE(2012,12,31)-740</f>
        <v>40534</v>
      </c>
      <c r="D1437" s="4" t="s">
        <v>45</v>
      </c>
      <c r="E1437" s="4">
        <v>21</v>
      </c>
      <c r="F1437" s="4">
        <v>3323.44</v>
      </c>
      <c r="G1437" s="4">
        <v>0.03</v>
      </c>
      <c r="H1437" s="4" t="s">
        <v>22</v>
      </c>
      <c r="I1437" s="6">
        <v>99.879999999999939</v>
      </c>
      <c r="J1437" s="4">
        <v>152.47999999999999</v>
      </c>
      <c r="K1437" s="4">
        <v>4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spans="1:21" ht="12" customHeight="1">
      <c r="A1438" s="4">
        <v>5879</v>
      </c>
      <c r="B1438" s="4">
        <v>41702</v>
      </c>
      <c r="C1438" s="5">
        <f t="shared" si="626"/>
        <v>40534</v>
      </c>
      <c r="D1438" s="4" t="s">
        <v>45</v>
      </c>
      <c r="E1438" s="4">
        <v>5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7">C1438+2</f>
        <v>40536</v>
      </c>
    </row>
    <row r="1439" spans="1:21" ht="12" customHeight="1">
      <c r="A1439" s="4">
        <v>6317</v>
      </c>
      <c r="B1439" s="4">
        <v>44706</v>
      </c>
      <c r="C1439" s="5">
        <f t="shared" ref="C1439:C1440" si="628">DATE(2012,12,31)-1007</f>
        <v>40267</v>
      </c>
      <c r="D1439" s="4" t="s">
        <v>21</v>
      </c>
      <c r="E1439" s="4">
        <v>18</v>
      </c>
      <c r="F1439" s="4">
        <v>7556.61</v>
      </c>
      <c r="G1439" s="4">
        <v>0.08</v>
      </c>
      <c r="H1439" s="4" t="s">
        <v>31</v>
      </c>
      <c r="I1439" s="6">
        <v>-352.24200000000002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7"/>
        <v>40269</v>
      </c>
    </row>
    <row r="1440" spans="1:21" ht="12" customHeight="1">
      <c r="A1440" s="4">
        <v>6318</v>
      </c>
      <c r="B1440" s="4">
        <v>44706</v>
      </c>
      <c r="C1440" s="5">
        <f t="shared" si="628"/>
        <v>40267</v>
      </c>
      <c r="D1440" s="4" t="s">
        <v>21</v>
      </c>
      <c r="E1440" s="4">
        <v>33</v>
      </c>
      <c r="F1440" s="4">
        <v>47.48</v>
      </c>
      <c r="G1440" s="4">
        <v>7.0000000000000007E-2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spans="1:21" ht="12" customHeight="1">
      <c r="A1441" s="4">
        <v>6383</v>
      </c>
      <c r="B1441" s="4">
        <v>45347</v>
      </c>
      <c r="C1441" s="5">
        <f t="shared" ref="C1441:C1442" si="629">DATE(2012,12,31)-824</f>
        <v>40450</v>
      </c>
      <c r="D1441" s="4" t="s">
        <v>63</v>
      </c>
      <c r="E1441" s="4">
        <v>10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spans="1:21" ht="12" customHeight="1">
      <c r="A1442" s="4">
        <v>6384</v>
      </c>
      <c r="B1442" s="4">
        <v>45347</v>
      </c>
      <c r="C1442" s="5">
        <f t="shared" si="629"/>
        <v>40450</v>
      </c>
      <c r="D1442" s="4" t="s">
        <v>63</v>
      </c>
      <c r="E1442" s="4">
        <v>41</v>
      </c>
      <c r="F1442" s="4">
        <v>24051.49</v>
      </c>
      <c r="G1442" s="4">
        <v>7.0000000000000007E-2</v>
      </c>
      <c r="H1442" s="4" t="s">
        <v>56</v>
      </c>
      <c r="I1442" s="6">
        <v>9791.0410000000011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0">C1442+2</f>
        <v>40452</v>
      </c>
    </row>
    <row r="1443" spans="1:21" ht="12" customHeight="1">
      <c r="A1443" s="4">
        <v>7068</v>
      </c>
      <c r="B1443" s="4">
        <v>50433</v>
      </c>
      <c r="C1443" s="5">
        <f>DATE(2012,12,31)-347</f>
        <v>40927</v>
      </c>
      <c r="D1443" s="4" t="s">
        <v>78</v>
      </c>
      <c r="E1443" s="4">
        <v>50</v>
      </c>
      <c r="F1443" s="4">
        <v>6628.55</v>
      </c>
      <c r="G1443" s="4">
        <v>0.1</v>
      </c>
      <c r="H1443" s="4" t="s">
        <v>31</v>
      </c>
      <c r="I1443" s="6">
        <v>1081.6500000000001</v>
      </c>
      <c r="J1443" s="4">
        <v>145.44999999999999</v>
      </c>
      <c r="K1443" s="4">
        <v>17.850000000000001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0.56000000000000005</v>
      </c>
      <c r="U1443" s="5">
        <f t="shared" si="630"/>
        <v>40929</v>
      </c>
    </row>
    <row r="1444" spans="1:21" ht="12" customHeight="1">
      <c r="A1444" s="4">
        <v>7106</v>
      </c>
      <c r="B1444" s="4">
        <v>50721</v>
      </c>
      <c r="C1444" s="5">
        <f>DATE(2012,12,31)-308</f>
        <v>40966</v>
      </c>
      <c r="D1444" s="4" t="s">
        <v>30</v>
      </c>
      <c r="E1444" s="4">
        <v>33</v>
      </c>
      <c r="F1444" s="4">
        <v>9758.7000000000007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19.989999999999998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0"/>
        <v>40968</v>
      </c>
    </row>
    <row r="1445" spans="1:21" ht="12" customHeight="1">
      <c r="A1445" s="4">
        <v>7114</v>
      </c>
      <c r="B1445" s="4">
        <v>50758</v>
      </c>
      <c r="C1445" s="5">
        <f>DATE(2012,12,31)-172</f>
        <v>41102</v>
      </c>
      <c r="D1445" s="4" t="s">
        <v>63</v>
      </c>
      <c r="E1445" s="4">
        <v>17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0"/>
        <v>41104</v>
      </c>
    </row>
    <row r="1446" spans="1:21" ht="12" customHeight="1">
      <c r="A1446" s="4">
        <v>7135</v>
      </c>
      <c r="B1446" s="4">
        <v>50883</v>
      </c>
      <c r="C1446" s="5">
        <f>DATE(2012,12,31)-213</f>
        <v>41061</v>
      </c>
      <c r="D1446" s="4" t="s">
        <v>21</v>
      </c>
      <c r="E1446" s="4">
        <v>35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spans="1:21" ht="12" customHeight="1">
      <c r="A1447" s="4">
        <v>7219</v>
      </c>
      <c r="B1447" s="4">
        <v>51524</v>
      </c>
      <c r="C1447" s="5">
        <f t="shared" ref="C1447:C1448" si="631">DATE(2012,12,31)-1023</f>
        <v>40251</v>
      </c>
      <c r="D1447" s="4" t="s">
        <v>63</v>
      </c>
      <c r="E1447" s="4">
        <v>16</v>
      </c>
      <c r="F1447" s="4">
        <v>2723.1</v>
      </c>
      <c r="G1447" s="4">
        <v>7.0000000000000007E-2</v>
      </c>
      <c r="H1447" s="4" t="s">
        <v>22</v>
      </c>
      <c r="I1447" s="6">
        <v>-446.31</v>
      </c>
      <c r="J1447" s="4">
        <v>167.27</v>
      </c>
      <c r="K1447" s="4">
        <v>35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spans="1:21" ht="12" customHeight="1">
      <c r="A1448" s="4">
        <v>7220</v>
      </c>
      <c r="B1448" s="4">
        <v>51524</v>
      </c>
      <c r="C1448" s="5">
        <f t="shared" si="631"/>
        <v>40251</v>
      </c>
      <c r="D1448" s="4" t="s">
        <v>63</v>
      </c>
      <c r="E1448" s="4">
        <v>20</v>
      </c>
      <c r="F1448" s="4">
        <v>347.26749999999998</v>
      </c>
      <c r="G1448" s="4">
        <v>0.06</v>
      </c>
      <c r="H1448" s="4" t="s">
        <v>56</v>
      </c>
      <c r="I1448" s="6">
        <v>-71.092999999999989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spans="1:21" ht="12" customHeight="1">
      <c r="A1449" s="4">
        <v>7345</v>
      </c>
      <c r="B1449" s="4">
        <v>52322</v>
      </c>
      <c r="C1449" s="5">
        <f>DATE(2012,12,31)-1063</f>
        <v>40211</v>
      </c>
      <c r="D1449" s="4" t="s">
        <v>21</v>
      </c>
      <c r="E1449" s="4">
        <v>1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spans="1:21" ht="12" customHeight="1">
      <c r="A1450" s="4">
        <v>7427</v>
      </c>
      <c r="B1450" s="4">
        <v>52932</v>
      </c>
      <c r="C1450" s="5">
        <f>DATE(2012,12,31)-233</f>
        <v>41041</v>
      </c>
      <c r="D1450" s="4" t="s">
        <v>21</v>
      </c>
      <c r="E1450" s="4">
        <v>3</v>
      </c>
      <c r="F1450" s="4">
        <v>26.23</v>
      </c>
      <c r="G1450" s="4">
        <v>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spans="1:21" ht="12" customHeight="1">
      <c r="A1451" s="4">
        <v>7431</v>
      </c>
      <c r="B1451" s="4">
        <v>52995</v>
      </c>
      <c r="C1451" s="5">
        <f>DATE(2012,12,31)-291</f>
        <v>40983</v>
      </c>
      <c r="D1451" s="4" t="s">
        <v>45</v>
      </c>
      <c r="E1451" s="4">
        <v>8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spans="1:21" ht="12" customHeight="1">
      <c r="A1452" s="4">
        <v>7435</v>
      </c>
      <c r="B1452" s="4">
        <v>53024</v>
      </c>
      <c r="C1452" s="5">
        <f t="shared" ref="C1452:C1453" si="632">DATE(2012,12,31)-233</f>
        <v>41041</v>
      </c>
      <c r="D1452" s="4" t="s">
        <v>45</v>
      </c>
      <c r="E1452" s="4">
        <v>9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3">C1452+1</f>
        <v>41042</v>
      </c>
    </row>
    <row r="1453" spans="1:21" ht="12" customHeight="1">
      <c r="A1453" s="4">
        <v>7436</v>
      </c>
      <c r="B1453" s="4">
        <v>53024</v>
      </c>
      <c r="C1453" s="5">
        <f t="shared" si="632"/>
        <v>41041</v>
      </c>
      <c r="D1453" s="4" t="s">
        <v>45</v>
      </c>
      <c r="E1453" s="4">
        <v>46</v>
      </c>
      <c r="F1453" s="4">
        <v>2255.1945000000001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3"/>
        <v>41042</v>
      </c>
    </row>
    <row r="1454" spans="1:21" ht="12" customHeight="1">
      <c r="A1454" s="4">
        <v>7567</v>
      </c>
      <c r="B1454" s="4">
        <v>54145</v>
      </c>
      <c r="C1454" s="5">
        <f>DATE(2012,12,31)-1094</f>
        <v>40180</v>
      </c>
      <c r="D1454" s="4" t="s">
        <v>21</v>
      </c>
      <c r="E1454" s="4">
        <v>34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4">C1454+0</f>
        <v>40180</v>
      </c>
    </row>
    <row r="1455" spans="1:21" ht="12" customHeight="1">
      <c r="A1455" s="4">
        <v>7964</v>
      </c>
      <c r="B1455" s="4">
        <v>56930</v>
      </c>
      <c r="C1455" s="5">
        <f>DATE(2012,12,31)-136</f>
        <v>41138</v>
      </c>
      <c r="D1455" s="4" t="s">
        <v>21</v>
      </c>
      <c r="E1455" s="4">
        <v>10</v>
      </c>
      <c r="F1455" s="4">
        <v>987.54</v>
      </c>
      <c r="G1455" s="4">
        <v>7.0000000000000007E-2</v>
      </c>
      <c r="H1455" s="4" t="s">
        <v>22</v>
      </c>
      <c r="I1455" s="6">
        <v>-396.84</v>
      </c>
      <c r="J1455" s="4">
        <v>101.41</v>
      </c>
      <c r="K1455" s="4">
        <v>35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4"/>
        <v>41138</v>
      </c>
    </row>
    <row r="1456" spans="1:21" ht="12" customHeight="1">
      <c r="A1456" s="4">
        <v>8068</v>
      </c>
      <c r="B1456" s="4">
        <v>57570</v>
      </c>
      <c r="C1456" s="5">
        <f>DATE(2012,12,31)-94</f>
        <v>41180</v>
      </c>
      <c r="D1456" s="4" t="s">
        <v>30</v>
      </c>
      <c r="E1456" s="4">
        <v>27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5">C1456+2</f>
        <v>41182</v>
      </c>
    </row>
    <row r="1457" spans="1:21" ht="12" customHeight="1">
      <c r="A1457" s="4">
        <v>8121</v>
      </c>
      <c r="B1457" s="4">
        <v>58051</v>
      </c>
      <c r="C1457" s="5">
        <f>DATE(2012,12,31)-286</f>
        <v>40988</v>
      </c>
      <c r="D1457" s="4" t="s">
        <v>30</v>
      </c>
      <c r="E1457" s="4">
        <v>6</v>
      </c>
      <c r="F1457" s="4">
        <v>256.60000000000002</v>
      </c>
      <c r="G1457" s="4">
        <v>0</v>
      </c>
      <c r="H1457" s="4" t="s">
        <v>22</v>
      </c>
      <c r="I1457" s="6">
        <v>-106.76</v>
      </c>
      <c r="J1457" s="4">
        <v>39.979999999999997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5"/>
        <v>40990</v>
      </c>
    </row>
    <row r="1458" spans="1:21" ht="12" customHeight="1">
      <c r="A1458" s="4">
        <v>8311</v>
      </c>
      <c r="B1458" s="4">
        <v>59392</v>
      </c>
      <c r="C1458" s="5">
        <f t="shared" ref="C1458:C1459" si="636">DATE(2012,12,31)-919</f>
        <v>40355</v>
      </c>
      <c r="D1458" s="4" t="s">
        <v>63</v>
      </c>
      <c r="E1458" s="4">
        <v>19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0.55000000000000004</v>
      </c>
      <c r="U1458" s="5">
        <f>C1458+1</f>
        <v>40356</v>
      </c>
    </row>
    <row r="1459" spans="1:21" ht="12" customHeight="1">
      <c r="A1459" s="4">
        <v>8312</v>
      </c>
      <c r="B1459" s="4">
        <v>59392</v>
      </c>
      <c r="C1459" s="5">
        <f t="shared" si="636"/>
        <v>40355</v>
      </c>
      <c r="D1459" s="4" t="s">
        <v>63</v>
      </c>
      <c r="E1459" s="4">
        <v>45</v>
      </c>
      <c r="F1459" s="4">
        <v>1305.31</v>
      </c>
      <c r="G1459" s="4">
        <v>0.03</v>
      </c>
      <c r="H1459" s="4" t="s">
        <v>22</v>
      </c>
      <c r="I1459" s="6">
        <v>589.20000000000005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7">C1459+2</f>
        <v>40357</v>
      </c>
    </row>
    <row r="1460" spans="1:21" ht="12" customHeight="1">
      <c r="A1460" s="4">
        <v>534</v>
      </c>
      <c r="B1460" s="4">
        <v>3648</v>
      </c>
      <c r="C1460" s="5">
        <f t="shared" ref="C1460:C1461" si="638">DATE(2012,12,31)-929</f>
        <v>40345</v>
      </c>
      <c r="D1460" s="4" t="s">
        <v>21</v>
      </c>
      <c r="E1460" s="4">
        <v>46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7"/>
        <v>40347</v>
      </c>
    </row>
    <row r="1461" spans="1:21" ht="12" customHeight="1">
      <c r="A1461" s="4">
        <v>535</v>
      </c>
      <c r="B1461" s="4">
        <v>3648</v>
      </c>
      <c r="C1461" s="5">
        <f t="shared" si="638"/>
        <v>40345</v>
      </c>
      <c r="D1461" s="4" t="s">
        <v>21</v>
      </c>
      <c r="E1461" s="4">
        <v>34</v>
      </c>
      <c r="F1461" s="4">
        <v>5488.5264999999999</v>
      </c>
      <c r="G1461" s="4">
        <v>0.05</v>
      </c>
      <c r="H1461" s="4" t="s">
        <v>22</v>
      </c>
      <c r="I1461" s="6">
        <v>1382.4449999999999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0.56999999999999995</v>
      </c>
      <c r="U1461" s="5">
        <f>C1461+7</f>
        <v>40352</v>
      </c>
    </row>
    <row r="1462" spans="1:21" ht="12" customHeight="1">
      <c r="A1462" s="4">
        <v>1242</v>
      </c>
      <c r="B1462" s="4">
        <v>9028</v>
      </c>
      <c r="C1462" s="5">
        <f>DATE(2012,12,31)-741</f>
        <v>40533</v>
      </c>
      <c r="D1462" s="4" t="s">
        <v>21</v>
      </c>
      <c r="E1462" s="4">
        <v>48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0.56000000000000005</v>
      </c>
      <c r="U1462" s="5">
        <f>C1462+4</f>
        <v>40537</v>
      </c>
    </row>
    <row r="1463" spans="1:21" ht="12" customHeight="1">
      <c r="A1463" s="4">
        <v>1715</v>
      </c>
      <c r="B1463" s="4">
        <v>12323</v>
      </c>
      <c r="C1463" s="5">
        <f t="shared" ref="C1463:C1464" si="639">DATE(2012,12,31)-639</f>
        <v>40635</v>
      </c>
      <c r="D1463" s="4" t="s">
        <v>45</v>
      </c>
      <c r="E1463" s="4">
        <v>32</v>
      </c>
      <c r="F1463" s="4">
        <v>513.74</v>
      </c>
      <c r="G1463" s="4">
        <v>0.02</v>
      </c>
      <c r="H1463" s="4" t="s">
        <v>22</v>
      </c>
      <c r="I1463" s="6">
        <v>-28.681000000000001</v>
      </c>
      <c r="J1463" s="4">
        <v>15.15</v>
      </c>
      <c r="K1463" s="4">
        <v>10.130000000000001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spans="1:21" ht="12" customHeight="1">
      <c r="A1464" s="4">
        <v>1716</v>
      </c>
      <c r="B1464" s="4">
        <v>12323</v>
      </c>
      <c r="C1464" s="5">
        <f t="shared" si="639"/>
        <v>40635</v>
      </c>
      <c r="D1464" s="4" t="s">
        <v>45</v>
      </c>
      <c r="E1464" s="4">
        <v>4</v>
      </c>
      <c r="F1464" s="4">
        <v>36.799999999999997</v>
      </c>
      <c r="G1464" s="4">
        <v>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0.56000000000000005</v>
      </c>
      <c r="U1464" s="5">
        <f>C1464+2</f>
        <v>40637</v>
      </c>
    </row>
    <row r="1465" spans="1:21" ht="12" customHeight="1">
      <c r="A1465" s="4">
        <v>2069</v>
      </c>
      <c r="B1465" s="4">
        <v>14791</v>
      </c>
      <c r="C1465" s="5">
        <f>DATE(2012,12,31)-1051</f>
        <v>40223</v>
      </c>
      <c r="D1465" s="4" t="s">
        <v>63</v>
      </c>
      <c r="E1465" s="4">
        <v>29</v>
      </c>
      <c r="F1465" s="4">
        <v>1576.223</v>
      </c>
      <c r="G1465" s="4">
        <v>0.05</v>
      </c>
      <c r="H1465" s="4" t="s">
        <v>22</v>
      </c>
      <c r="I1465" s="6">
        <v>286.11900000000003</v>
      </c>
      <c r="J1465" s="4">
        <v>65.989999999999995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0.56999999999999995</v>
      </c>
      <c r="U1465" s="5">
        <f>C1465+1</f>
        <v>40224</v>
      </c>
    </row>
    <row r="1466" spans="1:21" ht="12" customHeight="1">
      <c r="A1466" s="4">
        <v>2484</v>
      </c>
      <c r="B1466" s="4">
        <v>18085</v>
      </c>
      <c r="C1466" s="5">
        <f t="shared" ref="C1466:C1467" si="640">DATE(2012,12,31)-463</f>
        <v>40811</v>
      </c>
      <c r="D1466" s="4" t="s">
        <v>30</v>
      </c>
      <c r="E1466" s="4">
        <v>23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spans="1:21" ht="12" customHeight="1">
      <c r="A1467" s="4">
        <v>2485</v>
      </c>
      <c r="B1467" s="4">
        <v>18085</v>
      </c>
      <c r="C1467" s="5">
        <f t="shared" si="640"/>
        <v>40811</v>
      </c>
      <c r="D1467" s="4" t="s">
        <v>30</v>
      </c>
      <c r="E1467" s="4">
        <v>33</v>
      </c>
      <c r="F1467" s="4">
        <v>5352.9344999999994</v>
      </c>
      <c r="G1467" s="4">
        <v>0.09</v>
      </c>
      <c r="H1467" s="4" t="s">
        <v>22</v>
      </c>
      <c r="I1467" s="6">
        <v>1343.2049999999999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0.56999999999999995</v>
      </c>
      <c r="U1467" s="5">
        <f t="shared" ref="U1467:U1468" si="641">C1467+1</f>
        <v>40812</v>
      </c>
    </row>
    <row r="1468" spans="1:21" ht="12" customHeight="1">
      <c r="A1468" s="4">
        <v>2863</v>
      </c>
      <c r="B1468" s="4">
        <v>20674</v>
      </c>
      <c r="C1468" s="5">
        <f>DATE(2012,12,31)-754</f>
        <v>40520</v>
      </c>
      <c r="D1468" s="4" t="s">
        <v>30</v>
      </c>
      <c r="E1468" s="4">
        <v>37</v>
      </c>
      <c r="F1468" s="4">
        <v>17717.34</v>
      </c>
      <c r="G1468" s="4">
        <v>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1"/>
        <v>40521</v>
      </c>
    </row>
    <row r="1469" spans="1:21" ht="12" customHeight="1">
      <c r="A1469" s="4">
        <v>3496</v>
      </c>
      <c r="B1469" s="4">
        <v>24903</v>
      </c>
      <c r="C1469" s="5">
        <f>DATE(2012,12,31)-804</f>
        <v>40470</v>
      </c>
      <c r="D1469" s="4" t="s">
        <v>21</v>
      </c>
      <c r="E1469" s="4">
        <v>33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spans="1:21" ht="12" customHeight="1">
      <c r="A1470" s="4">
        <v>3603</v>
      </c>
      <c r="B1470" s="4">
        <v>25735</v>
      </c>
      <c r="C1470" s="5">
        <f>DATE(2012,12,31)-732</f>
        <v>40542</v>
      </c>
      <c r="D1470" s="4" t="s">
        <v>45</v>
      </c>
      <c r="E1470" s="4">
        <v>45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spans="1:21" ht="12" customHeight="1">
      <c r="A1471" s="4">
        <v>4188</v>
      </c>
      <c r="B1471" s="4">
        <v>29762</v>
      </c>
      <c r="C1471" s="5">
        <f>DATE(2012,12,31)-881</f>
        <v>40393</v>
      </c>
      <c r="D1471" s="4" t="s">
        <v>78</v>
      </c>
      <c r="E1471" s="4">
        <v>33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74.349999999999994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0.56999999999999995</v>
      </c>
      <c r="U1471" s="5">
        <f>C1471+1</f>
        <v>40394</v>
      </c>
    </row>
    <row r="1472" spans="1:21" ht="12" customHeight="1">
      <c r="A1472" s="4">
        <v>4199</v>
      </c>
      <c r="B1472" s="4">
        <v>29856</v>
      </c>
      <c r="C1472" s="5">
        <f>DATE(2012,12,31)-206</f>
        <v>41068</v>
      </c>
      <c r="D1472" s="4" t="s">
        <v>63</v>
      </c>
      <c r="E1472" s="4">
        <v>24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4.9800000000000004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spans="1:21" ht="12" customHeight="1">
      <c r="A1473" s="4">
        <v>4574</v>
      </c>
      <c r="B1473" s="4">
        <v>32580</v>
      </c>
      <c r="C1473" s="5">
        <f t="shared" ref="C1473:C1474" si="642">DATE(2012,12,31)-473</f>
        <v>40801</v>
      </c>
      <c r="D1473" s="4" t="s">
        <v>30</v>
      </c>
      <c r="E1473" s="4">
        <v>23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spans="1:21" ht="12" customHeight="1">
      <c r="A1474" s="4">
        <v>4575</v>
      </c>
      <c r="B1474" s="4">
        <v>32580</v>
      </c>
      <c r="C1474" s="5">
        <f t="shared" si="642"/>
        <v>40801</v>
      </c>
      <c r="D1474" s="4" t="s">
        <v>30</v>
      </c>
      <c r="E1474" s="4">
        <v>38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3">C1474+2</f>
        <v>40803</v>
      </c>
    </row>
    <row r="1475" spans="1:21" ht="12" customHeight="1">
      <c r="A1475" s="4">
        <v>6013</v>
      </c>
      <c r="B1475" s="4">
        <v>42597</v>
      </c>
      <c r="C1475" s="5">
        <f>DATE(2012,12,31)-1012</f>
        <v>40262</v>
      </c>
      <c r="D1475" s="4" t="s">
        <v>63</v>
      </c>
      <c r="E1475" s="4">
        <v>5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4.9800000000000004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3"/>
        <v>40264</v>
      </c>
    </row>
    <row r="1476" spans="1:21" ht="12" customHeight="1">
      <c r="A1476" s="4">
        <v>7347</v>
      </c>
      <c r="B1476" s="4">
        <v>52325</v>
      </c>
      <c r="C1476" s="5">
        <f>DATE(2012,12,31)-170</f>
        <v>41104</v>
      </c>
      <c r="D1476" s="4" t="s">
        <v>45</v>
      </c>
      <c r="E1476" s="4">
        <v>23</v>
      </c>
      <c r="F1476" s="4">
        <v>5126.3</v>
      </c>
      <c r="G1476" s="4">
        <v>7.0000000000000007E-2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spans="1:21" ht="12" customHeight="1">
      <c r="A1477" s="4">
        <v>7523</v>
      </c>
      <c r="B1477" s="4">
        <v>53728</v>
      </c>
      <c r="C1477" s="5">
        <f>DATE(2012,12,31)-436</f>
        <v>40838</v>
      </c>
      <c r="D1477" s="4" t="s">
        <v>30</v>
      </c>
      <c r="E1477" s="4">
        <v>27</v>
      </c>
      <c r="F1477" s="4">
        <v>1502.66</v>
      </c>
      <c r="G1477" s="4">
        <v>7.0000000000000007E-2</v>
      </c>
      <c r="H1477" s="4" t="s">
        <v>22</v>
      </c>
      <c r="I1477" s="6">
        <v>637.60199999999998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4">C1477+1</f>
        <v>40839</v>
      </c>
    </row>
    <row r="1478" spans="1:21" ht="12" customHeight="1">
      <c r="A1478" s="4">
        <v>10</v>
      </c>
      <c r="B1478" s="4">
        <v>65</v>
      </c>
      <c r="C1478" s="5">
        <f>DATE(2012,12,31)-655</f>
        <v>40619</v>
      </c>
      <c r="D1478" s="4" t="s">
        <v>78</v>
      </c>
      <c r="E1478" s="4">
        <v>32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4"/>
        <v>40620</v>
      </c>
    </row>
    <row r="1479" spans="1:21" ht="12" customHeight="1">
      <c r="A1479" s="4">
        <v>39</v>
      </c>
      <c r="B1479" s="4">
        <v>230</v>
      </c>
      <c r="C1479" s="5">
        <f t="shared" ref="C1479:C1480" si="645">DATE(2012,12,31)-797</f>
        <v>40477</v>
      </c>
      <c r="D1479" s="4" t="s">
        <v>78</v>
      </c>
      <c r="E1479" s="4">
        <v>47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0.57999999999999996</v>
      </c>
      <c r="U1479" s="5">
        <f t="shared" ref="U1479:U1481" si="646">C1479+2</f>
        <v>40479</v>
      </c>
    </row>
    <row r="1480" spans="1:21" ht="12" customHeight="1">
      <c r="A1480" s="4">
        <v>40</v>
      </c>
      <c r="B1480" s="4">
        <v>230</v>
      </c>
      <c r="C1480" s="5">
        <f t="shared" si="645"/>
        <v>40477</v>
      </c>
      <c r="D1480" s="4" t="s">
        <v>78</v>
      </c>
      <c r="E1480" s="4">
        <v>11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0.56999999999999995</v>
      </c>
      <c r="U1480" s="5">
        <f t="shared" si="646"/>
        <v>40479</v>
      </c>
    </row>
    <row r="1481" spans="1:21" ht="12" customHeight="1">
      <c r="A1481" s="4">
        <v>75</v>
      </c>
      <c r="B1481" s="4">
        <v>449</v>
      </c>
      <c r="C1481" s="5">
        <f>DATE(2012,12,31)-531</f>
        <v>40743</v>
      </c>
      <c r="D1481" s="4" t="s">
        <v>30</v>
      </c>
      <c r="E1481" s="4">
        <v>45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0.56000000000000005</v>
      </c>
      <c r="U1481" s="5">
        <f t="shared" si="646"/>
        <v>40745</v>
      </c>
    </row>
    <row r="1482" spans="1:21" ht="12" customHeight="1">
      <c r="A1482" s="4">
        <v>101</v>
      </c>
      <c r="B1482" s="4">
        <v>640</v>
      </c>
      <c r="C1482" s="5">
        <f t="shared" ref="C1482:C1483" si="647">DATE(2012,12,31)-1074</f>
        <v>40200</v>
      </c>
      <c r="D1482" s="4" t="s">
        <v>30</v>
      </c>
      <c r="E1482" s="4">
        <v>39</v>
      </c>
      <c r="F1482" s="4">
        <v>4913.6899999999996</v>
      </c>
      <c r="G1482" s="4">
        <v>0.02</v>
      </c>
      <c r="H1482" s="4" t="s">
        <v>31</v>
      </c>
      <c r="I1482" s="6">
        <v>-1153.9000000000001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8">C1482+1</f>
        <v>40201</v>
      </c>
    </row>
    <row r="1483" spans="1:21" ht="12" customHeight="1">
      <c r="A1483" s="4">
        <v>102</v>
      </c>
      <c r="B1483" s="4">
        <v>640</v>
      </c>
      <c r="C1483" s="5">
        <f t="shared" si="647"/>
        <v>40200</v>
      </c>
      <c r="D1483" s="4" t="s">
        <v>30</v>
      </c>
      <c r="E1483" s="4">
        <v>24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9.5399999999999991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8"/>
        <v>40201</v>
      </c>
    </row>
    <row r="1484" spans="1:21" ht="12" customHeight="1">
      <c r="A1484" s="4">
        <v>132</v>
      </c>
      <c r="B1484" s="4">
        <v>835</v>
      </c>
      <c r="C1484" s="5">
        <f>DATE(2012,12,31)-451</f>
        <v>40823</v>
      </c>
      <c r="D1484" s="4" t="s">
        <v>45</v>
      </c>
      <c r="E1484" s="4">
        <v>18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8"/>
        <v>40824</v>
      </c>
    </row>
    <row r="1485" spans="1:21" ht="12" customHeight="1">
      <c r="A1485" s="4">
        <v>138</v>
      </c>
      <c r="B1485" s="4">
        <v>896</v>
      </c>
      <c r="C1485" s="5">
        <f>DATE(2012,12,31)-1029</f>
        <v>40245</v>
      </c>
      <c r="D1485" s="4" t="s">
        <v>78</v>
      </c>
      <c r="E1485" s="4">
        <v>50</v>
      </c>
      <c r="F1485" s="4">
        <v>1246.52</v>
      </c>
      <c r="G1485" s="4">
        <v>0.01</v>
      </c>
      <c r="H1485" s="4" t="s">
        <v>22</v>
      </c>
      <c r="I1485" s="6">
        <v>52.478999999999999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spans="1:21" ht="12" customHeight="1">
      <c r="A1486" s="4">
        <v>167</v>
      </c>
      <c r="B1486" s="4">
        <v>1057</v>
      </c>
      <c r="C1486" s="5">
        <f>DATE(2012,12,31)-316</f>
        <v>40958</v>
      </c>
      <c r="D1486" s="4" t="s">
        <v>78</v>
      </c>
      <c r="E1486" s="4">
        <v>41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8.4600000000000009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spans="1:21" ht="12" customHeight="1">
      <c r="A1487" s="4">
        <v>228</v>
      </c>
      <c r="B1487" s="4">
        <v>1538</v>
      </c>
      <c r="C1487" s="5">
        <f>DATE(2012,12,31)-563</f>
        <v>40711</v>
      </c>
      <c r="D1487" s="4" t="s">
        <v>45</v>
      </c>
      <c r="E1487" s="4">
        <v>15</v>
      </c>
      <c r="F1487" s="4">
        <v>1297.3040000000001</v>
      </c>
      <c r="G1487" s="4">
        <v>0</v>
      </c>
      <c r="H1487" s="4" t="s">
        <v>22</v>
      </c>
      <c r="I1487" s="6">
        <v>149.82300000000001</v>
      </c>
      <c r="J1487" s="4">
        <v>95.99</v>
      </c>
      <c r="K1487" s="4">
        <v>4.9000000000000004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0.56000000000000005</v>
      </c>
      <c r="U1487" s="5">
        <f>C1487+1</f>
        <v>40712</v>
      </c>
    </row>
    <row r="1488" spans="1:21" ht="12" customHeight="1">
      <c r="A1488" s="4">
        <v>247</v>
      </c>
      <c r="B1488" s="4">
        <v>1701</v>
      </c>
      <c r="C1488" s="5">
        <f t="shared" ref="C1488:C1489" si="649">DATE(2012,12,31)-227</f>
        <v>41047</v>
      </c>
      <c r="D1488" s="4" t="s">
        <v>30</v>
      </c>
      <c r="E1488" s="4">
        <v>49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0">C1488+2</f>
        <v>41049</v>
      </c>
    </row>
    <row r="1489" spans="1:21" ht="12" customHeight="1">
      <c r="A1489" s="4">
        <v>248</v>
      </c>
      <c r="B1489" s="4">
        <v>1701</v>
      </c>
      <c r="C1489" s="5">
        <f t="shared" si="649"/>
        <v>41047</v>
      </c>
      <c r="D1489" s="4" t="s">
        <v>30</v>
      </c>
      <c r="E1489" s="4">
        <v>1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0.56999999999999995</v>
      </c>
      <c r="U1489" s="5">
        <f t="shared" si="650"/>
        <v>41049</v>
      </c>
    </row>
    <row r="1490" spans="1:21" ht="12" customHeight="1">
      <c r="A1490" s="4">
        <v>289</v>
      </c>
      <c r="B1490" s="4">
        <v>2022</v>
      </c>
      <c r="C1490" s="5">
        <f>DATE(2012,12,31)-292</f>
        <v>40982</v>
      </c>
      <c r="D1490" s="4" t="s">
        <v>78</v>
      </c>
      <c r="E1490" s="4">
        <v>45</v>
      </c>
      <c r="F1490" s="4">
        <v>186.44</v>
      </c>
      <c r="G1490" s="4">
        <v>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spans="1:21" ht="12" customHeight="1">
      <c r="A1491" s="4">
        <v>312</v>
      </c>
      <c r="B1491" s="4">
        <v>2181</v>
      </c>
      <c r="C1491" s="5">
        <f t="shared" ref="C1491:C1492" si="651">DATE(2012,12,31)-476</f>
        <v>40798</v>
      </c>
      <c r="D1491" s="4" t="s">
        <v>63</v>
      </c>
      <c r="E1491" s="4">
        <v>40</v>
      </c>
      <c r="F1491" s="4">
        <v>102.56</v>
      </c>
      <c r="G1491" s="4">
        <v>0.06</v>
      </c>
      <c r="H1491" s="4" t="s">
        <v>22</v>
      </c>
      <c r="I1491" s="6">
        <v>36.619999999999997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spans="1:21" ht="12" customHeight="1">
      <c r="A1492" s="4">
        <v>313</v>
      </c>
      <c r="B1492" s="4">
        <v>2181</v>
      </c>
      <c r="C1492" s="5">
        <f t="shared" si="651"/>
        <v>40798</v>
      </c>
      <c r="D1492" s="4" t="s">
        <v>63</v>
      </c>
      <c r="E1492" s="4">
        <v>3</v>
      </c>
      <c r="F1492" s="4">
        <v>15.87</v>
      </c>
      <c r="G1492" s="4">
        <v>0.01</v>
      </c>
      <c r="H1492" s="4" t="s">
        <v>56</v>
      </c>
      <c r="I1492" s="6">
        <v>2.5299999999999998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spans="1:21" ht="12" customHeight="1">
      <c r="A1493" s="4">
        <v>378</v>
      </c>
      <c r="B1493" s="4">
        <v>2628</v>
      </c>
      <c r="C1493" s="5">
        <f t="shared" ref="C1493:C1494" si="652">DATE(2012,12,31)-802</f>
        <v>40472</v>
      </c>
      <c r="D1493" s="4" t="s">
        <v>21</v>
      </c>
      <c r="E1493" s="4">
        <v>14</v>
      </c>
      <c r="F1493" s="4">
        <v>34.590000000000003</v>
      </c>
      <c r="G1493" s="4">
        <v>0.04</v>
      </c>
      <c r="H1493" s="4" t="s">
        <v>22</v>
      </c>
      <c r="I1493" s="6">
        <v>-60.13</v>
      </c>
      <c r="J1493" s="4">
        <v>2.1800000000000002</v>
      </c>
      <c r="K1493" s="4">
        <v>5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spans="1:21" ht="12" customHeight="1">
      <c r="A1494" s="4">
        <v>379</v>
      </c>
      <c r="B1494" s="4">
        <v>2628</v>
      </c>
      <c r="C1494" s="5">
        <f t="shared" si="652"/>
        <v>40472</v>
      </c>
      <c r="D1494" s="4" t="s">
        <v>21</v>
      </c>
      <c r="E1494" s="4">
        <v>29</v>
      </c>
      <c r="F1494" s="4">
        <v>5029.2160000000003</v>
      </c>
      <c r="G1494" s="4">
        <v>0.02</v>
      </c>
      <c r="H1494" s="4" t="s">
        <v>31</v>
      </c>
      <c r="I1494" s="6">
        <v>-752.83199999999999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3">C1494+9</f>
        <v>40481</v>
      </c>
    </row>
    <row r="1495" spans="1:21" ht="12" customHeight="1">
      <c r="A1495" s="4">
        <v>392</v>
      </c>
      <c r="B1495" s="4">
        <v>2691</v>
      </c>
      <c r="C1495" s="5">
        <f>DATE(2012,12,31)-246</f>
        <v>41028</v>
      </c>
      <c r="D1495" s="4" t="s">
        <v>21</v>
      </c>
      <c r="E1495" s="4">
        <v>14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3"/>
        <v>41037</v>
      </c>
    </row>
    <row r="1496" spans="1:21" ht="12" customHeight="1">
      <c r="A1496" s="4">
        <v>434</v>
      </c>
      <c r="B1496" s="4">
        <v>2912</v>
      </c>
      <c r="C1496" s="5">
        <f t="shared" ref="C1496:C1497" si="654">DATE(2012,12,31)-295</f>
        <v>40979</v>
      </c>
      <c r="D1496" s="4" t="s">
        <v>21</v>
      </c>
      <c r="E1496" s="4">
        <v>7</v>
      </c>
      <c r="F1496" s="4">
        <v>16587.13</v>
      </c>
      <c r="G1496" s="4">
        <v>0.08</v>
      </c>
      <c r="H1496" s="4" t="s">
        <v>31</v>
      </c>
      <c r="I1496" s="6">
        <v>-3476.8593000000001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0.56999999999999995</v>
      </c>
      <c r="U1496" s="5">
        <f>C1496+2</f>
        <v>40981</v>
      </c>
    </row>
    <row r="1497" spans="1:21" ht="12" customHeight="1">
      <c r="A1497" s="4">
        <v>435</v>
      </c>
      <c r="B1497" s="4">
        <v>2912</v>
      </c>
      <c r="C1497" s="5">
        <f t="shared" si="654"/>
        <v>40979</v>
      </c>
      <c r="D1497" s="4" t="s">
        <v>21</v>
      </c>
      <c r="E1497" s="4">
        <v>9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4.8600000000000003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spans="1:21" ht="12" customHeight="1">
      <c r="A1498" s="4">
        <v>472</v>
      </c>
      <c r="B1498" s="4">
        <v>3235</v>
      </c>
      <c r="C1498" s="5">
        <f>DATE(2012,12,31)-413</f>
        <v>40861</v>
      </c>
      <c r="D1498" s="4" t="s">
        <v>21</v>
      </c>
      <c r="E1498" s="4">
        <v>31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spans="1:21" ht="12" customHeight="1">
      <c r="A1499" s="4">
        <v>473</v>
      </c>
      <c r="B1499" s="4">
        <v>3266</v>
      </c>
      <c r="C1499" s="5">
        <f>DATE(2012,12,31)-656</f>
        <v>40618</v>
      </c>
      <c r="D1499" s="4" t="s">
        <v>21</v>
      </c>
      <c r="E1499" s="4">
        <v>4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spans="1:21" ht="12" customHeight="1">
      <c r="A1500" s="4">
        <v>487</v>
      </c>
      <c r="B1500" s="4">
        <v>3363</v>
      </c>
      <c r="C1500" s="5">
        <f>DATE(2012,12,31)-466</f>
        <v>40808</v>
      </c>
      <c r="D1500" s="4" t="s">
        <v>30</v>
      </c>
      <c r="E1500" s="4">
        <v>21</v>
      </c>
      <c r="F1500" s="4">
        <v>8185.89</v>
      </c>
      <c r="G1500" s="4">
        <v>0.09</v>
      </c>
      <c r="H1500" s="4" t="s">
        <v>22</v>
      </c>
      <c r="I1500" s="6">
        <v>2137.2800000000002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0.56999999999999995</v>
      </c>
      <c r="U1500" s="5">
        <f>C1500+0</f>
        <v>40808</v>
      </c>
    </row>
    <row r="1501" spans="1:21" ht="12" customHeight="1">
      <c r="A1501" s="4">
        <v>550</v>
      </c>
      <c r="B1501" s="4">
        <v>3745</v>
      </c>
      <c r="C1501" s="5">
        <f>DATE(2012,12,31)-825</f>
        <v>40449</v>
      </c>
      <c r="D1501" s="4" t="s">
        <v>21</v>
      </c>
      <c r="E1501" s="4">
        <v>38</v>
      </c>
      <c r="F1501" s="4">
        <v>1143.3499999999999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8.5500000000000007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5">C1501+2</f>
        <v>40451</v>
      </c>
    </row>
    <row r="1502" spans="1:21" ht="12" customHeight="1">
      <c r="A1502" s="4">
        <v>605</v>
      </c>
      <c r="B1502" s="4">
        <v>4128</v>
      </c>
      <c r="C1502" s="5">
        <f>DATE(2012,12,31)-452</f>
        <v>40822</v>
      </c>
      <c r="D1502" s="4" t="s">
        <v>45</v>
      </c>
      <c r="E1502" s="4">
        <v>38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5"/>
        <v>40824</v>
      </c>
    </row>
    <row r="1503" spans="1:21" ht="12" customHeight="1">
      <c r="A1503" s="4">
        <v>680</v>
      </c>
      <c r="B1503" s="4">
        <v>4743</v>
      </c>
      <c r="C1503" s="5">
        <f t="shared" ref="C1503:C1504" si="656">DATE(2012,12,31)-1007</f>
        <v>40267</v>
      </c>
      <c r="D1503" s="4" t="s">
        <v>21</v>
      </c>
      <c r="E1503" s="4">
        <v>29</v>
      </c>
      <c r="F1503" s="4">
        <v>352.55</v>
      </c>
      <c r="G1503" s="4">
        <v>0.09</v>
      </c>
      <c r="H1503" s="4" t="s">
        <v>22</v>
      </c>
      <c r="I1503" s="6">
        <v>128.98750000000001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spans="1:21" ht="12" customHeight="1">
      <c r="A1504" s="4">
        <v>681</v>
      </c>
      <c r="B1504" s="4">
        <v>4743</v>
      </c>
      <c r="C1504" s="5">
        <f t="shared" si="656"/>
        <v>40267</v>
      </c>
      <c r="D1504" s="4" t="s">
        <v>21</v>
      </c>
      <c r="E1504" s="4">
        <v>32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spans="1:21" ht="12" customHeight="1">
      <c r="A1505" s="4">
        <v>729</v>
      </c>
      <c r="B1505" s="4">
        <v>5251</v>
      </c>
      <c r="C1505" s="5">
        <f>DATE(2012,12,31)-630</f>
        <v>40644</v>
      </c>
      <c r="D1505" s="4" t="s">
        <v>63</v>
      </c>
      <c r="E1505" s="4">
        <v>38</v>
      </c>
      <c r="F1505" s="4">
        <v>3821.0390000000002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0.56999999999999995</v>
      </c>
      <c r="U1505" s="5">
        <f>C1505+2</f>
        <v>40646</v>
      </c>
    </row>
    <row r="1506" spans="1:21" ht="12" customHeight="1">
      <c r="A1506" s="4">
        <v>750</v>
      </c>
      <c r="B1506" s="4">
        <v>5381</v>
      </c>
      <c r="C1506" s="5">
        <f t="shared" ref="C1506:C1507" si="657">DATE(2012,12,31)-1068</f>
        <v>40206</v>
      </c>
      <c r="D1506" s="4" t="s">
        <v>21</v>
      </c>
      <c r="E1506" s="4">
        <v>47</v>
      </c>
      <c r="F1506" s="4">
        <v>4888.1400000000003</v>
      </c>
      <c r="G1506" s="4">
        <v>7.0000000000000007E-2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8">C1506+7</f>
        <v>40213</v>
      </c>
    </row>
    <row r="1507" spans="1:21" ht="12" customHeight="1">
      <c r="A1507" s="4">
        <v>751</v>
      </c>
      <c r="B1507" s="4">
        <v>5381</v>
      </c>
      <c r="C1507" s="5">
        <f t="shared" si="657"/>
        <v>40206</v>
      </c>
      <c r="D1507" s="4" t="s">
        <v>21</v>
      </c>
      <c r="E1507" s="4">
        <v>27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2.1800000000000002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8"/>
        <v>40213</v>
      </c>
    </row>
    <row r="1508" spans="1:21" ht="12" customHeight="1">
      <c r="A1508" s="4">
        <v>759</v>
      </c>
      <c r="B1508" s="4">
        <v>5444</v>
      </c>
      <c r="C1508" s="5">
        <f>DATE(2012,12,31)-655</f>
        <v>40619</v>
      </c>
      <c r="D1508" s="4" t="s">
        <v>78</v>
      </c>
      <c r="E1508" s="4">
        <v>2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spans="1:21" ht="12" customHeight="1">
      <c r="A1509" s="4">
        <v>785</v>
      </c>
      <c r="B1509" s="4">
        <v>5601</v>
      </c>
      <c r="C1509" s="5">
        <f>DATE(2012,12,31)-361</f>
        <v>40913</v>
      </c>
      <c r="D1509" s="4" t="s">
        <v>30</v>
      </c>
      <c r="E1509" s="4">
        <v>10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0.55000000000000004</v>
      </c>
      <c r="U1509" s="5">
        <f>C1509+1</f>
        <v>40914</v>
      </c>
    </row>
    <row r="1510" spans="1:21" ht="12" customHeight="1">
      <c r="A1510" s="4">
        <v>896</v>
      </c>
      <c r="B1510" s="4">
        <v>6438</v>
      </c>
      <c r="C1510" s="5">
        <f t="shared" ref="C1510:C1511" si="659">DATE(2012,12,31)-960</f>
        <v>40314</v>
      </c>
      <c r="D1510" s="4" t="s">
        <v>45</v>
      </c>
      <c r="E1510" s="4">
        <v>7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spans="1:21" ht="12" customHeight="1">
      <c r="A1511" s="4">
        <v>897</v>
      </c>
      <c r="B1511" s="4">
        <v>6438</v>
      </c>
      <c r="C1511" s="5">
        <f t="shared" si="659"/>
        <v>40314</v>
      </c>
      <c r="D1511" s="4" t="s">
        <v>45</v>
      </c>
      <c r="E1511" s="4">
        <v>38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spans="1:21" ht="12" customHeight="1">
      <c r="A1512" s="4">
        <v>933</v>
      </c>
      <c r="B1512" s="4">
        <v>6755</v>
      </c>
      <c r="C1512" s="5">
        <f>DATE(2012,12,31)-610</f>
        <v>40664</v>
      </c>
      <c r="D1512" s="4" t="s">
        <v>30</v>
      </c>
      <c r="E1512" s="4">
        <v>20</v>
      </c>
      <c r="F1512" s="4">
        <v>156.47</v>
      </c>
      <c r="G1512" s="4">
        <v>0.01</v>
      </c>
      <c r="H1512" s="4" t="s">
        <v>22</v>
      </c>
      <c r="I1512" s="6">
        <v>-39.226500000000001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0">C1512+2</f>
        <v>40666</v>
      </c>
    </row>
    <row r="1513" spans="1:21" ht="12" customHeight="1">
      <c r="A1513" s="4">
        <v>957</v>
      </c>
      <c r="B1513" s="4">
        <v>6918</v>
      </c>
      <c r="C1513" s="5">
        <f>DATE(2012,12,31)-549</f>
        <v>40725</v>
      </c>
      <c r="D1513" s="4" t="s">
        <v>78</v>
      </c>
      <c r="E1513" s="4">
        <v>38</v>
      </c>
      <c r="F1513" s="4">
        <v>1559.5</v>
      </c>
      <c r="G1513" s="4">
        <v>0.01</v>
      </c>
      <c r="H1513" s="4" t="s">
        <v>22</v>
      </c>
      <c r="I1513" s="6">
        <v>515.83000000000004</v>
      </c>
      <c r="J1513" s="4">
        <v>39.479999999999997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0"/>
        <v>40727</v>
      </c>
    </row>
    <row r="1514" spans="1:21" ht="12" customHeight="1">
      <c r="A1514" s="4">
        <v>1060</v>
      </c>
      <c r="B1514" s="4">
        <v>7841</v>
      </c>
      <c r="C1514" s="5">
        <f t="shared" ref="C1514:C1515" si="661">DATE(2012,12,31)-225</f>
        <v>41049</v>
      </c>
      <c r="D1514" s="4" t="s">
        <v>45</v>
      </c>
      <c r="E1514" s="4">
        <v>21</v>
      </c>
      <c r="F1514" s="4">
        <v>1002.77</v>
      </c>
      <c r="G1514" s="4">
        <v>7.0000000000000007E-2</v>
      </c>
      <c r="H1514" s="4" t="s">
        <v>22</v>
      </c>
      <c r="I1514" s="6">
        <v>295.60000000000002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0.56999999999999995</v>
      </c>
      <c r="U1514" s="5">
        <f t="shared" si="660"/>
        <v>41051</v>
      </c>
    </row>
    <row r="1515" spans="1:21" ht="12" customHeight="1">
      <c r="A1515" s="4">
        <v>1061</v>
      </c>
      <c r="B1515" s="4">
        <v>7841</v>
      </c>
      <c r="C1515" s="5">
        <f t="shared" si="661"/>
        <v>41049</v>
      </c>
      <c r="D1515" s="4" t="s">
        <v>45</v>
      </c>
      <c r="E1515" s="4">
        <v>17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0"/>
        <v>41051</v>
      </c>
    </row>
    <row r="1516" spans="1:21" ht="12" customHeight="1">
      <c r="A1516" s="4">
        <v>1162</v>
      </c>
      <c r="B1516" s="4">
        <v>8454</v>
      </c>
      <c r="C1516" s="5">
        <f>DATE(2012,12,31)-138</f>
        <v>41136</v>
      </c>
      <c r="D1516" s="4" t="s">
        <v>63</v>
      </c>
      <c r="E1516" s="4">
        <v>38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spans="1:21" ht="12" customHeight="1">
      <c r="A1517" s="4">
        <v>1217</v>
      </c>
      <c r="B1517" s="4">
        <v>8960</v>
      </c>
      <c r="C1517" s="5">
        <f t="shared" ref="C1517:C1518" si="662">DATE(2012,12,31)-940</f>
        <v>40334</v>
      </c>
      <c r="D1517" s="4" t="s">
        <v>63</v>
      </c>
      <c r="E1517" s="4">
        <v>46</v>
      </c>
      <c r="F1517" s="4">
        <v>4335.34</v>
      </c>
      <c r="G1517" s="4">
        <v>7.0000000000000007E-2</v>
      </c>
      <c r="H1517" s="4" t="s">
        <v>56</v>
      </c>
      <c r="I1517" s="6">
        <v>524.09</v>
      </c>
      <c r="J1517" s="4">
        <v>99.99</v>
      </c>
      <c r="K1517" s="4">
        <v>19.989999999999998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3">C1517+2</f>
        <v>40336</v>
      </c>
    </row>
    <row r="1518" spans="1:21" ht="12" customHeight="1">
      <c r="A1518" s="4">
        <v>1218</v>
      </c>
      <c r="B1518" s="4">
        <v>8960</v>
      </c>
      <c r="C1518" s="5">
        <f t="shared" si="662"/>
        <v>40334</v>
      </c>
      <c r="D1518" s="4" t="s">
        <v>63</v>
      </c>
      <c r="E1518" s="4">
        <v>15</v>
      </c>
      <c r="F1518" s="4">
        <v>1150.5345</v>
      </c>
      <c r="G1518" s="4">
        <v>0.01</v>
      </c>
      <c r="H1518" s="4" t="s">
        <v>22</v>
      </c>
      <c r="I1518" s="6">
        <v>361.64699999999999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3"/>
        <v>40336</v>
      </c>
    </row>
    <row r="1519" spans="1:21" ht="12" customHeight="1">
      <c r="A1519" s="4">
        <v>1277</v>
      </c>
      <c r="B1519" s="4">
        <v>9281</v>
      </c>
      <c r="C1519" s="5">
        <f t="shared" ref="C1519:C1520" si="664">DATE(2012,12,31)-312</f>
        <v>40962</v>
      </c>
      <c r="D1519" s="4" t="s">
        <v>78</v>
      </c>
      <c r="E1519" s="4">
        <v>31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3"/>
        <v>40964</v>
      </c>
    </row>
    <row r="1520" spans="1:21" ht="12" customHeight="1">
      <c r="A1520" s="4">
        <v>1278</v>
      </c>
      <c r="B1520" s="4">
        <v>9281</v>
      </c>
      <c r="C1520" s="5">
        <f t="shared" si="664"/>
        <v>40962</v>
      </c>
      <c r="D1520" s="4" t="s">
        <v>78</v>
      </c>
      <c r="E1520" s="4">
        <v>24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3"/>
        <v>40964</v>
      </c>
    </row>
    <row r="1521" spans="1:21" ht="12" customHeight="1">
      <c r="A1521" s="4">
        <v>1285</v>
      </c>
      <c r="B1521" s="4">
        <v>9350</v>
      </c>
      <c r="C1521" s="5">
        <f t="shared" ref="C1521:C1522" si="665">DATE(2012,12,31)-61</f>
        <v>41213</v>
      </c>
      <c r="D1521" s="4" t="s">
        <v>78</v>
      </c>
      <c r="E1521" s="4">
        <v>13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140.97999999999999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spans="1:21" ht="12" customHeight="1">
      <c r="A1522" s="4">
        <v>1286</v>
      </c>
      <c r="B1522" s="4">
        <v>9350</v>
      </c>
      <c r="C1522" s="5">
        <f t="shared" si="665"/>
        <v>41213</v>
      </c>
      <c r="D1522" s="4" t="s">
        <v>78</v>
      </c>
      <c r="E1522" s="4">
        <v>2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19.989999999999998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spans="1:21" ht="12" customHeight="1">
      <c r="A1523" s="4">
        <v>1413</v>
      </c>
      <c r="B1523" s="4">
        <v>10247</v>
      </c>
      <c r="C1523" s="5">
        <f t="shared" ref="C1523:C1524" si="666">DATE(2012,12,31)-1086</f>
        <v>40188</v>
      </c>
      <c r="D1523" s="4" t="s">
        <v>63</v>
      </c>
      <c r="E1523" s="4">
        <v>21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4.9800000000000004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spans="1:21" ht="12" customHeight="1">
      <c r="A1524" s="4">
        <v>1414</v>
      </c>
      <c r="B1524" s="4">
        <v>10247</v>
      </c>
      <c r="C1524" s="5">
        <f t="shared" si="666"/>
        <v>40188</v>
      </c>
      <c r="D1524" s="4" t="s">
        <v>63</v>
      </c>
      <c r="E1524" s="4">
        <v>24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9.7799999999999994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spans="1:21" ht="12" customHeight="1">
      <c r="A1525" s="4">
        <v>1456</v>
      </c>
      <c r="B1525" s="4">
        <v>10498</v>
      </c>
      <c r="C1525" s="5">
        <f>DATE(2012,12,31)-800</f>
        <v>40474</v>
      </c>
      <c r="D1525" s="4" t="s">
        <v>21</v>
      </c>
      <c r="E1525" s="4">
        <v>47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spans="1:21" ht="12" customHeight="1">
      <c r="A1526" s="4">
        <v>1579</v>
      </c>
      <c r="B1526" s="4">
        <v>11425</v>
      </c>
      <c r="C1526" s="5">
        <f t="shared" ref="C1526:C1527" si="667">DATE(2012,12,31)-558</f>
        <v>40716</v>
      </c>
      <c r="D1526" s="4" t="s">
        <v>78</v>
      </c>
      <c r="E1526" s="4">
        <v>29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0.57999999999999996</v>
      </c>
      <c r="U1526" s="5">
        <f>C1526+1</f>
        <v>40717</v>
      </c>
    </row>
    <row r="1527" spans="1:21" ht="12" customHeight="1">
      <c r="A1527" s="4">
        <v>1580</v>
      </c>
      <c r="B1527" s="4">
        <v>11425</v>
      </c>
      <c r="C1527" s="5">
        <f t="shared" si="667"/>
        <v>40716</v>
      </c>
      <c r="D1527" s="4" t="s">
        <v>78</v>
      </c>
      <c r="E1527" s="4">
        <v>23</v>
      </c>
      <c r="F1527" s="4">
        <v>2969.6365000000001</v>
      </c>
      <c r="G1527" s="4">
        <v>0.04</v>
      </c>
      <c r="H1527" s="4" t="s">
        <v>56</v>
      </c>
      <c r="I1527" s="6">
        <v>383.45400000000001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0.57999999999999996</v>
      </c>
      <c r="U1527" s="5">
        <f>C1527+2</f>
        <v>40718</v>
      </c>
    </row>
    <row r="1528" spans="1:21" ht="12" customHeight="1">
      <c r="A1528" s="4">
        <v>1591</v>
      </c>
      <c r="B1528" s="4">
        <v>11491</v>
      </c>
      <c r="C1528" s="5">
        <f t="shared" ref="C1528:C1529" si="668">DATE(2012,12,31)-867</f>
        <v>40407</v>
      </c>
      <c r="D1528" s="4" t="s">
        <v>21</v>
      </c>
      <c r="E1528" s="4">
        <v>26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spans="1:21" ht="12" customHeight="1">
      <c r="A1529" s="4">
        <v>1592</v>
      </c>
      <c r="B1529" s="4">
        <v>11491</v>
      </c>
      <c r="C1529" s="5">
        <f t="shared" si="668"/>
        <v>40407</v>
      </c>
      <c r="D1529" s="4" t="s">
        <v>21</v>
      </c>
      <c r="E1529" s="4">
        <v>38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69">C1529+2</f>
        <v>40409</v>
      </c>
    </row>
    <row r="1530" spans="1:21" ht="12" customHeight="1">
      <c r="A1530" s="4">
        <v>1636</v>
      </c>
      <c r="B1530" s="4">
        <v>11841</v>
      </c>
      <c r="C1530" s="5">
        <f t="shared" ref="C1530:C1531" si="670">DATE(2012,12,31)-986</f>
        <v>40288</v>
      </c>
      <c r="D1530" s="4" t="s">
        <v>63</v>
      </c>
      <c r="E1530" s="4">
        <v>44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69"/>
        <v>40290</v>
      </c>
    </row>
    <row r="1531" spans="1:21" ht="12" customHeight="1">
      <c r="A1531" s="4">
        <v>1637</v>
      </c>
      <c r="B1531" s="4">
        <v>11841</v>
      </c>
      <c r="C1531" s="5">
        <f t="shared" si="670"/>
        <v>40288</v>
      </c>
      <c r="D1531" s="4" t="s">
        <v>63</v>
      </c>
      <c r="E1531" s="4">
        <v>46</v>
      </c>
      <c r="F1531" s="4">
        <v>533.25</v>
      </c>
      <c r="G1531" s="4">
        <v>7.0000000000000007E-2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spans="1:21" ht="12" customHeight="1">
      <c r="A1532" s="4">
        <v>1648</v>
      </c>
      <c r="B1532" s="4">
        <v>11878</v>
      </c>
      <c r="C1532" s="5">
        <f t="shared" ref="C1532:C1533" si="671">DATE(2012,12,31)-1041</f>
        <v>40233</v>
      </c>
      <c r="D1532" s="4" t="s">
        <v>45</v>
      </c>
      <c r="E1532" s="4">
        <v>18</v>
      </c>
      <c r="F1532" s="4">
        <v>102.06</v>
      </c>
      <c r="G1532" s="4">
        <v>0.1</v>
      </c>
      <c r="H1532" s="4" t="s">
        <v>22</v>
      </c>
      <c r="I1532" s="6">
        <v>36.229999999999997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2">C1532+1</f>
        <v>40234</v>
      </c>
    </row>
    <row r="1533" spans="1:21" ht="12" customHeight="1">
      <c r="A1533" s="4">
        <v>1649</v>
      </c>
      <c r="B1533" s="4">
        <v>11878</v>
      </c>
      <c r="C1533" s="5">
        <f t="shared" si="671"/>
        <v>40233</v>
      </c>
      <c r="D1533" s="4" t="s">
        <v>45</v>
      </c>
      <c r="E1533" s="4">
        <v>15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2"/>
        <v>40234</v>
      </c>
    </row>
    <row r="1534" spans="1:21" ht="12" customHeight="1">
      <c r="A1534" s="4">
        <v>1682</v>
      </c>
      <c r="B1534" s="4">
        <v>12130</v>
      </c>
      <c r="C1534" s="5">
        <f t="shared" ref="C1534:C1535" si="673">DATE(2012,12,31)-388</f>
        <v>40886</v>
      </c>
      <c r="D1534" s="4" t="s">
        <v>45</v>
      </c>
      <c r="E1534" s="4">
        <v>37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4">C1534+3</f>
        <v>40889</v>
      </c>
    </row>
    <row r="1535" spans="1:21" ht="12" customHeight="1">
      <c r="A1535" s="4">
        <v>1683</v>
      </c>
      <c r="B1535" s="4">
        <v>12130</v>
      </c>
      <c r="C1535" s="5">
        <f t="shared" si="673"/>
        <v>40886</v>
      </c>
      <c r="D1535" s="4" t="s">
        <v>45</v>
      </c>
      <c r="E1535" s="4">
        <v>42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4"/>
        <v>40889</v>
      </c>
    </row>
    <row r="1536" spans="1:21" ht="12" customHeight="1">
      <c r="A1536" s="4">
        <v>1684</v>
      </c>
      <c r="B1536" s="4">
        <v>12160</v>
      </c>
      <c r="C1536" s="5">
        <f t="shared" ref="C1536:C1538" si="675">DATE(2012,12,31)-750</f>
        <v>40524</v>
      </c>
      <c r="D1536" s="4" t="s">
        <v>21</v>
      </c>
      <c r="E1536" s="4">
        <v>48</v>
      </c>
      <c r="F1536" s="4">
        <v>10341.469999999999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0.56999999999999995</v>
      </c>
      <c r="U1536" s="5">
        <f>C1536+5</f>
        <v>40529</v>
      </c>
    </row>
    <row r="1537" spans="1:21" ht="12" customHeight="1">
      <c r="A1537" s="4">
        <v>1685</v>
      </c>
      <c r="B1537" s="4">
        <v>12160</v>
      </c>
      <c r="C1537" s="5">
        <f t="shared" si="675"/>
        <v>40524</v>
      </c>
      <c r="D1537" s="4" t="s">
        <v>21</v>
      </c>
      <c r="E1537" s="4">
        <v>2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8.7899999999999991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0.56000000000000005</v>
      </c>
      <c r="U1537" s="5">
        <f>C1537+4</f>
        <v>40528</v>
      </c>
    </row>
    <row r="1538" spans="1:21" ht="12" customHeight="1">
      <c r="A1538" s="4">
        <v>1686</v>
      </c>
      <c r="B1538" s="4">
        <v>12160</v>
      </c>
      <c r="C1538" s="5">
        <f t="shared" si="675"/>
        <v>40524</v>
      </c>
      <c r="D1538" s="4" t="s">
        <v>21</v>
      </c>
      <c r="E1538" s="4">
        <v>9</v>
      </c>
      <c r="F1538" s="4">
        <v>38.299999999999997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0.55000000000000004</v>
      </c>
      <c r="U1538" s="5">
        <f>C1538+5</f>
        <v>40529</v>
      </c>
    </row>
    <row r="1539" spans="1:21" ht="12" customHeight="1">
      <c r="A1539" s="4">
        <v>1709</v>
      </c>
      <c r="B1539" s="4">
        <v>12263</v>
      </c>
      <c r="C1539" s="5">
        <f>DATE(2012,12,31)-544</f>
        <v>40730</v>
      </c>
      <c r="D1539" s="4" t="s">
        <v>30</v>
      </c>
      <c r="E1539" s="4">
        <v>12</v>
      </c>
      <c r="F1539" s="4">
        <v>515.65</v>
      </c>
      <c r="G1539" s="4">
        <v>0</v>
      </c>
      <c r="H1539" s="4" t="s">
        <v>22</v>
      </c>
      <c r="I1539" s="6">
        <v>123.5</v>
      </c>
      <c r="J1539" s="4">
        <v>39.479999999999997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0.56000000000000005</v>
      </c>
      <c r="U1539" s="5">
        <f>C1539+0</f>
        <v>40730</v>
      </c>
    </row>
    <row r="1540" spans="1:21" ht="12" customHeight="1">
      <c r="A1540" s="4">
        <v>1752</v>
      </c>
      <c r="B1540" s="4">
        <v>12551</v>
      </c>
      <c r="C1540" s="5">
        <f>DATE(2012,12,31)-203</f>
        <v>41071</v>
      </c>
      <c r="D1540" s="4" t="s">
        <v>21</v>
      </c>
      <c r="E1540" s="4">
        <v>46</v>
      </c>
      <c r="F1540" s="4">
        <v>5023.2534999999998</v>
      </c>
      <c r="G1540" s="4">
        <v>0.01</v>
      </c>
      <c r="H1540" s="4" t="s">
        <v>22</v>
      </c>
      <c r="I1540" s="6">
        <v>1665.2249999999999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0.55000000000000004</v>
      </c>
      <c r="U1540" s="5">
        <f t="shared" ref="U1540:U1541" si="676">C1540+7</f>
        <v>41078</v>
      </c>
    </row>
    <row r="1541" spans="1:21" ht="12" customHeight="1">
      <c r="A1541" s="4">
        <v>1778</v>
      </c>
      <c r="B1541" s="4">
        <v>12736</v>
      </c>
      <c r="C1541" s="5">
        <f>DATE(2012,12,31)-1029</f>
        <v>40245</v>
      </c>
      <c r="D1541" s="4" t="s">
        <v>21</v>
      </c>
      <c r="E1541" s="4">
        <v>2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0.55000000000000004</v>
      </c>
      <c r="U1541" s="5">
        <f t="shared" si="676"/>
        <v>40252</v>
      </c>
    </row>
    <row r="1542" spans="1:21" ht="12" customHeight="1">
      <c r="A1542" s="4">
        <v>1792</v>
      </c>
      <c r="B1542" s="4">
        <v>12837</v>
      </c>
      <c r="C1542" s="5">
        <f>DATE(2012,12,31)-29</f>
        <v>41245</v>
      </c>
      <c r="D1542" s="4" t="s">
        <v>63</v>
      </c>
      <c r="E1542" s="4">
        <v>22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7">C1542+1</f>
        <v>41246</v>
      </c>
    </row>
    <row r="1543" spans="1:21" ht="12" customHeight="1">
      <c r="A1543" s="4">
        <v>1799</v>
      </c>
      <c r="B1543" s="4">
        <v>12897</v>
      </c>
      <c r="C1543" s="5">
        <f t="shared" ref="C1543:C1544" si="678">DATE(2012,12,31)-532</f>
        <v>40742</v>
      </c>
      <c r="D1543" s="4" t="s">
        <v>45</v>
      </c>
      <c r="E1543" s="4">
        <v>39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7"/>
        <v>40743</v>
      </c>
    </row>
    <row r="1544" spans="1:21" ht="12" customHeight="1">
      <c r="A1544" s="4">
        <v>1800</v>
      </c>
      <c r="B1544" s="4">
        <v>12897</v>
      </c>
      <c r="C1544" s="5">
        <f t="shared" si="678"/>
        <v>40742</v>
      </c>
      <c r="D1544" s="4" t="s">
        <v>45</v>
      </c>
      <c r="E1544" s="4">
        <v>31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7"/>
        <v>40743</v>
      </c>
    </row>
    <row r="1545" spans="1:21" ht="12" customHeight="1">
      <c r="A1545" s="4">
        <v>1862</v>
      </c>
      <c r="B1545" s="4">
        <v>13383</v>
      </c>
      <c r="C1545" s="5">
        <f>DATE(2012,12,31)-199</f>
        <v>41075</v>
      </c>
      <c r="D1545" s="4" t="s">
        <v>45</v>
      </c>
      <c r="E1545" s="4">
        <v>35</v>
      </c>
      <c r="F1545" s="4">
        <v>750.03</v>
      </c>
      <c r="G1545" s="4">
        <v>7.0000000000000007E-2</v>
      </c>
      <c r="H1545" s="4" t="s">
        <v>22</v>
      </c>
      <c r="I1545" s="6">
        <v>-1072.97</v>
      </c>
      <c r="J1545" s="4">
        <v>20.34</v>
      </c>
      <c r="K1545" s="4">
        <v>35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79">C1545+2</f>
        <v>41077</v>
      </c>
    </row>
    <row r="1546" spans="1:21" ht="12" customHeight="1">
      <c r="A1546" s="4">
        <v>1867</v>
      </c>
      <c r="B1546" s="4">
        <v>13440</v>
      </c>
      <c r="C1546" s="5">
        <f>DATE(2012,12,31)-810</f>
        <v>40464</v>
      </c>
      <c r="D1546" s="4" t="s">
        <v>45</v>
      </c>
      <c r="E1546" s="4">
        <v>22</v>
      </c>
      <c r="F1546" s="4">
        <v>971.82</v>
      </c>
      <c r="G1546" s="4">
        <v>7.0000000000000007E-2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79"/>
        <v>40466</v>
      </c>
    </row>
    <row r="1547" spans="1:21" ht="12" customHeight="1">
      <c r="A1547" s="4">
        <v>1903</v>
      </c>
      <c r="B1547" s="4">
        <v>13633</v>
      </c>
      <c r="C1547" s="5">
        <f t="shared" ref="C1547:C1548" si="680">DATE(2012,12,31)-272</f>
        <v>41002</v>
      </c>
      <c r="D1547" s="4" t="s">
        <v>45</v>
      </c>
      <c r="E1547" s="4">
        <v>18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150.97999999999999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1">C1547+1</f>
        <v>41003</v>
      </c>
    </row>
    <row r="1548" spans="1:21" ht="12" customHeight="1">
      <c r="A1548" s="4">
        <v>1904</v>
      </c>
      <c r="B1548" s="4">
        <v>13633</v>
      </c>
      <c r="C1548" s="5">
        <f t="shared" si="680"/>
        <v>41002</v>
      </c>
      <c r="D1548" s="4" t="s">
        <v>45</v>
      </c>
      <c r="E1548" s="4">
        <v>39</v>
      </c>
      <c r="F1548" s="4">
        <v>1538.17</v>
      </c>
      <c r="G1548" s="4">
        <v>0.02</v>
      </c>
      <c r="H1548" s="4" t="s">
        <v>22</v>
      </c>
      <c r="I1548" s="6">
        <v>-1119.6400000000001</v>
      </c>
      <c r="J1548" s="4">
        <v>38.94</v>
      </c>
      <c r="K1548" s="4">
        <v>35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1"/>
        <v>41003</v>
      </c>
    </row>
    <row r="1549" spans="1:21" ht="12" customHeight="1">
      <c r="A1549" s="4">
        <v>1935</v>
      </c>
      <c r="B1549" s="4">
        <v>13861</v>
      </c>
      <c r="C1549" s="5">
        <f>DATE(2012,12,31)-873</f>
        <v>40401</v>
      </c>
      <c r="D1549" s="4" t="s">
        <v>30</v>
      </c>
      <c r="E1549" s="4">
        <v>7</v>
      </c>
      <c r="F1549" s="4">
        <v>37.299999999999997</v>
      </c>
      <c r="G1549" s="4">
        <v>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spans="1:21" ht="12" customHeight="1">
      <c r="A1550" s="4">
        <v>1937</v>
      </c>
      <c r="B1550" s="4">
        <v>13892</v>
      </c>
      <c r="C1550" s="5">
        <f>DATE(2012,12,31)-248</f>
        <v>41026</v>
      </c>
      <c r="D1550" s="4" t="s">
        <v>30</v>
      </c>
      <c r="E1550" s="4">
        <v>47</v>
      </c>
      <c r="F1550" s="4">
        <v>1446.97</v>
      </c>
      <c r="G1550" s="4">
        <v>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spans="1:21" ht="12" customHeight="1">
      <c r="A1551" s="4">
        <v>1962</v>
      </c>
      <c r="B1551" s="4">
        <v>14023</v>
      </c>
      <c r="C1551" s="5">
        <f t="shared" ref="C1551:C1552" si="682">DATE(2012,12,31)-1045</f>
        <v>40229</v>
      </c>
      <c r="D1551" s="4" t="s">
        <v>45</v>
      </c>
      <c r="E1551" s="4">
        <v>36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spans="1:21" ht="12" customHeight="1">
      <c r="A1552" s="4">
        <v>1963</v>
      </c>
      <c r="B1552" s="4">
        <v>14023</v>
      </c>
      <c r="C1552" s="5">
        <f t="shared" si="682"/>
        <v>40229</v>
      </c>
      <c r="D1552" s="4" t="s">
        <v>45</v>
      </c>
      <c r="E1552" s="4">
        <v>48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spans="1:21" ht="12" customHeight="1">
      <c r="A1553" s="4">
        <v>1984</v>
      </c>
      <c r="B1553" s="4">
        <v>14147</v>
      </c>
      <c r="C1553" s="5">
        <f t="shared" ref="C1553:C1555" si="683">DATE(2012,12,31)-1030</f>
        <v>40244</v>
      </c>
      <c r="D1553" s="4" t="s">
        <v>45</v>
      </c>
      <c r="E1553" s="4">
        <v>8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spans="1:21" ht="12" customHeight="1">
      <c r="A1554" s="4">
        <v>1985</v>
      </c>
      <c r="B1554" s="4">
        <v>14147</v>
      </c>
      <c r="C1554" s="5">
        <f t="shared" si="683"/>
        <v>40244</v>
      </c>
      <c r="D1554" s="4" t="s">
        <v>45</v>
      </c>
      <c r="E1554" s="4">
        <v>16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spans="1:21" ht="12" customHeight="1">
      <c r="A1555" s="4">
        <v>1986</v>
      </c>
      <c r="B1555" s="4">
        <v>14147</v>
      </c>
      <c r="C1555" s="5">
        <f t="shared" si="683"/>
        <v>40244</v>
      </c>
      <c r="D1555" s="4" t="s">
        <v>45</v>
      </c>
      <c r="E1555" s="4">
        <v>45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spans="1:21" ht="12" customHeight="1">
      <c r="A1556" s="4">
        <v>2011</v>
      </c>
      <c r="B1556" s="4">
        <v>14368</v>
      </c>
      <c r="C1556" s="5">
        <f t="shared" ref="C1556:C1557" si="684">DATE(2012,12,31)-478</f>
        <v>40796</v>
      </c>
      <c r="D1556" s="4" t="s">
        <v>30</v>
      </c>
      <c r="E1556" s="4">
        <v>5</v>
      </c>
      <c r="F1556" s="4">
        <v>522.05999999999995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spans="1:21" ht="12" customHeight="1">
      <c r="A1557" s="4">
        <v>2012</v>
      </c>
      <c r="B1557" s="4">
        <v>14368</v>
      </c>
      <c r="C1557" s="5">
        <f t="shared" si="684"/>
        <v>40796</v>
      </c>
      <c r="D1557" s="4" t="s">
        <v>30</v>
      </c>
      <c r="E1557" s="4">
        <v>37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0.56000000000000005</v>
      </c>
      <c r="U1557" s="5">
        <f t="shared" ref="U1557:U1559" si="685">C1557+2</f>
        <v>40798</v>
      </c>
    </row>
    <row r="1558" spans="1:21" ht="12" customHeight="1">
      <c r="A1558" s="4">
        <v>2055</v>
      </c>
      <c r="B1558" s="4">
        <v>14693</v>
      </c>
      <c r="C1558" s="5">
        <f t="shared" ref="C1558:C1559" si="686">DATE(2012,12,31)-722</f>
        <v>40552</v>
      </c>
      <c r="D1558" s="4" t="s">
        <v>78</v>
      </c>
      <c r="E1558" s="4">
        <v>39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5"/>
        <v>40554</v>
      </c>
    </row>
    <row r="1559" spans="1:21" ht="12" customHeight="1">
      <c r="A1559" s="4">
        <v>2056</v>
      </c>
      <c r="B1559" s="4">
        <v>14693</v>
      </c>
      <c r="C1559" s="5">
        <f t="shared" si="686"/>
        <v>40552</v>
      </c>
      <c r="D1559" s="4" t="s">
        <v>78</v>
      </c>
      <c r="E1559" s="4">
        <v>38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5"/>
        <v>40554</v>
      </c>
    </row>
    <row r="1560" spans="1:21" ht="12" customHeight="1">
      <c r="A1560" s="4">
        <v>2057</v>
      </c>
      <c r="B1560" s="4">
        <v>14695</v>
      </c>
      <c r="C1560" s="5">
        <f>DATE(2012,12,31)-117</f>
        <v>41157</v>
      </c>
      <c r="D1560" s="4" t="s">
        <v>30</v>
      </c>
      <c r="E1560" s="4">
        <v>40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spans="1:21" ht="12" customHeight="1">
      <c r="A1561" s="4">
        <v>2101</v>
      </c>
      <c r="B1561" s="4">
        <v>15014</v>
      </c>
      <c r="C1561" s="5">
        <f>DATE(2012,12,31)-1055</f>
        <v>40219</v>
      </c>
      <c r="D1561" s="4" t="s">
        <v>63</v>
      </c>
      <c r="E1561" s="4">
        <v>10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spans="1:21" ht="12" customHeight="1">
      <c r="A1562" s="4">
        <v>2213</v>
      </c>
      <c r="B1562" s="4">
        <v>15972</v>
      </c>
      <c r="C1562" s="5">
        <f t="shared" ref="C1562:C1563" si="687">DATE(2012,12,31)-510</f>
        <v>40764</v>
      </c>
      <c r="D1562" s="4" t="s">
        <v>45</v>
      </c>
      <c r="E1562" s="4">
        <v>3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spans="1:21" ht="12" customHeight="1">
      <c r="A1563" s="4">
        <v>2214</v>
      </c>
      <c r="B1563" s="4">
        <v>15972</v>
      </c>
      <c r="C1563" s="5">
        <f t="shared" si="687"/>
        <v>40764</v>
      </c>
      <c r="D1563" s="4" t="s">
        <v>45</v>
      </c>
      <c r="E1563" s="4">
        <v>2</v>
      </c>
      <c r="F1563" s="4">
        <v>14.39</v>
      </c>
      <c r="G1563" s="4">
        <v>7.0000000000000007E-2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spans="1:21" ht="12" customHeight="1">
      <c r="A1564" s="4">
        <v>2222</v>
      </c>
      <c r="B1564" s="4">
        <v>16065</v>
      </c>
      <c r="C1564" s="5">
        <f t="shared" ref="C1564:C1565" si="688">DATE(2012,12,31)-895</f>
        <v>40379</v>
      </c>
      <c r="D1564" s="4" t="s">
        <v>30</v>
      </c>
      <c r="E1564" s="4">
        <v>15</v>
      </c>
      <c r="F1564" s="4">
        <v>6933.45</v>
      </c>
      <c r="G1564" s="4">
        <v>0.04</v>
      </c>
      <c r="H1564" s="4" t="s">
        <v>31</v>
      </c>
      <c r="I1564" s="6">
        <v>1200.2049999999999</v>
      </c>
      <c r="J1564" s="4">
        <v>449.99</v>
      </c>
      <c r="K1564" s="4">
        <v>49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spans="1:21" ht="12" customHeight="1">
      <c r="A1565" s="4">
        <v>2223</v>
      </c>
      <c r="B1565" s="4">
        <v>16065</v>
      </c>
      <c r="C1565" s="5">
        <f t="shared" si="688"/>
        <v>40379</v>
      </c>
      <c r="D1565" s="4" t="s">
        <v>30</v>
      </c>
      <c r="E1565" s="4">
        <v>14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89">C1565+1</f>
        <v>40380</v>
      </c>
    </row>
    <row r="1566" spans="1:21" ht="12" customHeight="1">
      <c r="A1566" s="4">
        <v>2224</v>
      </c>
      <c r="B1566" s="4">
        <v>16096</v>
      </c>
      <c r="C1566" s="5">
        <f>DATE(2012,12,31)-712</f>
        <v>40562</v>
      </c>
      <c r="D1566" s="4" t="s">
        <v>30</v>
      </c>
      <c r="E1566" s="4">
        <v>9</v>
      </c>
      <c r="F1566" s="4">
        <v>42.21</v>
      </c>
      <c r="G1566" s="4">
        <v>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89"/>
        <v>40563</v>
      </c>
    </row>
    <row r="1567" spans="1:21" ht="12" customHeight="1">
      <c r="A1567" s="4">
        <v>2236</v>
      </c>
      <c r="B1567" s="4">
        <v>16160</v>
      </c>
      <c r="C1567" s="5">
        <f>DATE(2012,12,31)-527</f>
        <v>40747</v>
      </c>
      <c r="D1567" s="4" t="s">
        <v>78</v>
      </c>
      <c r="E1567" s="4">
        <v>50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89"/>
        <v>40748</v>
      </c>
    </row>
    <row r="1568" spans="1:21" ht="12" customHeight="1">
      <c r="A1568" s="4">
        <v>2268</v>
      </c>
      <c r="B1568" s="4">
        <v>16291</v>
      </c>
      <c r="C1568" s="5">
        <f>DATE(2012,12,31)-633</f>
        <v>40641</v>
      </c>
      <c r="D1568" s="4" t="s">
        <v>45</v>
      </c>
      <c r="E1568" s="4">
        <v>31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89"/>
        <v>40642</v>
      </c>
    </row>
    <row r="1569" spans="1:21" ht="12" customHeight="1">
      <c r="A1569" s="4">
        <v>2292</v>
      </c>
      <c r="B1569" s="4">
        <v>16519</v>
      </c>
      <c r="C1569" s="5">
        <f t="shared" ref="C1569:C1570" si="690">DATE(2012,12,31)-570</f>
        <v>40704</v>
      </c>
      <c r="D1569" s="4" t="s">
        <v>63</v>
      </c>
      <c r="E1569" s="4">
        <v>39</v>
      </c>
      <c r="F1569" s="4">
        <v>158.97</v>
      </c>
      <c r="G1569" s="4">
        <v>0.08</v>
      </c>
      <c r="H1569" s="4" t="s">
        <v>22</v>
      </c>
      <c r="I1569" s="6">
        <v>-30.268000000000001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1">C1569+2</f>
        <v>40706</v>
      </c>
    </row>
    <row r="1570" spans="1:21" ht="12" customHeight="1">
      <c r="A1570" s="4">
        <v>2293</v>
      </c>
      <c r="B1570" s="4">
        <v>16519</v>
      </c>
      <c r="C1570" s="5">
        <f t="shared" si="690"/>
        <v>40704</v>
      </c>
      <c r="D1570" s="4" t="s">
        <v>63</v>
      </c>
      <c r="E1570" s="4">
        <v>49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0.56000000000000005</v>
      </c>
      <c r="U1570" s="5">
        <f t="shared" si="691"/>
        <v>40706</v>
      </c>
    </row>
    <row r="1571" spans="1:21" ht="12" customHeight="1">
      <c r="A1571" s="4">
        <v>2298</v>
      </c>
      <c r="B1571" s="4">
        <v>16548</v>
      </c>
      <c r="C1571" s="5">
        <f>DATE(2012,12,31)-330</f>
        <v>40944</v>
      </c>
      <c r="D1571" s="4" t="s">
        <v>45</v>
      </c>
      <c r="E1571" s="4">
        <v>22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0.57999999999999996</v>
      </c>
      <c r="U1571" s="5">
        <f t="shared" si="691"/>
        <v>40946</v>
      </c>
    </row>
    <row r="1572" spans="1:21" ht="12" customHeight="1">
      <c r="A1572" s="4">
        <v>2306</v>
      </c>
      <c r="B1572" s="4">
        <v>16613</v>
      </c>
      <c r="C1572" s="5">
        <f>DATE(2012,12,31)-738</f>
        <v>40536</v>
      </c>
      <c r="D1572" s="4" t="s">
        <v>30</v>
      </c>
      <c r="E1572" s="4">
        <v>28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1"/>
        <v>40538</v>
      </c>
    </row>
    <row r="1573" spans="1:21" ht="12" customHeight="1">
      <c r="A1573" s="4">
        <v>2331</v>
      </c>
      <c r="B1573" s="4">
        <v>16804</v>
      </c>
      <c r="C1573" s="5">
        <f t="shared" ref="C1573:C1574" si="692">DATE(2012,12,31)-296</f>
        <v>40978</v>
      </c>
      <c r="D1573" s="4" t="s">
        <v>30</v>
      </c>
      <c r="E1573" s="4">
        <v>46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1"/>
        <v>40980</v>
      </c>
    </row>
    <row r="1574" spans="1:21" ht="12" customHeight="1">
      <c r="A1574" s="4">
        <v>2332</v>
      </c>
      <c r="B1574" s="4">
        <v>16804</v>
      </c>
      <c r="C1574" s="5">
        <f t="shared" si="692"/>
        <v>40978</v>
      </c>
      <c r="D1574" s="4" t="s">
        <v>30</v>
      </c>
      <c r="E1574" s="4">
        <v>36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spans="1:21" ht="12" customHeight="1">
      <c r="A1575" s="4">
        <v>2361</v>
      </c>
      <c r="B1575" s="4">
        <v>17061</v>
      </c>
      <c r="C1575" s="5">
        <f>DATE(2012,12,31)-62</f>
        <v>41212</v>
      </c>
      <c r="D1575" s="4" t="s">
        <v>78</v>
      </c>
      <c r="E1575" s="4">
        <v>28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0.56000000000000005</v>
      </c>
      <c r="U1575" s="5">
        <f>C1575+2</f>
        <v>41214</v>
      </c>
    </row>
    <row r="1576" spans="1:21" ht="12" customHeight="1">
      <c r="A1576" s="4">
        <v>2367</v>
      </c>
      <c r="B1576" s="4">
        <v>17152</v>
      </c>
      <c r="C1576" s="5">
        <f>DATE(2012,12,31)-294</f>
        <v>40980</v>
      </c>
      <c r="D1576" s="4" t="s">
        <v>30</v>
      </c>
      <c r="E1576" s="4">
        <v>32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spans="1:21" ht="12" customHeight="1">
      <c r="A1577" s="4">
        <v>2373</v>
      </c>
      <c r="B1577" s="4">
        <v>17187</v>
      </c>
      <c r="C1577" s="5">
        <f>DATE(2012,12,31)-99</f>
        <v>41175</v>
      </c>
      <c r="D1577" s="4" t="s">
        <v>30</v>
      </c>
      <c r="E1577" s="4">
        <v>4</v>
      </c>
      <c r="F1577" s="4">
        <v>2951.97</v>
      </c>
      <c r="G1577" s="4">
        <v>0.09</v>
      </c>
      <c r="H1577" s="4" t="s">
        <v>31</v>
      </c>
      <c r="I1577" s="6">
        <v>-1890.3272999999999</v>
      </c>
      <c r="J1577" s="4">
        <v>810.98</v>
      </c>
      <c r="K1577" s="4">
        <v>16.059999999999999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0.56000000000000005</v>
      </c>
      <c r="U1577" s="5">
        <f>C1577+2</f>
        <v>41177</v>
      </c>
    </row>
    <row r="1578" spans="1:21" ht="12" customHeight="1">
      <c r="A1578" s="4">
        <v>2378</v>
      </c>
      <c r="B1578" s="4">
        <v>17252</v>
      </c>
      <c r="C1578" s="5">
        <f t="shared" ref="C1578:C1579" si="693">DATE(2012,12,31)-612</f>
        <v>40662</v>
      </c>
      <c r="D1578" s="4" t="s">
        <v>45</v>
      </c>
      <c r="E1578" s="4">
        <v>48</v>
      </c>
      <c r="F1578" s="4">
        <v>2283.2199999999998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spans="1:21" ht="12" customHeight="1">
      <c r="A1579" s="4">
        <v>2379</v>
      </c>
      <c r="B1579" s="4">
        <v>17252</v>
      </c>
      <c r="C1579" s="5">
        <f t="shared" si="693"/>
        <v>40662</v>
      </c>
      <c r="D1579" s="4" t="s">
        <v>45</v>
      </c>
      <c r="E1579" s="4">
        <v>49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spans="1:21" ht="12" customHeight="1">
      <c r="A1580" s="4">
        <v>2388</v>
      </c>
      <c r="B1580" s="4">
        <v>17312</v>
      </c>
      <c r="C1580" s="5">
        <f t="shared" ref="C1580:C1581" si="694">DATE(2012,12,31)-591</f>
        <v>40683</v>
      </c>
      <c r="D1580" s="4" t="s">
        <v>45</v>
      </c>
      <c r="E1580" s="4">
        <v>37</v>
      </c>
      <c r="F1580" s="4">
        <v>258.54000000000002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5">C1580+1</f>
        <v>40684</v>
      </c>
    </row>
    <row r="1581" spans="1:21" ht="12" customHeight="1">
      <c r="A1581" s="4">
        <v>2389</v>
      </c>
      <c r="B1581" s="4">
        <v>17312</v>
      </c>
      <c r="C1581" s="5">
        <f t="shared" si="694"/>
        <v>40683</v>
      </c>
      <c r="D1581" s="4" t="s">
        <v>45</v>
      </c>
      <c r="E1581" s="4">
        <v>41</v>
      </c>
      <c r="F1581" s="4">
        <v>4610.2894999999999</v>
      </c>
      <c r="G1581" s="4">
        <v>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5"/>
        <v>40684</v>
      </c>
    </row>
    <row r="1582" spans="1:21" ht="12" customHeight="1">
      <c r="A1582" s="4">
        <v>2396</v>
      </c>
      <c r="B1582" s="4">
        <v>17377</v>
      </c>
      <c r="C1582" s="5">
        <f>DATE(2012,12,31)-430</f>
        <v>40844</v>
      </c>
      <c r="D1582" s="4" t="s">
        <v>21</v>
      </c>
      <c r="E1582" s="4">
        <v>39</v>
      </c>
      <c r="F1582" s="4">
        <v>110.38</v>
      </c>
      <c r="G1582" s="4">
        <v>0.05</v>
      </c>
      <c r="H1582" s="4" t="s">
        <v>22</v>
      </c>
      <c r="I1582" s="6">
        <v>-4.8600000000000003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0.57999999999999996</v>
      </c>
      <c r="U1582" s="5">
        <f>C1582+2</f>
        <v>40846</v>
      </c>
    </row>
    <row r="1583" spans="1:21" ht="12" customHeight="1">
      <c r="A1583" s="4">
        <v>2427</v>
      </c>
      <c r="B1583" s="4">
        <v>17634</v>
      </c>
      <c r="C1583" s="5">
        <f>DATE(2012,12,31)-163</f>
        <v>41111</v>
      </c>
      <c r="D1583" s="4" t="s">
        <v>30</v>
      </c>
      <c r="E1583" s="4">
        <v>5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spans="1:21" ht="12" customHeight="1">
      <c r="A1584" s="4">
        <v>2443</v>
      </c>
      <c r="B1584" s="4">
        <v>17735</v>
      </c>
      <c r="C1584" s="5">
        <f t="shared" ref="C1584:C1585" si="696">DATE(2012,12,31)-172</f>
        <v>41102</v>
      </c>
      <c r="D1584" s="4" t="s">
        <v>21</v>
      </c>
      <c r="E1584" s="4">
        <v>45</v>
      </c>
      <c r="F1584" s="4">
        <v>311.64999999999998</v>
      </c>
      <c r="G1584" s="4">
        <v>0.03</v>
      </c>
      <c r="H1584" s="4" t="s">
        <v>22</v>
      </c>
      <c r="I1584" s="6">
        <v>-71.254000000000005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7">C1584+5</f>
        <v>41107</v>
      </c>
    </row>
    <row r="1585" spans="1:21" ht="12" customHeight="1">
      <c r="A1585" s="4">
        <v>2444</v>
      </c>
      <c r="B1585" s="4">
        <v>17735</v>
      </c>
      <c r="C1585" s="5">
        <f t="shared" si="696"/>
        <v>41102</v>
      </c>
      <c r="D1585" s="4" t="s">
        <v>21</v>
      </c>
      <c r="E1585" s="4">
        <v>28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7"/>
        <v>41107</v>
      </c>
    </row>
    <row r="1586" spans="1:21" ht="12" customHeight="1">
      <c r="A1586" s="4">
        <v>2451</v>
      </c>
      <c r="B1586" s="4">
        <v>17825</v>
      </c>
      <c r="C1586" s="5">
        <f>DATE(2012,12,31)-1083</f>
        <v>40191</v>
      </c>
      <c r="D1586" s="4" t="s">
        <v>45</v>
      </c>
      <c r="E1586" s="4">
        <v>26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0.56999999999999995</v>
      </c>
      <c r="U1586" s="5">
        <f t="shared" ref="U1586:U1587" si="698">C1586+3</f>
        <v>40194</v>
      </c>
    </row>
    <row r="1587" spans="1:21" ht="12" customHeight="1">
      <c r="A1587" s="4">
        <v>2469</v>
      </c>
      <c r="B1587" s="4">
        <v>17956</v>
      </c>
      <c r="C1587" s="5">
        <f t="shared" ref="C1587:C1588" si="699">DATE(2012,12,31)-879</f>
        <v>40395</v>
      </c>
      <c r="D1587" s="4" t="s">
        <v>78</v>
      </c>
      <c r="E1587" s="4">
        <v>40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8"/>
        <v>40398</v>
      </c>
    </row>
    <row r="1588" spans="1:21" ht="12" customHeight="1">
      <c r="A1588" s="4">
        <v>2470</v>
      </c>
      <c r="B1588" s="4">
        <v>17956</v>
      </c>
      <c r="C1588" s="5">
        <f t="shared" si="699"/>
        <v>40395</v>
      </c>
      <c r="D1588" s="4" t="s">
        <v>78</v>
      </c>
      <c r="E1588" s="4">
        <v>17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spans="1:21" ht="12" customHeight="1">
      <c r="A1589" s="4">
        <v>2476</v>
      </c>
      <c r="B1589" s="4">
        <v>17986</v>
      </c>
      <c r="C1589" s="5">
        <f>DATE(2012,12,31)-270</f>
        <v>41004</v>
      </c>
      <c r="D1589" s="4" t="s">
        <v>45</v>
      </c>
      <c r="E1589" s="4">
        <v>43</v>
      </c>
      <c r="F1589" s="4">
        <v>87.31</v>
      </c>
      <c r="G1589" s="4">
        <v>0.05</v>
      </c>
      <c r="H1589" s="4" t="s">
        <v>22</v>
      </c>
      <c r="I1589" s="6">
        <v>-15.087999999999999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spans="1:21" ht="12" customHeight="1">
      <c r="A1590" s="4">
        <v>2486</v>
      </c>
      <c r="B1590" s="4">
        <v>18112</v>
      </c>
      <c r="C1590" s="5">
        <f>DATE(2012,12,31)-290</f>
        <v>40984</v>
      </c>
      <c r="D1590" s="4" t="s">
        <v>45</v>
      </c>
      <c r="E1590" s="4">
        <v>13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spans="1:21" ht="12" customHeight="1">
      <c r="A1591" s="4">
        <v>2501</v>
      </c>
      <c r="B1591" s="4">
        <v>18182</v>
      </c>
      <c r="C1591" s="5">
        <f t="shared" ref="C1591:C1593" si="700">DATE(2012,12,31)-631</f>
        <v>40643</v>
      </c>
      <c r="D1591" s="4" t="s">
        <v>63</v>
      </c>
      <c r="E1591" s="4">
        <v>45</v>
      </c>
      <c r="F1591" s="4">
        <v>4598.7299999999996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19.989999999999998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spans="1:21" ht="12" customHeight="1">
      <c r="A1592" s="4">
        <v>2502</v>
      </c>
      <c r="B1592" s="4">
        <v>18182</v>
      </c>
      <c r="C1592" s="5">
        <f t="shared" si="700"/>
        <v>40643</v>
      </c>
      <c r="D1592" s="4" t="s">
        <v>63</v>
      </c>
      <c r="E1592" s="4">
        <v>45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spans="1:21" ht="12" customHeight="1">
      <c r="A1593" s="4">
        <v>2503</v>
      </c>
      <c r="B1593" s="4">
        <v>18182</v>
      </c>
      <c r="C1593" s="5">
        <f t="shared" si="700"/>
        <v>40643</v>
      </c>
      <c r="D1593" s="4" t="s">
        <v>63</v>
      </c>
      <c r="E1593" s="4">
        <v>12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1">C1593+2</f>
        <v>40645</v>
      </c>
    </row>
    <row r="1594" spans="1:21" ht="12" customHeight="1">
      <c r="A1594" s="4">
        <v>2565</v>
      </c>
      <c r="B1594" s="4">
        <v>18531</v>
      </c>
      <c r="C1594" s="5">
        <f>DATE(2012,12,31)-63</f>
        <v>41211</v>
      </c>
      <c r="D1594" s="4" t="s">
        <v>78</v>
      </c>
      <c r="E1594" s="4">
        <v>50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1"/>
        <v>41213</v>
      </c>
    </row>
    <row r="1595" spans="1:21" ht="12" customHeight="1">
      <c r="A1595" s="4">
        <v>2584</v>
      </c>
      <c r="B1595" s="4">
        <v>18661</v>
      </c>
      <c r="C1595" s="5">
        <f t="shared" ref="C1595:C1596" si="702">DATE(2012,12,31)-114</f>
        <v>41160</v>
      </c>
      <c r="D1595" s="4" t="s">
        <v>21</v>
      </c>
      <c r="E1595" s="4">
        <v>12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0.57999999999999996</v>
      </c>
      <c r="U1595" s="5">
        <f>C1595+4</f>
        <v>41164</v>
      </c>
    </row>
    <row r="1596" spans="1:21" ht="12" customHeight="1">
      <c r="A1596" s="4">
        <v>2585</v>
      </c>
      <c r="B1596" s="4">
        <v>18661</v>
      </c>
      <c r="C1596" s="5">
        <f t="shared" si="702"/>
        <v>41160</v>
      </c>
      <c r="D1596" s="4" t="s">
        <v>21</v>
      </c>
      <c r="E1596" s="4">
        <v>11</v>
      </c>
      <c r="F1596" s="4">
        <v>2618.1120000000001</v>
      </c>
      <c r="G1596" s="4">
        <v>0.04</v>
      </c>
      <c r="H1596" s="4" t="s">
        <v>31</v>
      </c>
      <c r="I1596" s="6">
        <v>-139.26600000000002</v>
      </c>
      <c r="J1596" s="4">
        <v>286.85000000000002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spans="1:21" ht="12" customHeight="1">
      <c r="A1597" s="4">
        <v>2680</v>
      </c>
      <c r="B1597" s="4">
        <v>19394</v>
      </c>
      <c r="C1597" s="5">
        <f t="shared" ref="C1597:C1598" si="703">DATE(2012,12,31)-6</f>
        <v>41268</v>
      </c>
      <c r="D1597" s="4" t="s">
        <v>63</v>
      </c>
      <c r="E1597" s="4">
        <v>16</v>
      </c>
      <c r="F1597" s="4">
        <v>279.327</v>
      </c>
      <c r="G1597" s="4">
        <v>0.05</v>
      </c>
      <c r="H1597" s="4" t="s">
        <v>22</v>
      </c>
      <c r="I1597" s="6">
        <v>75.212999999999994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spans="1:21" ht="12" customHeight="1">
      <c r="A1598" s="4">
        <v>2681</v>
      </c>
      <c r="B1598" s="4">
        <v>19394</v>
      </c>
      <c r="C1598" s="5">
        <f t="shared" si="703"/>
        <v>41268</v>
      </c>
      <c r="D1598" s="4" t="s">
        <v>63</v>
      </c>
      <c r="E1598" s="4">
        <v>5</v>
      </c>
      <c r="F1598" s="4">
        <v>539.20600000000002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8.8000000000000007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spans="1:21" ht="12" customHeight="1">
      <c r="A1599" s="4">
        <v>2724</v>
      </c>
      <c r="B1599" s="4">
        <v>19653</v>
      </c>
      <c r="C1599" s="5">
        <f>DATE(2012,12,31)-111</f>
        <v>41163</v>
      </c>
      <c r="D1599" s="4" t="s">
        <v>45</v>
      </c>
      <c r="E1599" s="4">
        <v>34</v>
      </c>
      <c r="F1599" s="4">
        <v>125.46</v>
      </c>
      <c r="G1599" s="4">
        <v>7.0000000000000007E-2</v>
      </c>
      <c r="H1599" s="4" t="s">
        <v>22</v>
      </c>
      <c r="I1599" s="6">
        <v>-129.62799999999999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spans="1:21" ht="12" customHeight="1">
      <c r="A1600" s="4">
        <v>2729</v>
      </c>
      <c r="B1600" s="4">
        <v>19687</v>
      </c>
      <c r="C1600" s="5">
        <f t="shared" ref="C1600:C1601" si="704">DATE(2012,12,31)-871</f>
        <v>40403</v>
      </c>
      <c r="D1600" s="4" t="s">
        <v>63</v>
      </c>
      <c r="E1600" s="4">
        <v>33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spans="1:21" ht="12" customHeight="1">
      <c r="A1601" s="4">
        <v>2730</v>
      </c>
      <c r="B1601" s="4">
        <v>19687</v>
      </c>
      <c r="C1601" s="5">
        <f t="shared" si="704"/>
        <v>40403</v>
      </c>
      <c r="D1601" s="4" t="s">
        <v>63</v>
      </c>
      <c r="E1601" s="4">
        <v>23</v>
      </c>
      <c r="F1601" s="4">
        <v>829.61699999999996</v>
      </c>
      <c r="G1601" s="4">
        <v>0.1</v>
      </c>
      <c r="H1601" s="4" t="s">
        <v>22</v>
      </c>
      <c r="I1601" s="6">
        <v>25.533000000000001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0.56999999999999995</v>
      </c>
      <c r="U1601" s="5">
        <f>C1601+2</f>
        <v>40405</v>
      </c>
    </row>
    <row r="1602" spans="1:21" ht="12" customHeight="1">
      <c r="A1602" s="4">
        <v>2742</v>
      </c>
      <c r="B1602" s="4">
        <v>19782</v>
      </c>
      <c r="C1602" s="5">
        <f>DATE(2012,12,31)-74</f>
        <v>41200</v>
      </c>
      <c r="D1602" s="4" t="s">
        <v>21</v>
      </c>
      <c r="E1602" s="4">
        <v>18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5">C1602+4</f>
        <v>41204</v>
      </c>
    </row>
    <row r="1603" spans="1:21" ht="12" customHeight="1">
      <c r="A1603" s="4">
        <v>2792</v>
      </c>
      <c r="B1603" s="4">
        <v>20134</v>
      </c>
      <c r="C1603" s="5">
        <f t="shared" ref="C1603:C1604" si="706">DATE(2012,12,31)-660</f>
        <v>40614</v>
      </c>
      <c r="D1603" s="4" t="s">
        <v>21</v>
      </c>
      <c r="E1603" s="4">
        <v>26</v>
      </c>
      <c r="F1603" s="4">
        <v>583.55999999999995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5"/>
        <v>40618</v>
      </c>
    </row>
    <row r="1604" spans="1:21" ht="12" customHeight="1">
      <c r="A1604" s="4">
        <v>2793</v>
      </c>
      <c r="B1604" s="4">
        <v>20134</v>
      </c>
      <c r="C1604" s="5">
        <f t="shared" si="706"/>
        <v>40614</v>
      </c>
      <c r="D1604" s="4" t="s">
        <v>21</v>
      </c>
      <c r="E1604" s="4">
        <v>47</v>
      </c>
      <c r="F1604" s="4">
        <v>281.47000000000003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spans="1:21" ht="12" customHeight="1">
      <c r="A1605" s="4">
        <v>2806</v>
      </c>
      <c r="B1605" s="4">
        <v>20259</v>
      </c>
      <c r="C1605" s="5">
        <f>DATE(2012,12,31)-587</f>
        <v>40687</v>
      </c>
      <c r="D1605" s="4" t="s">
        <v>78</v>
      </c>
      <c r="E1605" s="4">
        <v>42</v>
      </c>
      <c r="F1605" s="4">
        <v>539.05999999999995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spans="1:21" ht="12" customHeight="1">
      <c r="A1606" s="4">
        <v>2837</v>
      </c>
      <c r="B1606" s="4">
        <v>20453</v>
      </c>
      <c r="C1606" s="5">
        <f t="shared" ref="C1606:C1607" si="707">DATE(2012,12,31)-662</f>
        <v>40612</v>
      </c>
      <c r="D1606" s="4" t="s">
        <v>63</v>
      </c>
      <c r="E1606" s="4">
        <v>23</v>
      </c>
      <c r="F1606" s="4">
        <v>450.39</v>
      </c>
      <c r="G1606" s="4">
        <v>7.0000000000000007E-2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8">C1606+2</f>
        <v>40614</v>
      </c>
    </row>
    <row r="1607" spans="1:21" ht="12" customHeight="1">
      <c r="A1607" s="4">
        <v>2838</v>
      </c>
      <c r="B1607" s="4">
        <v>20453</v>
      </c>
      <c r="C1607" s="5">
        <f t="shared" si="707"/>
        <v>40612</v>
      </c>
      <c r="D1607" s="4" t="s">
        <v>63</v>
      </c>
      <c r="E1607" s="4">
        <v>17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0.55000000000000004</v>
      </c>
      <c r="U1607" s="5">
        <f t="shared" si="708"/>
        <v>40614</v>
      </c>
    </row>
    <row r="1608" spans="1:21" ht="12" customHeight="1">
      <c r="A1608" s="4">
        <v>2913</v>
      </c>
      <c r="B1608" s="4">
        <v>21025</v>
      </c>
      <c r="C1608" s="5">
        <f>DATE(2012,12,31)-842</f>
        <v>40432</v>
      </c>
      <c r="D1608" s="4" t="s">
        <v>45</v>
      </c>
      <c r="E1608" s="4">
        <v>38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8"/>
        <v>40434</v>
      </c>
    </row>
    <row r="1609" spans="1:21" ht="12" customHeight="1">
      <c r="A1609" s="4">
        <v>2914</v>
      </c>
      <c r="B1609" s="4">
        <v>21028</v>
      </c>
      <c r="C1609" s="5">
        <f>DATE(2012,12,31)-207</f>
        <v>41067</v>
      </c>
      <c r="D1609" s="4" t="s">
        <v>78</v>
      </c>
      <c r="E1609" s="4">
        <v>38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8"/>
        <v>41069</v>
      </c>
    </row>
    <row r="1610" spans="1:21" ht="12" customHeight="1">
      <c r="A1610" s="4">
        <v>2921</v>
      </c>
      <c r="B1610" s="4">
        <v>21125</v>
      </c>
      <c r="C1610" s="5">
        <f>DATE(2012,12,31)-674</f>
        <v>40600</v>
      </c>
      <c r="D1610" s="4" t="s">
        <v>45</v>
      </c>
      <c r="E1610" s="4">
        <v>17</v>
      </c>
      <c r="F1610" s="4">
        <v>155.16999999999999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4.3899999999999997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spans="1:21" ht="12" customHeight="1">
      <c r="A1611" s="4">
        <v>2955</v>
      </c>
      <c r="B1611" s="4">
        <v>21382</v>
      </c>
      <c r="C1611" s="5">
        <f>DATE(2012,12,31)-354</f>
        <v>40920</v>
      </c>
      <c r="D1611" s="4" t="s">
        <v>78</v>
      </c>
      <c r="E1611" s="4">
        <v>27</v>
      </c>
      <c r="F1611" s="4">
        <v>145.93</v>
      </c>
      <c r="G1611" s="4">
        <v>0</v>
      </c>
      <c r="H1611" s="4" t="s">
        <v>22</v>
      </c>
      <c r="I1611" s="6">
        <v>-113.32</v>
      </c>
      <c r="J1611" s="4">
        <v>4.9800000000000004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spans="1:21" ht="12" customHeight="1">
      <c r="A1612" s="4">
        <v>2994</v>
      </c>
      <c r="B1612" s="4">
        <v>21604</v>
      </c>
      <c r="C1612" s="5">
        <f>DATE(2012,12,31)-274</f>
        <v>41000</v>
      </c>
      <c r="D1612" s="4" t="s">
        <v>63</v>
      </c>
      <c r="E1612" s="4">
        <v>6</v>
      </c>
      <c r="F1612" s="4">
        <v>2478.88</v>
      </c>
      <c r="G1612" s="4">
        <v>0.02</v>
      </c>
      <c r="H1612" s="4" t="s">
        <v>56</v>
      </c>
      <c r="I1612" s="6">
        <v>593.58900000000006</v>
      </c>
      <c r="J1612" s="4">
        <v>387.99</v>
      </c>
      <c r="K1612" s="4">
        <v>19.989999999999998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spans="1:21" ht="12" customHeight="1">
      <c r="A1613" s="4">
        <v>3037</v>
      </c>
      <c r="B1613" s="4">
        <v>21824</v>
      </c>
      <c r="C1613" s="5">
        <f>DATE(2012,12,31)-693</f>
        <v>40581</v>
      </c>
      <c r="D1613" s="4" t="s">
        <v>21</v>
      </c>
      <c r="E1613" s="4">
        <v>37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spans="1:21" ht="12" customHeight="1">
      <c r="A1614" s="4">
        <v>3057</v>
      </c>
      <c r="B1614" s="4">
        <v>21893</v>
      </c>
      <c r="C1614" s="5">
        <f>DATE(2012,12,31)-434</f>
        <v>40840</v>
      </c>
      <c r="D1614" s="4" t="s">
        <v>78</v>
      </c>
      <c r="E1614" s="4">
        <v>30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8.1300000000000008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spans="1:21" ht="12" customHeight="1">
      <c r="A1615" s="4">
        <v>3075</v>
      </c>
      <c r="B1615" s="4">
        <v>22054</v>
      </c>
      <c r="C1615" s="5">
        <f>DATE(2012,12,31)-886</f>
        <v>40388</v>
      </c>
      <c r="D1615" s="4" t="s">
        <v>63</v>
      </c>
      <c r="E1615" s="4">
        <v>32</v>
      </c>
      <c r="F1615" s="4">
        <v>216.79</v>
      </c>
      <c r="G1615" s="4">
        <v>7.0000000000000007E-2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spans="1:21" ht="12" customHeight="1">
      <c r="A1616" s="4">
        <v>3091</v>
      </c>
      <c r="B1616" s="4">
        <v>22181</v>
      </c>
      <c r="C1616" s="5">
        <f>DATE(2012,12,31)-451</f>
        <v>40823</v>
      </c>
      <c r="D1616" s="4" t="s">
        <v>21</v>
      </c>
      <c r="E1616" s="4">
        <v>41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spans="1:21" ht="12" customHeight="1">
      <c r="A1617" s="4">
        <v>3104</v>
      </c>
      <c r="B1617" s="4">
        <v>22272</v>
      </c>
      <c r="C1617" s="5">
        <f t="shared" ref="C1617:C1618" si="709">DATE(2012,12,31)-239</f>
        <v>41035</v>
      </c>
      <c r="D1617" s="4" t="s">
        <v>30</v>
      </c>
      <c r="E1617" s="4">
        <v>37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152.47999999999999</v>
      </c>
      <c r="K1617" s="4">
        <v>4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0">C1617+2</f>
        <v>41037</v>
      </c>
    </row>
    <row r="1618" spans="1:21" ht="12" customHeight="1">
      <c r="A1618" s="4">
        <v>3105</v>
      </c>
      <c r="B1618" s="4">
        <v>22272</v>
      </c>
      <c r="C1618" s="5">
        <f t="shared" si="709"/>
        <v>41035</v>
      </c>
      <c r="D1618" s="4" t="s">
        <v>30</v>
      </c>
      <c r="E1618" s="4">
        <v>30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35.409999999999997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0"/>
        <v>41037</v>
      </c>
    </row>
    <row r="1619" spans="1:21" ht="12" customHeight="1">
      <c r="A1619" s="4">
        <v>3115</v>
      </c>
      <c r="B1619" s="4">
        <v>22373</v>
      </c>
      <c r="C1619" s="5">
        <f>DATE(2012,12,31)-278</f>
        <v>40996</v>
      </c>
      <c r="D1619" s="4" t="s">
        <v>30</v>
      </c>
      <c r="E1619" s="4">
        <v>26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8.2899999999999991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spans="1:21" ht="12" customHeight="1">
      <c r="A1620" s="4">
        <v>3125</v>
      </c>
      <c r="B1620" s="4">
        <v>22434</v>
      </c>
      <c r="C1620" s="5">
        <f t="shared" ref="C1620:C1621" si="711">DATE(2012,12,31)-124</f>
        <v>41150</v>
      </c>
      <c r="D1620" s="4" t="s">
        <v>78</v>
      </c>
      <c r="E1620" s="4">
        <v>3</v>
      </c>
      <c r="F1620" s="4">
        <v>18.7</v>
      </c>
      <c r="G1620" s="4">
        <v>0.1</v>
      </c>
      <c r="H1620" s="4" t="s">
        <v>22</v>
      </c>
      <c r="I1620" s="6">
        <v>-14.685499999999999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2">C1620+2</f>
        <v>41152</v>
      </c>
    </row>
    <row r="1621" spans="1:21" ht="12" customHeight="1">
      <c r="A1621" s="4">
        <v>3126</v>
      </c>
      <c r="B1621" s="4">
        <v>22434</v>
      </c>
      <c r="C1621" s="5">
        <f t="shared" si="711"/>
        <v>41150</v>
      </c>
      <c r="D1621" s="4" t="s">
        <v>78</v>
      </c>
      <c r="E1621" s="4">
        <v>39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0.56000000000000005</v>
      </c>
      <c r="U1621" s="5">
        <f t="shared" si="712"/>
        <v>41152</v>
      </c>
    </row>
    <row r="1622" spans="1:21" ht="12" customHeight="1">
      <c r="A1622" s="4">
        <v>3179</v>
      </c>
      <c r="B1622" s="4">
        <v>22849</v>
      </c>
      <c r="C1622" s="5">
        <f t="shared" ref="C1622:C1625" si="713">DATE(2012,12,31)-686</f>
        <v>40588</v>
      </c>
      <c r="D1622" s="4" t="s">
        <v>45</v>
      </c>
      <c r="E1622" s="4">
        <v>27</v>
      </c>
      <c r="F1622" s="4">
        <v>304.98</v>
      </c>
      <c r="G1622" s="4">
        <v>0.08</v>
      </c>
      <c r="H1622" s="4" t="s">
        <v>22</v>
      </c>
      <c r="I1622" s="6">
        <v>2.7284999999999999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spans="1:21" ht="12" customHeight="1">
      <c r="A1623" s="4">
        <v>3180</v>
      </c>
      <c r="B1623" s="4">
        <v>22849</v>
      </c>
      <c r="C1623" s="5">
        <f t="shared" si="713"/>
        <v>40588</v>
      </c>
      <c r="D1623" s="4" t="s">
        <v>45</v>
      </c>
      <c r="E1623" s="4">
        <v>34</v>
      </c>
      <c r="F1623" s="4">
        <v>104.24</v>
      </c>
      <c r="G1623" s="4">
        <v>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4">C1623+2</f>
        <v>40590</v>
      </c>
    </row>
    <row r="1624" spans="1:21" ht="12" customHeight="1">
      <c r="A1624" s="4">
        <v>3181</v>
      </c>
      <c r="B1624" s="4">
        <v>22849</v>
      </c>
      <c r="C1624" s="5">
        <f t="shared" si="713"/>
        <v>40588</v>
      </c>
      <c r="D1624" s="4" t="s">
        <v>45</v>
      </c>
      <c r="E1624" s="4">
        <v>27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4"/>
        <v>40590</v>
      </c>
    </row>
    <row r="1625" spans="1:21" ht="12" customHeight="1">
      <c r="A1625" s="4">
        <v>3182</v>
      </c>
      <c r="B1625" s="4">
        <v>22849</v>
      </c>
      <c r="C1625" s="5">
        <f t="shared" si="713"/>
        <v>40588</v>
      </c>
      <c r="D1625" s="4" t="s">
        <v>45</v>
      </c>
      <c r="E1625" s="4">
        <v>25</v>
      </c>
      <c r="F1625" s="4">
        <v>4366.348</v>
      </c>
      <c r="G1625" s="4">
        <v>0.05</v>
      </c>
      <c r="H1625" s="4" t="s">
        <v>22</v>
      </c>
      <c r="I1625" s="6">
        <v>940.57199999999989</v>
      </c>
      <c r="J1625" s="4">
        <v>205.99</v>
      </c>
      <c r="K1625" s="4">
        <v>3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0.57999999999999996</v>
      </c>
      <c r="U1625" s="5">
        <f t="shared" si="714"/>
        <v>40590</v>
      </c>
    </row>
    <row r="1626" spans="1:21" ht="12" customHeight="1">
      <c r="A1626" s="4">
        <v>3188</v>
      </c>
      <c r="B1626" s="4">
        <v>22881</v>
      </c>
      <c r="C1626" s="5">
        <f>DATE(2012,12,31)-1000</f>
        <v>40274</v>
      </c>
      <c r="D1626" s="4" t="s">
        <v>63</v>
      </c>
      <c r="E1626" s="4">
        <v>33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9.3699999999999992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0.56000000000000005</v>
      </c>
      <c r="U1626" s="5">
        <f>C1626+1</f>
        <v>40275</v>
      </c>
    </row>
    <row r="1627" spans="1:21" ht="12" customHeight="1">
      <c r="A1627" s="4">
        <v>3201</v>
      </c>
      <c r="B1627" s="4">
        <v>22950</v>
      </c>
      <c r="C1627" s="5">
        <f>DATE(2012,12,31)-376</f>
        <v>40898</v>
      </c>
      <c r="D1627" s="4" t="s">
        <v>21</v>
      </c>
      <c r="E1627" s="4">
        <v>29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64.650000000000006</v>
      </c>
      <c r="K1627" s="4">
        <v>35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spans="1:21" ht="12" customHeight="1">
      <c r="A1628" s="4">
        <v>3233</v>
      </c>
      <c r="B1628" s="4">
        <v>23202</v>
      </c>
      <c r="C1628" s="5">
        <f t="shared" ref="C1628:C1629" si="715">DATE(2012,12,31)-520</f>
        <v>40754</v>
      </c>
      <c r="D1628" s="4" t="s">
        <v>30</v>
      </c>
      <c r="E1628" s="4">
        <v>39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6">C1628+2</f>
        <v>40756</v>
      </c>
    </row>
    <row r="1629" spans="1:21" ht="12" customHeight="1">
      <c r="A1629" s="4">
        <v>3234</v>
      </c>
      <c r="B1629" s="4">
        <v>23202</v>
      </c>
      <c r="C1629" s="5">
        <f t="shared" si="715"/>
        <v>40754</v>
      </c>
      <c r="D1629" s="4" t="s">
        <v>30</v>
      </c>
      <c r="E1629" s="4">
        <v>48</v>
      </c>
      <c r="F1629" s="4">
        <v>608.29</v>
      </c>
      <c r="G1629" s="4">
        <v>0.02</v>
      </c>
      <c r="H1629" s="4" t="s">
        <v>22</v>
      </c>
      <c r="I1629" s="6">
        <v>-39.270000000000003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6"/>
        <v>40756</v>
      </c>
    </row>
    <row r="1630" spans="1:21" ht="12" customHeight="1">
      <c r="A1630" s="4">
        <v>3276</v>
      </c>
      <c r="B1630" s="4">
        <v>23426</v>
      </c>
      <c r="C1630" s="5">
        <f t="shared" ref="C1630:C1631" si="717">DATE(2012,12,31)-684</f>
        <v>40590</v>
      </c>
      <c r="D1630" s="4" t="s">
        <v>78</v>
      </c>
      <c r="E1630" s="4">
        <v>45</v>
      </c>
      <c r="F1630" s="4">
        <v>1009.8</v>
      </c>
      <c r="G1630" s="4">
        <v>7.0000000000000007E-2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6"/>
        <v>40592</v>
      </c>
    </row>
    <row r="1631" spans="1:21" ht="12" customHeight="1">
      <c r="A1631" s="4">
        <v>3277</v>
      </c>
      <c r="B1631" s="4">
        <v>23426</v>
      </c>
      <c r="C1631" s="5">
        <f t="shared" si="717"/>
        <v>40590</v>
      </c>
      <c r="D1631" s="4" t="s">
        <v>78</v>
      </c>
      <c r="E1631" s="4">
        <v>12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spans="1:21" ht="12" customHeight="1">
      <c r="A1632" s="4">
        <v>3311</v>
      </c>
      <c r="B1632" s="4">
        <v>23649</v>
      </c>
      <c r="C1632" s="5">
        <f t="shared" ref="C1632:C1633" si="718">DATE(2012,12,31)-117</f>
        <v>41157</v>
      </c>
      <c r="D1632" s="4" t="s">
        <v>45</v>
      </c>
      <c r="E1632" s="4">
        <v>30</v>
      </c>
      <c r="F1632" s="4">
        <v>4587.9260000000004</v>
      </c>
      <c r="G1632" s="4">
        <v>0.1</v>
      </c>
      <c r="H1632" s="4" t="s">
        <v>22</v>
      </c>
      <c r="I1632" s="6">
        <v>687.41099999999994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spans="1:21" ht="12" customHeight="1">
      <c r="A1633" s="4">
        <v>3312</v>
      </c>
      <c r="B1633" s="4">
        <v>23649</v>
      </c>
      <c r="C1633" s="5">
        <f t="shared" si="718"/>
        <v>41157</v>
      </c>
      <c r="D1633" s="4" t="s">
        <v>45</v>
      </c>
      <c r="E1633" s="4">
        <v>42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0.56999999999999995</v>
      </c>
      <c r="U1633" s="5">
        <f>C1633+1</f>
        <v>41158</v>
      </c>
    </row>
    <row r="1634" spans="1:21" ht="12" customHeight="1">
      <c r="A1634" s="4">
        <v>3322</v>
      </c>
      <c r="B1634" s="4">
        <v>23748</v>
      </c>
      <c r="C1634" s="5">
        <f>DATE(2012,12,31)-143</f>
        <v>41131</v>
      </c>
      <c r="D1634" s="4" t="s">
        <v>30</v>
      </c>
      <c r="E1634" s="4">
        <v>26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19">C1634+2</f>
        <v>41133</v>
      </c>
    </row>
    <row r="1635" spans="1:21" ht="12" customHeight="1">
      <c r="A1635" s="4">
        <v>3337</v>
      </c>
      <c r="B1635" s="4">
        <v>23847</v>
      </c>
      <c r="C1635" s="5">
        <f>DATE(2012,12,31)-52</f>
        <v>41222</v>
      </c>
      <c r="D1635" s="4" t="s">
        <v>45</v>
      </c>
      <c r="E1635" s="4">
        <v>7</v>
      </c>
      <c r="F1635" s="4">
        <v>1278.6464999999998</v>
      </c>
      <c r="G1635" s="4">
        <v>0.01</v>
      </c>
      <c r="H1635" s="4" t="s">
        <v>22</v>
      </c>
      <c r="I1635" s="6">
        <v>-396.16500000000002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19"/>
        <v>41224</v>
      </c>
    </row>
    <row r="1636" spans="1:21" ht="12" customHeight="1">
      <c r="A1636" s="4">
        <v>3388</v>
      </c>
      <c r="B1636" s="4">
        <v>24135</v>
      </c>
      <c r="C1636" s="5">
        <f>DATE(2012,12,31)-1074</f>
        <v>40200</v>
      </c>
      <c r="D1636" s="4" t="s">
        <v>21</v>
      </c>
      <c r="E1636" s="4">
        <v>12</v>
      </c>
      <c r="F1636" s="4">
        <v>345.19</v>
      </c>
      <c r="G1636" s="4">
        <v>0.1</v>
      </c>
      <c r="H1636" s="4" t="s">
        <v>22</v>
      </c>
      <c r="I1636" s="6">
        <v>111.58799999999999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19"/>
        <v>40202</v>
      </c>
    </row>
    <row r="1637" spans="1:21" ht="12" customHeight="1">
      <c r="A1637" s="4">
        <v>3395</v>
      </c>
      <c r="B1637" s="4">
        <v>24196</v>
      </c>
      <c r="C1637" s="5">
        <f t="shared" ref="C1637:C1638" si="720">DATE(2012,12,31)-885</f>
        <v>40389</v>
      </c>
      <c r="D1637" s="4" t="s">
        <v>30</v>
      </c>
      <c r="E1637" s="4">
        <v>2</v>
      </c>
      <c r="F1637" s="4">
        <v>13.44</v>
      </c>
      <c r="G1637" s="4">
        <v>0.08</v>
      </c>
      <c r="H1637" s="4" t="s">
        <v>22</v>
      </c>
      <c r="I1637" s="6">
        <v>-8.8800000000000008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spans="1:21" ht="12" customHeight="1">
      <c r="A1638" s="4">
        <v>3396</v>
      </c>
      <c r="B1638" s="4">
        <v>24196</v>
      </c>
      <c r="C1638" s="5">
        <f t="shared" si="720"/>
        <v>40389</v>
      </c>
      <c r="D1638" s="4" t="s">
        <v>30</v>
      </c>
      <c r="E1638" s="4">
        <v>24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0.55000000000000004</v>
      </c>
      <c r="U1638" s="5">
        <f>C1638+2</f>
        <v>40391</v>
      </c>
    </row>
    <row r="1639" spans="1:21" ht="12" customHeight="1">
      <c r="A1639" s="4">
        <v>3397</v>
      </c>
      <c r="B1639" s="4">
        <v>24197</v>
      </c>
      <c r="C1639" s="5">
        <f t="shared" ref="C1639:C1640" si="721">DATE(2012,12,31)-1062</f>
        <v>40212</v>
      </c>
      <c r="D1639" s="4" t="s">
        <v>21</v>
      </c>
      <c r="E1639" s="4">
        <v>41</v>
      </c>
      <c r="F1639" s="4">
        <v>2354.4</v>
      </c>
      <c r="G1639" s="4">
        <v>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2">C1639+7</f>
        <v>40219</v>
      </c>
    </row>
    <row r="1640" spans="1:21" ht="12" customHeight="1">
      <c r="A1640" s="4">
        <v>3398</v>
      </c>
      <c r="B1640" s="4">
        <v>24197</v>
      </c>
      <c r="C1640" s="5">
        <f t="shared" si="721"/>
        <v>40212</v>
      </c>
      <c r="D1640" s="4" t="s">
        <v>21</v>
      </c>
      <c r="E1640" s="4">
        <v>2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2"/>
        <v>40219</v>
      </c>
    </row>
    <row r="1641" spans="1:21" ht="12" customHeight="1">
      <c r="A1641" s="4">
        <v>3435</v>
      </c>
      <c r="B1641" s="4">
        <v>24519</v>
      </c>
      <c r="C1641" s="5">
        <f>DATE(2012,12,31)-569</f>
        <v>40705</v>
      </c>
      <c r="D1641" s="4" t="s">
        <v>78</v>
      </c>
      <c r="E1641" s="4">
        <v>22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3">C1641+1</f>
        <v>40706</v>
      </c>
    </row>
    <row r="1642" spans="1:21" ht="12" customHeight="1">
      <c r="A1642" s="4">
        <v>3439</v>
      </c>
      <c r="B1642" s="4">
        <v>24546</v>
      </c>
      <c r="C1642" s="5">
        <f>DATE(2012,12,31)-280</f>
        <v>40994</v>
      </c>
      <c r="D1642" s="4" t="s">
        <v>78</v>
      </c>
      <c r="E1642" s="4">
        <v>7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0.56999999999999995</v>
      </c>
      <c r="U1642" s="5">
        <f t="shared" si="723"/>
        <v>40995</v>
      </c>
    </row>
    <row r="1643" spans="1:21" ht="12" customHeight="1">
      <c r="A1643" s="4">
        <v>3444</v>
      </c>
      <c r="B1643" s="4">
        <v>24579</v>
      </c>
      <c r="C1643" s="5">
        <f t="shared" ref="C1643:C1644" si="724">DATE(2012,12,31)-43</f>
        <v>41231</v>
      </c>
      <c r="D1643" s="4" t="s">
        <v>30</v>
      </c>
      <c r="E1643" s="4">
        <v>45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300.64999999999998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3"/>
        <v>41232</v>
      </c>
    </row>
    <row r="1644" spans="1:21" ht="12" customHeight="1">
      <c r="A1644" s="4">
        <v>3445</v>
      </c>
      <c r="B1644" s="4">
        <v>24579</v>
      </c>
      <c r="C1644" s="5">
        <f t="shared" si="724"/>
        <v>41231</v>
      </c>
      <c r="D1644" s="4" t="s">
        <v>30</v>
      </c>
      <c r="E1644" s="4">
        <v>40</v>
      </c>
      <c r="F1644" s="4">
        <v>467.5</v>
      </c>
      <c r="G1644" s="4">
        <v>0.08</v>
      </c>
      <c r="H1644" s="4" t="s">
        <v>22</v>
      </c>
      <c r="I1644" s="6">
        <v>-33.340000000000003</v>
      </c>
      <c r="J1644" s="4">
        <v>11.97</v>
      </c>
      <c r="K1644" s="4">
        <v>4.9800000000000004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0.57999999999999996</v>
      </c>
      <c r="U1644" s="5">
        <f>C1644+2</f>
        <v>41233</v>
      </c>
    </row>
    <row r="1645" spans="1:21" ht="12" customHeight="1">
      <c r="A1645" s="4">
        <v>3448</v>
      </c>
      <c r="B1645" s="4">
        <v>24581</v>
      </c>
      <c r="C1645" s="5">
        <f>DATE(2012,12,31)-997</f>
        <v>40277</v>
      </c>
      <c r="D1645" s="4" t="s">
        <v>30</v>
      </c>
      <c r="E1645" s="4">
        <v>8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spans="1:21" ht="12" customHeight="1">
      <c r="A1646" s="4">
        <v>3473</v>
      </c>
      <c r="B1646" s="4">
        <v>24710</v>
      </c>
      <c r="C1646" s="5">
        <f>DATE(2012,12,31)-823</f>
        <v>40451</v>
      </c>
      <c r="D1646" s="4" t="s">
        <v>21</v>
      </c>
      <c r="E1646" s="4">
        <v>3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4.9800000000000004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spans="1:21" ht="12" customHeight="1">
      <c r="A1647" s="4">
        <v>3500</v>
      </c>
      <c r="B1647" s="4">
        <v>24960</v>
      </c>
      <c r="C1647" s="5">
        <f t="shared" ref="C1647:C1650" si="725">DATE(2012,12,31)-704</f>
        <v>40570</v>
      </c>
      <c r="D1647" s="4" t="s">
        <v>30</v>
      </c>
      <c r="E1647" s="4">
        <v>48</v>
      </c>
      <c r="F1647" s="4">
        <v>1760.35</v>
      </c>
      <c r="G1647" s="4">
        <v>0.01</v>
      </c>
      <c r="H1647" s="4" t="s">
        <v>56</v>
      </c>
      <c r="I1647" s="6">
        <v>-17.079999999999998</v>
      </c>
      <c r="J1647" s="4">
        <v>34.979999999999997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6">C1647+1</f>
        <v>40571</v>
      </c>
    </row>
    <row r="1648" spans="1:21" ht="12" customHeight="1">
      <c r="A1648" s="4">
        <v>3501</v>
      </c>
      <c r="B1648" s="4">
        <v>24960</v>
      </c>
      <c r="C1648" s="5">
        <f t="shared" si="725"/>
        <v>40570</v>
      </c>
      <c r="D1648" s="4" t="s">
        <v>30</v>
      </c>
      <c r="E1648" s="4">
        <v>37</v>
      </c>
      <c r="F1648" s="4">
        <v>1436.94</v>
      </c>
      <c r="G1648" s="4">
        <v>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6"/>
        <v>40571</v>
      </c>
    </row>
    <row r="1649" spans="1:21" ht="12" customHeight="1">
      <c r="A1649" s="4">
        <v>3502</v>
      </c>
      <c r="B1649" s="4">
        <v>24960</v>
      </c>
      <c r="C1649" s="5">
        <f t="shared" si="725"/>
        <v>40570</v>
      </c>
      <c r="D1649" s="4" t="s">
        <v>30</v>
      </c>
      <c r="E1649" s="4">
        <v>18</v>
      </c>
      <c r="F1649" s="4">
        <v>125.8</v>
      </c>
      <c r="G1649" s="4">
        <v>0.03</v>
      </c>
      <c r="H1649" s="4" t="s">
        <v>22</v>
      </c>
      <c r="I1649" s="6">
        <v>-35.979999999999997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spans="1:21" ht="12" customHeight="1">
      <c r="A1650" s="4">
        <v>3503</v>
      </c>
      <c r="B1650" s="4">
        <v>24960</v>
      </c>
      <c r="C1650" s="5">
        <f t="shared" si="725"/>
        <v>40570</v>
      </c>
      <c r="D1650" s="4" t="s">
        <v>30</v>
      </c>
      <c r="E1650" s="4">
        <v>35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spans="1:21" ht="12" customHeight="1">
      <c r="A1651" s="4">
        <v>3519</v>
      </c>
      <c r="B1651" s="4">
        <v>25061</v>
      </c>
      <c r="C1651" s="5">
        <f>DATE(2012,12,31)-379</f>
        <v>40895</v>
      </c>
      <c r="D1651" s="4" t="s">
        <v>63</v>
      </c>
      <c r="E1651" s="4">
        <v>20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spans="1:21" ht="12" customHeight="1">
      <c r="A1652" s="4">
        <v>3527</v>
      </c>
      <c r="B1652" s="4">
        <v>25095</v>
      </c>
      <c r="C1652" s="5">
        <f t="shared" ref="C1652:C1653" si="727">DATE(2012,12,31)-706</f>
        <v>40568</v>
      </c>
      <c r="D1652" s="4" t="s">
        <v>21</v>
      </c>
      <c r="E1652" s="4">
        <v>18</v>
      </c>
      <c r="F1652" s="4">
        <v>693.06</v>
      </c>
      <c r="G1652" s="4">
        <v>0.06</v>
      </c>
      <c r="H1652" s="4" t="s">
        <v>22</v>
      </c>
      <c r="I1652" s="6">
        <v>148.30000000000001</v>
      </c>
      <c r="J1652" s="4">
        <v>39.979999999999997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spans="1:21" ht="12" customHeight="1">
      <c r="A1653" s="4">
        <v>3528</v>
      </c>
      <c r="B1653" s="4">
        <v>25095</v>
      </c>
      <c r="C1653" s="5">
        <f t="shared" si="727"/>
        <v>40568</v>
      </c>
      <c r="D1653" s="4" t="s">
        <v>21</v>
      </c>
      <c r="E1653" s="4">
        <v>41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spans="1:21" ht="12" customHeight="1">
      <c r="A1654" s="4">
        <v>3544</v>
      </c>
      <c r="B1654" s="4">
        <v>25254</v>
      </c>
      <c r="C1654" s="5">
        <f>DATE(2012,12,31)-836</f>
        <v>40438</v>
      </c>
      <c r="D1654" s="4" t="s">
        <v>78</v>
      </c>
      <c r="E1654" s="4">
        <v>35</v>
      </c>
      <c r="F1654" s="4">
        <v>299.68</v>
      </c>
      <c r="G1654" s="4">
        <v>0.06</v>
      </c>
      <c r="H1654" s="4" t="s">
        <v>22</v>
      </c>
      <c r="I1654" s="6">
        <v>-29.359500000000001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spans="1:21" ht="12" customHeight="1">
      <c r="A1655" s="4">
        <v>3583</v>
      </c>
      <c r="B1655" s="4">
        <v>25542</v>
      </c>
      <c r="C1655" s="5">
        <f>DATE(2012,12,31)-1</f>
        <v>41273</v>
      </c>
      <c r="D1655" s="4" t="s">
        <v>21</v>
      </c>
      <c r="E1655" s="4">
        <v>37</v>
      </c>
      <c r="F1655" s="4">
        <v>257.45999999999998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4.2300000000000004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spans="1:21" ht="12" customHeight="1">
      <c r="A1656" s="4">
        <v>3584</v>
      </c>
      <c r="B1656" s="4">
        <v>25569</v>
      </c>
      <c r="C1656" s="5">
        <f>DATE(2012,12,31)-175</f>
        <v>41099</v>
      </c>
      <c r="D1656" s="4" t="s">
        <v>30</v>
      </c>
      <c r="E1656" s="4">
        <v>27</v>
      </c>
      <c r="F1656" s="4">
        <v>311.20999999999998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8">C1656+2</f>
        <v>41101</v>
      </c>
    </row>
    <row r="1657" spans="1:21" ht="12" customHeight="1">
      <c r="A1657" s="4">
        <v>3624</v>
      </c>
      <c r="B1657" s="4">
        <v>25863</v>
      </c>
      <c r="C1657" s="5">
        <f>DATE(2012,12,31)-619</f>
        <v>40655</v>
      </c>
      <c r="D1657" s="4" t="s">
        <v>45</v>
      </c>
      <c r="E1657" s="4">
        <v>18</v>
      </c>
      <c r="F1657" s="4">
        <v>340.68849999999998</v>
      </c>
      <c r="G1657" s="4">
        <v>0</v>
      </c>
      <c r="H1657" s="4" t="s">
        <v>56</v>
      </c>
      <c r="I1657" s="6">
        <v>-10.846</v>
      </c>
      <c r="J1657" s="4">
        <v>20.99</v>
      </c>
      <c r="K1657" s="4">
        <v>4.8099999999999996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0.57999999999999996</v>
      </c>
      <c r="U1657" s="5">
        <f t="shared" si="728"/>
        <v>40657</v>
      </c>
    </row>
    <row r="1658" spans="1:21" ht="12" customHeight="1">
      <c r="A1658" s="4">
        <v>3626</v>
      </c>
      <c r="B1658" s="4">
        <v>25895</v>
      </c>
      <c r="C1658" s="5">
        <f>DATE(2012,12,31)-258</f>
        <v>41016</v>
      </c>
      <c r="D1658" s="4" t="s">
        <v>63</v>
      </c>
      <c r="E1658" s="4">
        <v>37</v>
      </c>
      <c r="F1658" s="4">
        <v>709.91</v>
      </c>
      <c r="G1658" s="4">
        <v>0.09</v>
      </c>
      <c r="H1658" s="4" t="s">
        <v>22</v>
      </c>
      <c r="I1658" s="6">
        <v>-93.425999999999988</v>
      </c>
      <c r="J1658" s="4">
        <v>19.350000000000001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spans="1:21" ht="12" customHeight="1">
      <c r="A1659" s="4">
        <v>3642</v>
      </c>
      <c r="B1659" s="4">
        <v>26050</v>
      </c>
      <c r="C1659" s="5">
        <f>DATE(2012,12,31)-564</f>
        <v>40710</v>
      </c>
      <c r="D1659" s="4" t="s">
        <v>30</v>
      </c>
      <c r="E1659" s="4">
        <v>44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8.2899999999999991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spans="1:21" ht="12" customHeight="1">
      <c r="A1660" s="4">
        <v>3651</v>
      </c>
      <c r="B1660" s="4">
        <v>26145</v>
      </c>
      <c r="C1660" s="5">
        <f t="shared" ref="C1660:C1662" si="729">DATE(2012,12,31)-546</f>
        <v>40728</v>
      </c>
      <c r="D1660" s="4" t="s">
        <v>21</v>
      </c>
      <c r="E1660" s="4">
        <v>18</v>
      </c>
      <c r="F1660" s="4">
        <v>99.36</v>
      </c>
      <c r="G1660" s="4">
        <v>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spans="1:21" ht="12" customHeight="1">
      <c r="A1661" s="4">
        <v>3652</v>
      </c>
      <c r="B1661" s="4">
        <v>26145</v>
      </c>
      <c r="C1661" s="5">
        <f t="shared" si="729"/>
        <v>40728</v>
      </c>
      <c r="D1661" s="4" t="s">
        <v>21</v>
      </c>
      <c r="E1661" s="4">
        <v>49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0.56999999999999995</v>
      </c>
      <c r="U1661" s="5">
        <f>C1661+0</f>
        <v>40728</v>
      </c>
    </row>
    <row r="1662" spans="1:21" ht="12" customHeight="1">
      <c r="A1662" s="4">
        <v>3653</v>
      </c>
      <c r="B1662" s="4">
        <v>26145</v>
      </c>
      <c r="C1662" s="5">
        <f t="shared" si="729"/>
        <v>40728</v>
      </c>
      <c r="D1662" s="4" t="s">
        <v>21</v>
      </c>
      <c r="E1662" s="4">
        <v>27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spans="1:21" ht="12" customHeight="1">
      <c r="A1663" s="4">
        <v>3694</v>
      </c>
      <c r="B1663" s="4">
        <v>26406</v>
      </c>
      <c r="C1663" s="5">
        <f>DATE(2012,12,31)-629</f>
        <v>40645</v>
      </c>
      <c r="D1663" s="4" t="s">
        <v>45</v>
      </c>
      <c r="E1663" s="4">
        <v>40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spans="1:21" ht="12" customHeight="1">
      <c r="A1664" s="4">
        <v>3717</v>
      </c>
      <c r="B1664" s="4">
        <v>26535</v>
      </c>
      <c r="C1664" s="5">
        <f>DATE(2012,12,31)-286</f>
        <v>40988</v>
      </c>
      <c r="D1664" s="4" t="s">
        <v>45</v>
      </c>
      <c r="E1664" s="4">
        <v>33</v>
      </c>
      <c r="F1664" s="4">
        <v>141.69999999999999</v>
      </c>
      <c r="G1664" s="4">
        <v>0.02</v>
      </c>
      <c r="H1664" s="4" t="s">
        <v>22</v>
      </c>
      <c r="I1664" s="6">
        <v>-103.21250000000001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spans="1:21" ht="12" customHeight="1">
      <c r="A1665" s="4">
        <v>3731</v>
      </c>
      <c r="B1665" s="4">
        <v>26661</v>
      </c>
      <c r="C1665" s="5">
        <f>DATE(2012,12,31)-12</f>
        <v>41262</v>
      </c>
      <c r="D1665" s="4" t="s">
        <v>63</v>
      </c>
      <c r="E1665" s="4">
        <v>31</v>
      </c>
      <c r="F1665" s="4">
        <v>1772.2244999999998</v>
      </c>
      <c r="G1665" s="4">
        <v>0.02</v>
      </c>
      <c r="H1665" s="4" t="s">
        <v>22</v>
      </c>
      <c r="I1665" s="6">
        <v>390.86099999999999</v>
      </c>
      <c r="J1665" s="4">
        <v>65.989999999999995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0.56999999999999995</v>
      </c>
      <c r="U1665" s="5">
        <f t="shared" ref="U1665:U1667" si="730">C1665+1</f>
        <v>41263</v>
      </c>
    </row>
    <row r="1666" spans="1:21" ht="12" customHeight="1">
      <c r="A1666" s="4">
        <v>3794</v>
      </c>
      <c r="B1666" s="4">
        <v>27047</v>
      </c>
      <c r="C1666" s="5">
        <f t="shared" ref="C1666:C1667" si="731">DATE(2012,12,31)-770</f>
        <v>40504</v>
      </c>
      <c r="D1666" s="4" t="s">
        <v>30</v>
      </c>
      <c r="E1666" s="4">
        <v>25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0"/>
        <v>40505</v>
      </c>
    </row>
    <row r="1667" spans="1:21" ht="12" customHeight="1">
      <c r="A1667" s="4">
        <v>3795</v>
      </c>
      <c r="B1667" s="4">
        <v>27047</v>
      </c>
      <c r="C1667" s="5">
        <f t="shared" si="731"/>
        <v>40504</v>
      </c>
      <c r="D1667" s="4" t="s">
        <v>30</v>
      </c>
      <c r="E1667" s="4">
        <v>38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0"/>
        <v>40505</v>
      </c>
    </row>
    <row r="1668" spans="1:21" ht="12" customHeight="1">
      <c r="A1668" s="4">
        <v>3796</v>
      </c>
      <c r="B1668" s="4">
        <v>27077</v>
      </c>
      <c r="C1668" s="5">
        <f>DATE(2012,12,31)-1022</f>
        <v>40252</v>
      </c>
      <c r="D1668" s="4" t="s">
        <v>78</v>
      </c>
      <c r="E1668" s="4">
        <v>11</v>
      </c>
      <c r="F1668" s="4">
        <v>1612.93</v>
      </c>
      <c r="G1668" s="4">
        <v>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spans="1:21" ht="12" customHeight="1">
      <c r="A1669" s="4">
        <v>3820</v>
      </c>
      <c r="B1669" s="4">
        <v>27236</v>
      </c>
      <c r="C1669" s="5">
        <f>DATE(2012,12,31)-1035</f>
        <v>40239</v>
      </c>
      <c r="D1669" s="4" t="s">
        <v>30</v>
      </c>
      <c r="E1669" s="4">
        <v>20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spans="1:21" ht="12" customHeight="1">
      <c r="A1670" s="4">
        <v>3867</v>
      </c>
      <c r="B1670" s="4">
        <v>27589</v>
      </c>
      <c r="C1670" s="5">
        <f t="shared" ref="C1670:C1672" si="732">DATE(2012,12,31)-473</f>
        <v>40801</v>
      </c>
      <c r="D1670" s="4" t="s">
        <v>63</v>
      </c>
      <c r="E1670" s="4">
        <v>20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39.479999999999997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spans="1:21" ht="12" customHeight="1">
      <c r="A1671" s="4">
        <v>3868</v>
      </c>
      <c r="B1671" s="4">
        <v>27589</v>
      </c>
      <c r="C1671" s="5">
        <f t="shared" si="732"/>
        <v>40801</v>
      </c>
      <c r="D1671" s="4" t="s">
        <v>63</v>
      </c>
      <c r="E1671" s="4">
        <v>25</v>
      </c>
      <c r="F1671" s="4">
        <v>467</v>
      </c>
      <c r="G1671" s="4">
        <v>0.04</v>
      </c>
      <c r="H1671" s="4" t="s">
        <v>22</v>
      </c>
      <c r="I1671" s="6">
        <v>69.97</v>
      </c>
      <c r="J1671" s="4">
        <v>17.670000000000002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3">C1671+1</f>
        <v>40802</v>
      </c>
    </row>
    <row r="1672" spans="1:21" ht="12" customHeight="1">
      <c r="A1672" s="4">
        <v>3869</v>
      </c>
      <c r="B1672" s="4">
        <v>27589</v>
      </c>
      <c r="C1672" s="5">
        <f t="shared" si="732"/>
        <v>40801</v>
      </c>
      <c r="D1672" s="4" t="s">
        <v>63</v>
      </c>
      <c r="E1672" s="4">
        <v>36</v>
      </c>
      <c r="F1672" s="4">
        <v>64.430000000000007</v>
      </c>
      <c r="G1672" s="4">
        <v>7.0000000000000007E-2</v>
      </c>
      <c r="H1672" s="4" t="s">
        <v>22</v>
      </c>
      <c r="I1672" s="6">
        <v>-18.640350000000002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3"/>
        <v>40802</v>
      </c>
    </row>
    <row r="1673" spans="1:21" ht="12" customHeight="1">
      <c r="A1673" s="4">
        <v>3875</v>
      </c>
      <c r="B1673" s="4">
        <v>27681</v>
      </c>
      <c r="C1673" s="5">
        <f t="shared" ref="C1673:C1674" si="734">DATE(2012,12,31)-768</f>
        <v>40506</v>
      </c>
      <c r="D1673" s="4" t="s">
        <v>63</v>
      </c>
      <c r="E1673" s="4">
        <v>7</v>
      </c>
      <c r="F1673" s="4">
        <v>37.799999999999997</v>
      </c>
      <c r="G1673" s="4">
        <v>0.06</v>
      </c>
      <c r="H1673" s="4" t="s">
        <v>22</v>
      </c>
      <c r="I1673" s="6">
        <v>-18.309999999999999</v>
      </c>
      <c r="J1673" s="4">
        <v>4.9800000000000004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3"/>
        <v>40507</v>
      </c>
    </row>
    <row r="1674" spans="1:21" ht="12" customHeight="1">
      <c r="A1674" s="4">
        <v>3876</v>
      </c>
      <c r="B1674" s="4">
        <v>27681</v>
      </c>
      <c r="C1674" s="5">
        <f t="shared" si="734"/>
        <v>40506</v>
      </c>
      <c r="D1674" s="4" t="s">
        <v>63</v>
      </c>
      <c r="E1674" s="4">
        <v>30</v>
      </c>
      <c r="F1674" s="4">
        <v>183.28</v>
      </c>
      <c r="G1674" s="4">
        <v>0.04</v>
      </c>
      <c r="H1674" s="4" t="s">
        <v>22</v>
      </c>
      <c r="I1674" s="6">
        <v>33.880000000000003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0.56000000000000005</v>
      </c>
      <c r="U1674" s="5">
        <f t="shared" ref="U1674:U1676" si="735">C1674+2</f>
        <v>40508</v>
      </c>
    </row>
    <row r="1675" spans="1:21" ht="12" customHeight="1">
      <c r="A1675" s="4">
        <v>3933</v>
      </c>
      <c r="B1675" s="4">
        <v>28033</v>
      </c>
      <c r="C1675" s="5">
        <f t="shared" ref="C1675:C1677" si="736">DATE(2012,12,31)-839</f>
        <v>40435</v>
      </c>
      <c r="D1675" s="4" t="s">
        <v>30</v>
      </c>
      <c r="E1675" s="4">
        <v>16</v>
      </c>
      <c r="F1675" s="4">
        <v>2826.9</v>
      </c>
      <c r="G1675" s="4">
        <v>7.0000000000000007E-2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5"/>
        <v>40437</v>
      </c>
    </row>
    <row r="1676" spans="1:21" ht="12" customHeight="1">
      <c r="A1676" s="4">
        <v>3934</v>
      </c>
      <c r="B1676" s="4">
        <v>28033</v>
      </c>
      <c r="C1676" s="5">
        <f t="shared" si="736"/>
        <v>40435</v>
      </c>
      <c r="D1676" s="4" t="s">
        <v>30</v>
      </c>
      <c r="E1676" s="4">
        <v>37</v>
      </c>
      <c r="F1676" s="4">
        <v>7834.77</v>
      </c>
      <c r="G1676" s="4">
        <v>0.04</v>
      </c>
      <c r="H1676" s="4" t="s">
        <v>31</v>
      </c>
      <c r="I1676" s="6">
        <v>297.79000000000002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5"/>
        <v>40437</v>
      </c>
    </row>
    <row r="1677" spans="1:21" ht="12" customHeight="1">
      <c r="A1677" s="4">
        <v>3935</v>
      </c>
      <c r="B1677" s="4">
        <v>28033</v>
      </c>
      <c r="C1677" s="5">
        <f t="shared" si="736"/>
        <v>40435</v>
      </c>
      <c r="D1677" s="4" t="s">
        <v>30</v>
      </c>
      <c r="E1677" s="4">
        <v>18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spans="1:21" ht="12" customHeight="1">
      <c r="A1678" s="4">
        <v>3969</v>
      </c>
      <c r="B1678" s="4">
        <v>28324</v>
      </c>
      <c r="C1678" s="5">
        <f>DATE(2012,12,31)-512</f>
        <v>40762</v>
      </c>
      <c r="D1678" s="4" t="s">
        <v>30</v>
      </c>
      <c r="E1678" s="4">
        <v>48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0.57999999999999996</v>
      </c>
      <c r="U1678" s="5">
        <f t="shared" ref="U1678:U1681" si="737">C1678+2</f>
        <v>40764</v>
      </c>
    </row>
    <row r="1679" spans="1:21" ht="12" customHeight="1">
      <c r="A1679" s="4">
        <v>4035</v>
      </c>
      <c r="B1679" s="4">
        <v>28805</v>
      </c>
      <c r="C1679" s="5">
        <f t="shared" ref="C1679:C1681" si="738">DATE(2012,12,31)-639</f>
        <v>40635</v>
      </c>
      <c r="D1679" s="4" t="s">
        <v>63</v>
      </c>
      <c r="E1679" s="4">
        <v>14</v>
      </c>
      <c r="F1679" s="4">
        <v>97.93</v>
      </c>
      <c r="G1679" s="4">
        <v>7.0000000000000007E-2</v>
      </c>
      <c r="H1679" s="4" t="s">
        <v>22</v>
      </c>
      <c r="I1679" s="6">
        <v>-616.80999999999995</v>
      </c>
      <c r="J1679" s="4">
        <v>3.48</v>
      </c>
      <c r="K1679" s="4">
        <v>49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7"/>
        <v>40637</v>
      </c>
    </row>
    <row r="1680" spans="1:21" ht="12" customHeight="1">
      <c r="A1680" s="4">
        <v>4036</v>
      </c>
      <c r="B1680" s="4">
        <v>28805</v>
      </c>
      <c r="C1680" s="5">
        <f t="shared" si="738"/>
        <v>40635</v>
      </c>
      <c r="D1680" s="4" t="s">
        <v>63</v>
      </c>
      <c r="E1680" s="4">
        <v>4</v>
      </c>
      <c r="F1680" s="4">
        <v>25.52</v>
      </c>
      <c r="G1680" s="4">
        <v>7.0000000000000007E-2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7"/>
        <v>40637</v>
      </c>
    </row>
    <row r="1681" spans="1:21" ht="12" customHeight="1">
      <c r="A1681" s="4">
        <v>4037</v>
      </c>
      <c r="B1681" s="4">
        <v>28805</v>
      </c>
      <c r="C1681" s="5">
        <f t="shared" si="738"/>
        <v>40635</v>
      </c>
      <c r="D1681" s="4" t="s">
        <v>63</v>
      </c>
      <c r="E1681" s="4">
        <v>46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7"/>
        <v>40637</v>
      </c>
    </row>
    <row r="1682" spans="1:21" ht="12" customHeight="1">
      <c r="A1682" s="4">
        <v>4062</v>
      </c>
      <c r="B1682" s="4">
        <v>28932</v>
      </c>
      <c r="C1682" s="5">
        <f t="shared" ref="C1682:C1683" si="739">DATE(2012,12,31)-894</f>
        <v>40380</v>
      </c>
      <c r="D1682" s="4" t="s">
        <v>21</v>
      </c>
      <c r="E1682" s="4">
        <v>24</v>
      </c>
      <c r="F1682" s="4">
        <v>269.57</v>
      </c>
      <c r="G1682" s="4">
        <v>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spans="1:21" ht="12" customHeight="1">
      <c r="A1683" s="4">
        <v>4063</v>
      </c>
      <c r="B1683" s="4">
        <v>28932</v>
      </c>
      <c r="C1683" s="5">
        <f t="shared" si="739"/>
        <v>40380</v>
      </c>
      <c r="D1683" s="4" t="s">
        <v>21</v>
      </c>
      <c r="E1683" s="4">
        <v>18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0.56000000000000005</v>
      </c>
      <c r="U1683" s="5">
        <f>C1683+7</f>
        <v>40387</v>
      </c>
    </row>
    <row r="1684" spans="1:21" ht="12" customHeight="1">
      <c r="A1684" s="4">
        <v>4147</v>
      </c>
      <c r="B1684" s="4">
        <v>29411</v>
      </c>
      <c r="C1684" s="5">
        <f t="shared" ref="C1684:C1687" si="740">DATE(2012,12,31)-269</f>
        <v>41005</v>
      </c>
      <c r="D1684" s="4" t="s">
        <v>30</v>
      </c>
      <c r="E1684" s="4">
        <v>29</v>
      </c>
      <c r="F1684" s="4">
        <v>67.87</v>
      </c>
      <c r="G1684" s="4">
        <v>7.0000000000000007E-2</v>
      </c>
      <c r="H1684" s="4" t="s">
        <v>22</v>
      </c>
      <c r="I1684" s="6">
        <v>-112.54</v>
      </c>
      <c r="J1684" s="4">
        <v>2.2200000000000002</v>
      </c>
      <c r="K1684" s="4">
        <v>5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0.55000000000000004</v>
      </c>
      <c r="U1684" s="5">
        <f t="shared" ref="U1684:U1685" si="741">C1684+1</f>
        <v>41006</v>
      </c>
    </row>
    <row r="1685" spans="1:21" ht="12" customHeight="1">
      <c r="A1685" s="4">
        <v>4148</v>
      </c>
      <c r="B1685" s="4">
        <v>29411</v>
      </c>
      <c r="C1685" s="5">
        <f t="shared" si="740"/>
        <v>41005</v>
      </c>
      <c r="D1685" s="4" t="s">
        <v>30</v>
      </c>
      <c r="E1685" s="4">
        <v>33</v>
      </c>
      <c r="F1685" s="4">
        <v>542.24</v>
      </c>
      <c r="G1685" s="4">
        <v>0.02</v>
      </c>
      <c r="H1685" s="4" t="s">
        <v>22</v>
      </c>
      <c r="I1685" s="6">
        <v>268.52999999999997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1"/>
        <v>41006</v>
      </c>
    </row>
    <row r="1686" spans="1:21" ht="12" customHeight="1">
      <c r="A1686" s="4">
        <v>4149</v>
      </c>
      <c r="B1686" s="4">
        <v>29411</v>
      </c>
      <c r="C1686" s="5">
        <f t="shared" si="740"/>
        <v>41005</v>
      </c>
      <c r="D1686" s="4" t="s">
        <v>30</v>
      </c>
      <c r="E1686" s="4">
        <v>38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2">C1686+0</f>
        <v>41005</v>
      </c>
    </row>
    <row r="1687" spans="1:21" ht="12" customHeight="1">
      <c r="A1687" s="4">
        <v>4150</v>
      </c>
      <c r="B1687" s="4">
        <v>29411</v>
      </c>
      <c r="C1687" s="5">
        <f t="shared" si="740"/>
        <v>41005</v>
      </c>
      <c r="D1687" s="4" t="s">
        <v>30</v>
      </c>
      <c r="E1687" s="4">
        <v>45</v>
      </c>
      <c r="F1687" s="4">
        <v>1084.1199999999999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2"/>
        <v>41005</v>
      </c>
    </row>
    <row r="1688" spans="1:21" ht="12" customHeight="1">
      <c r="A1688" s="4">
        <v>4154</v>
      </c>
      <c r="B1688" s="4">
        <v>29475</v>
      </c>
      <c r="C1688" s="5">
        <f t="shared" ref="C1688:C1689" si="743">DATE(2012,12,31)-1043</f>
        <v>40231</v>
      </c>
      <c r="D1688" s="4" t="s">
        <v>30</v>
      </c>
      <c r="E1688" s="4">
        <v>49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spans="1:21" ht="12" customHeight="1">
      <c r="A1689" s="4">
        <v>4155</v>
      </c>
      <c r="B1689" s="4">
        <v>29475</v>
      </c>
      <c r="C1689" s="5">
        <f t="shared" si="743"/>
        <v>40231</v>
      </c>
      <c r="D1689" s="4" t="s">
        <v>30</v>
      </c>
      <c r="E1689" s="4">
        <v>2</v>
      </c>
      <c r="F1689" s="4">
        <v>1814.82</v>
      </c>
      <c r="G1689" s="4">
        <v>0</v>
      </c>
      <c r="H1689" s="4" t="s">
        <v>31</v>
      </c>
      <c r="I1689" s="6">
        <v>-1128.6600000000001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spans="1:21" ht="12" customHeight="1">
      <c r="A1690" s="4">
        <v>4168</v>
      </c>
      <c r="B1690" s="4">
        <v>29537</v>
      </c>
      <c r="C1690" s="5">
        <f>DATE(2012,12,31)-103</f>
        <v>41171</v>
      </c>
      <c r="D1690" s="4" t="s">
        <v>21</v>
      </c>
      <c r="E1690" s="4">
        <v>30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spans="1:21" ht="12" customHeight="1">
      <c r="A1691" s="4">
        <v>4181</v>
      </c>
      <c r="B1691" s="4">
        <v>29671</v>
      </c>
      <c r="C1691" s="5">
        <f>DATE(2012,12,31)-1015</f>
        <v>40259</v>
      </c>
      <c r="D1691" s="4" t="s">
        <v>78</v>
      </c>
      <c r="E1691" s="4">
        <v>43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4">C1691+1</f>
        <v>40260</v>
      </c>
    </row>
    <row r="1692" spans="1:21" ht="12" customHeight="1">
      <c r="A1692" s="4">
        <v>4208</v>
      </c>
      <c r="B1692" s="4">
        <v>29895</v>
      </c>
      <c r="C1692" s="5">
        <f>DATE(2012,12,31)-803</f>
        <v>40471</v>
      </c>
      <c r="D1692" s="4" t="s">
        <v>63</v>
      </c>
      <c r="E1692" s="4">
        <v>43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160.97999999999999</v>
      </c>
      <c r="K1692" s="4">
        <v>35.020000000000003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4"/>
        <v>40472</v>
      </c>
    </row>
    <row r="1693" spans="1:21" ht="12" customHeight="1">
      <c r="A1693" s="4">
        <v>4256</v>
      </c>
      <c r="B1693" s="4">
        <v>30308</v>
      </c>
      <c r="C1693" s="5">
        <f>DATE(2012,12,31)-1016</f>
        <v>40258</v>
      </c>
      <c r="D1693" s="4" t="s">
        <v>63</v>
      </c>
      <c r="E1693" s="4">
        <v>15</v>
      </c>
      <c r="F1693" s="4">
        <v>30.38</v>
      </c>
      <c r="G1693" s="4">
        <v>0.08</v>
      </c>
      <c r="H1693" s="4" t="s">
        <v>22</v>
      </c>
      <c r="I1693" s="6">
        <v>-59.179000000000002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4"/>
        <v>40259</v>
      </c>
    </row>
    <row r="1694" spans="1:21" ht="12" customHeight="1">
      <c r="A1694" s="4">
        <v>4277</v>
      </c>
      <c r="B1694" s="4">
        <v>30436</v>
      </c>
      <c r="C1694" s="5">
        <f>DATE(2012,12,31)-177</f>
        <v>41097</v>
      </c>
      <c r="D1694" s="4" t="s">
        <v>21</v>
      </c>
      <c r="E1694" s="4">
        <v>30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spans="1:21" ht="12" customHeight="1">
      <c r="A1695" s="4">
        <v>4326</v>
      </c>
      <c r="B1695" s="4">
        <v>30820</v>
      </c>
      <c r="C1695" s="5">
        <f>DATE(2012,12,31)-632</f>
        <v>40642</v>
      </c>
      <c r="D1695" s="4" t="s">
        <v>78</v>
      </c>
      <c r="E1695" s="4">
        <v>21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1.1200000000000001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0.57999999999999996</v>
      </c>
      <c r="U1695" s="5">
        <f t="shared" ref="U1695:U1696" si="745">C1695+1</f>
        <v>40643</v>
      </c>
    </row>
    <row r="1696" spans="1:21" ht="12" customHeight="1">
      <c r="A1696" s="4">
        <v>4357</v>
      </c>
      <c r="B1696" s="4">
        <v>31046</v>
      </c>
      <c r="C1696" s="5">
        <f t="shared" ref="C1696:C1697" si="746">DATE(2012,12,31)-693</f>
        <v>40581</v>
      </c>
      <c r="D1696" s="4" t="s">
        <v>78</v>
      </c>
      <c r="E1696" s="4">
        <v>42</v>
      </c>
      <c r="F1696" s="4">
        <v>3900.5309999999995</v>
      </c>
      <c r="G1696" s="4">
        <v>0.08</v>
      </c>
      <c r="H1696" s="4" t="s">
        <v>22</v>
      </c>
      <c r="I1696" s="6">
        <v>1144.6289999999999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0.56999999999999995</v>
      </c>
      <c r="U1696" s="5">
        <f t="shared" si="745"/>
        <v>40582</v>
      </c>
    </row>
    <row r="1697" spans="1:21" ht="12" customHeight="1">
      <c r="A1697" s="4">
        <v>4358</v>
      </c>
      <c r="B1697" s="4">
        <v>31046</v>
      </c>
      <c r="C1697" s="5">
        <f t="shared" si="746"/>
        <v>40581</v>
      </c>
      <c r="D1697" s="4" t="s">
        <v>78</v>
      </c>
      <c r="E1697" s="4">
        <v>35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0.57999999999999996</v>
      </c>
      <c r="U1697" s="5">
        <f>C1697+3</f>
        <v>40584</v>
      </c>
    </row>
    <row r="1698" spans="1:21" ht="12" customHeight="1">
      <c r="A1698" s="4">
        <v>4396</v>
      </c>
      <c r="B1698" s="4">
        <v>31301</v>
      </c>
      <c r="C1698" s="5">
        <f>DATE(2012,12,31)-805</f>
        <v>40469</v>
      </c>
      <c r="D1698" s="4" t="s">
        <v>21</v>
      </c>
      <c r="E1698" s="4">
        <v>31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spans="1:21" ht="12" customHeight="1">
      <c r="A1699" s="4">
        <v>4415</v>
      </c>
      <c r="B1699" s="4">
        <v>31495</v>
      </c>
      <c r="C1699" s="5">
        <f t="shared" ref="C1699:C1700" si="747">DATE(2012,12,31)-880</f>
        <v>40394</v>
      </c>
      <c r="D1699" s="4" t="s">
        <v>21</v>
      </c>
      <c r="E1699" s="4">
        <v>20</v>
      </c>
      <c r="F1699" s="4">
        <v>191.43</v>
      </c>
      <c r="G1699" s="4">
        <v>0.06</v>
      </c>
      <c r="H1699" s="4" t="s">
        <v>56</v>
      </c>
      <c r="I1699" s="6">
        <v>39.499499999999998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spans="1:21" ht="12" customHeight="1">
      <c r="A1700" s="4">
        <v>4416</v>
      </c>
      <c r="B1700" s="4">
        <v>31495</v>
      </c>
      <c r="C1700" s="5">
        <f t="shared" si="747"/>
        <v>40394</v>
      </c>
      <c r="D1700" s="4" t="s">
        <v>21</v>
      </c>
      <c r="E1700" s="4">
        <v>34</v>
      </c>
      <c r="F1700" s="4">
        <v>1234.8499999999999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8.2200000000000006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0.56999999999999995</v>
      </c>
      <c r="U1700" s="5">
        <f>C1700+7</f>
        <v>40401</v>
      </c>
    </row>
    <row r="1701" spans="1:21" ht="12" customHeight="1">
      <c r="A1701" s="4">
        <v>4420</v>
      </c>
      <c r="B1701" s="4">
        <v>31523</v>
      </c>
      <c r="C1701" s="5">
        <f t="shared" ref="C1701:C1702" si="748">DATE(2012,12,31)-298</f>
        <v>40976</v>
      </c>
      <c r="D1701" s="4" t="s">
        <v>21</v>
      </c>
      <c r="E1701" s="4">
        <v>17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spans="1:21" ht="12" customHeight="1">
      <c r="A1702" s="4">
        <v>4421</v>
      </c>
      <c r="B1702" s="4">
        <v>31523</v>
      </c>
      <c r="C1702" s="5">
        <f t="shared" si="748"/>
        <v>40976</v>
      </c>
      <c r="D1702" s="4" t="s">
        <v>21</v>
      </c>
      <c r="E1702" s="4">
        <v>19</v>
      </c>
      <c r="F1702" s="4">
        <v>179.33</v>
      </c>
      <c r="G1702" s="4">
        <v>0</v>
      </c>
      <c r="H1702" s="4" t="s">
        <v>22</v>
      </c>
      <c r="I1702" s="6">
        <v>-58.76</v>
      </c>
      <c r="J1702" s="4">
        <v>8.74</v>
      </c>
      <c r="K1702" s="4">
        <v>8.2899999999999991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spans="1:21" ht="12" customHeight="1">
      <c r="A1703" s="4">
        <v>4423</v>
      </c>
      <c r="B1703" s="4">
        <v>31552</v>
      </c>
      <c r="C1703" s="5">
        <f t="shared" ref="C1703:C1704" si="749">DATE(2012,12,31)-50</f>
        <v>41224</v>
      </c>
      <c r="D1703" s="4" t="s">
        <v>30</v>
      </c>
      <c r="E1703" s="4">
        <v>17</v>
      </c>
      <c r="F1703" s="4">
        <v>378.08</v>
      </c>
      <c r="G1703" s="4">
        <v>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spans="1:21" ht="12" customHeight="1">
      <c r="A1704" s="4">
        <v>4424</v>
      </c>
      <c r="B1704" s="4">
        <v>31552</v>
      </c>
      <c r="C1704" s="5">
        <f t="shared" si="749"/>
        <v>41224</v>
      </c>
      <c r="D1704" s="4" t="s">
        <v>30</v>
      </c>
      <c r="E1704" s="4">
        <v>24</v>
      </c>
      <c r="F1704" s="4">
        <v>731.71</v>
      </c>
      <c r="G1704" s="4">
        <v>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spans="1:21" ht="12" customHeight="1">
      <c r="A1705" s="4">
        <v>4515</v>
      </c>
      <c r="B1705" s="4">
        <v>32131</v>
      </c>
      <c r="C1705" s="5">
        <f>DATE(2012,12,31)-735</f>
        <v>40539</v>
      </c>
      <c r="D1705" s="4" t="s">
        <v>78</v>
      </c>
      <c r="E1705" s="4">
        <v>34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0">C1705+2</f>
        <v>40541</v>
      </c>
    </row>
    <row r="1706" spans="1:21" ht="12" customHeight="1">
      <c r="A1706" s="4">
        <v>4516</v>
      </c>
      <c r="B1706" s="4">
        <v>32135</v>
      </c>
      <c r="C1706" s="5">
        <f t="shared" ref="C1706:C1707" si="751">DATE(2012,12,31)-767</f>
        <v>40507</v>
      </c>
      <c r="D1706" s="4" t="s">
        <v>30</v>
      </c>
      <c r="E1706" s="4">
        <v>37</v>
      </c>
      <c r="F1706" s="4">
        <v>1575.14</v>
      </c>
      <c r="G1706" s="4">
        <v>0</v>
      </c>
      <c r="H1706" s="4" t="s">
        <v>22</v>
      </c>
      <c r="I1706" s="6">
        <v>160.68</v>
      </c>
      <c r="J1706" s="4">
        <v>39.979999999999997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0"/>
        <v>40509</v>
      </c>
    </row>
    <row r="1707" spans="1:21" ht="12" customHeight="1">
      <c r="A1707" s="4">
        <v>4517</v>
      </c>
      <c r="B1707" s="4">
        <v>32135</v>
      </c>
      <c r="C1707" s="5">
        <f t="shared" si="751"/>
        <v>40507</v>
      </c>
      <c r="D1707" s="4" t="s">
        <v>30</v>
      </c>
      <c r="E1707" s="4">
        <v>16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0"/>
        <v>40509</v>
      </c>
    </row>
    <row r="1708" spans="1:21" ht="12" customHeight="1">
      <c r="A1708" s="4">
        <v>4534</v>
      </c>
      <c r="B1708" s="4">
        <v>32230</v>
      </c>
      <c r="C1708" s="5">
        <f>DATE(2012,12,31)-134</f>
        <v>41140</v>
      </c>
      <c r="D1708" s="4" t="s">
        <v>30</v>
      </c>
      <c r="E1708" s="4">
        <v>46</v>
      </c>
      <c r="F1708" s="4">
        <v>1753.75</v>
      </c>
      <c r="G1708" s="4">
        <v>7.0000000000000007E-2</v>
      </c>
      <c r="H1708" s="4" t="s">
        <v>22</v>
      </c>
      <c r="I1708" s="6">
        <v>215.11</v>
      </c>
      <c r="J1708" s="4">
        <v>39.979999999999997</v>
      </c>
      <c r="K1708" s="4">
        <v>9.1999999999999993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spans="1:21" ht="12" customHeight="1">
      <c r="A1709" s="4">
        <v>4590</v>
      </c>
      <c r="B1709" s="4">
        <v>32642</v>
      </c>
      <c r="C1709" s="5">
        <f>DATE(2012,12,31)-277</f>
        <v>40997</v>
      </c>
      <c r="D1709" s="4" t="s">
        <v>63</v>
      </c>
      <c r="E1709" s="4">
        <v>50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spans="1:21" ht="12" customHeight="1">
      <c r="A1710" s="4">
        <v>4603</v>
      </c>
      <c r="B1710" s="4">
        <v>32803</v>
      </c>
      <c r="C1710" s="5">
        <f t="shared" ref="C1710:C1711" si="752">DATE(2012,12,31)-381</f>
        <v>40893</v>
      </c>
      <c r="D1710" s="4" t="s">
        <v>63</v>
      </c>
      <c r="E1710" s="4">
        <v>49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spans="1:21" ht="12" customHeight="1">
      <c r="A1711" s="4">
        <v>4604</v>
      </c>
      <c r="B1711" s="4">
        <v>32803</v>
      </c>
      <c r="C1711" s="5">
        <f t="shared" si="752"/>
        <v>40893</v>
      </c>
      <c r="D1711" s="4" t="s">
        <v>63</v>
      </c>
      <c r="E1711" s="4">
        <v>22</v>
      </c>
      <c r="F1711" s="4">
        <v>96.07</v>
      </c>
      <c r="G1711" s="4">
        <v>0.06</v>
      </c>
      <c r="H1711" s="4" t="s">
        <v>22</v>
      </c>
      <c r="I1711" s="6">
        <v>-4.3600000000000003</v>
      </c>
      <c r="J1711" s="4">
        <v>4.4800000000000004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spans="1:21" ht="12" customHeight="1">
      <c r="A1712" s="4">
        <v>4610</v>
      </c>
      <c r="B1712" s="4">
        <v>32834</v>
      </c>
      <c r="C1712" s="5">
        <f>DATE(2012,12,31)-857</f>
        <v>40417</v>
      </c>
      <c r="D1712" s="4" t="s">
        <v>78</v>
      </c>
      <c r="E1712" s="4">
        <v>39</v>
      </c>
      <c r="F1712" s="4">
        <v>3460.5625</v>
      </c>
      <c r="G1712" s="4">
        <v>0.1</v>
      </c>
      <c r="H1712" s="4" t="s">
        <v>22</v>
      </c>
      <c r="I1712" s="6">
        <v>573.05700000000002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0.57999999999999996</v>
      </c>
      <c r="U1712" s="5">
        <f t="shared" ref="U1712:U1713" si="753">C1712+1</f>
        <v>40418</v>
      </c>
    </row>
    <row r="1713" spans="1:21" ht="12" customHeight="1">
      <c r="A1713" s="4">
        <v>4666</v>
      </c>
      <c r="B1713" s="4">
        <v>33219</v>
      </c>
      <c r="C1713" s="5">
        <f>DATE(2012,12,31)-387</f>
        <v>40887</v>
      </c>
      <c r="D1713" s="4" t="s">
        <v>30</v>
      </c>
      <c r="E1713" s="4">
        <v>32</v>
      </c>
      <c r="F1713" s="4">
        <v>7341.96</v>
      </c>
      <c r="G1713" s="4">
        <v>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3"/>
        <v>40888</v>
      </c>
    </row>
    <row r="1714" spans="1:21" ht="12" customHeight="1">
      <c r="A1714" s="4">
        <v>4697</v>
      </c>
      <c r="B1714" s="4">
        <v>33477</v>
      </c>
      <c r="C1714" s="5">
        <f>DATE(2012,12,31)-73</f>
        <v>41201</v>
      </c>
      <c r="D1714" s="4" t="s">
        <v>30</v>
      </c>
      <c r="E1714" s="4">
        <v>28</v>
      </c>
      <c r="F1714" s="4">
        <v>269.27999999999997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spans="1:21" ht="12" customHeight="1">
      <c r="A1715" s="4">
        <v>4793</v>
      </c>
      <c r="B1715" s="4">
        <v>34082</v>
      </c>
      <c r="C1715" s="5">
        <f t="shared" ref="C1715:C1717" si="754">DATE(2012,12,31)-430</f>
        <v>40844</v>
      </c>
      <c r="D1715" s="4" t="s">
        <v>45</v>
      </c>
      <c r="E1715" s="4">
        <v>19</v>
      </c>
      <c r="F1715" s="4">
        <v>2536.1799999999998</v>
      </c>
      <c r="G1715" s="4">
        <v>0.1</v>
      </c>
      <c r="H1715" s="4" t="s">
        <v>22</v>
      </c>
      <c r="I1715" s="6">
        <v>350.62</v>
      </c>
      <c r="J1715" s="4">
        <v>142.86000000000001</v>
      </c>
      <c r="K1715" s="4">
        <v>19.989999999999998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0.56000000000000005</v>
      </c>
      <c r="U1715" s="5">
        <f t="shared" ref="U1715:U1716" si="755">C1715+1</f>
        <v>40845</v>
      </c>
    </row>
    <row r="1716" spans="1:21" ht="12" customHeight="1">
      <c r="A1716" s="4">
        <v>4794</v>
      </c>
      <c r="B1716" s="4">
        <v>34082</v>
      </c>
      <c r="C1716" s="5">
        <f t="shared" si="754"/>
        <v>40844</v>
      </c>
      <c r="D1716" s="4" t="s">
        <v>45</v>
      </c>
      <c r="E1716" s="4">
        <v>20</v>
      </c>
      <c r="F1716" s="4">
        <v>38.56</v>
      </c>
      <c r="G1716" s="4">
        <v>7.0000000000000007E-2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5"/>
        <v>40845</v>
      </c>
    </row>
    <row r="1717" spans="1:21" ht="12" customHeight="1">
      <c r="A1717" s="4">
        <v>4795</v>
      </c>
      <c r="B1717" s="4">
        <v>34082</v>
      </c>
      <c r="C1717" s="5">
        <f t="shared" si="754"/>
        <v>40844</v>
      </c>
      <c r="D1717" s="4" t="s">
        <v>45</v>
      </c>
      <c r="E1717" s="4">
        <v>35</v>
      </c>
      <c r="F1717" s="4">
        <v>764.32</v>
      </c>
      <c r="G1717" s="4">
        <v>0.02</v>
      </c>
      <c r="H1717" s="4" t="s">
        <v>22</v>
      </c>
      <c r="I1717" s="6">
        <v>-34.590000000000003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spans="1:21" ht="12" customHeight="1">
      <c r="A1718" s="4">
        <v>4811</v>
      </c>
      <c r="B1718" s="4">
        <v>34211</v>
      </c>
      <c r="C1718" s="5">
        <f>DATE(2012,12,31)-322</f>
        <v>40952</v>
      </c>
      <c r="D1718" s="4" t="s">
        <v>45</v>
      </c>
      <c r="E1718" s="4">
        <v>15</v>
      </c>
      <c r="F1718" s="4">
        <v>136.49</v>
      </c>
      <c r="G1718" s="4">
        <v>0.1</v>
      </c>
      <c r="H1718" s="4" t="s">
        <v>22</v>
      </c>
      <c r="I1718" s="6">
        <v>36.229999999999997</v>
      </c>
      <c r="J1718" s="4">
        <v>9.93</v>
      </c>
      <c r="K1718" s="4">
        <v>1.0900000000000001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spans="1:21" ht="12" customHeight="1">
      <c r="A1719" s="4">
        <v>4817</v>
      </c>
      <c r="B1719" s="4">
        <v>34244</v>
      </c>
      <c r="C1719" s="5">
        <f t="shared" ref="C1719:C1720" si="756">DATE(2012,12,31)-824</f>
        <v>40450</v>
      </c>
      <c r="D1719" s="4" t="s">
        <v>21</v>
      </c>
      <c r="E1719" s="4">
        <v>25</v>
      </c>
      <c r="F1719" s="4">
        <v>205.3</v>
      </c>
      <c r="G1719" s="4">
        <v>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spans="1:21" ht="12" customHeight="1">
      <c r="A1720" s="4">
        <v>4818</v>
      </c>
      <c r="B1720" s="4">
        <v>34244</v>
      </c>
      <c r="C1720" s="5">
        <f t="shared" si="756"/>
        <v>40450</v>
      </c>
      <c r="D1720" s="4" t="s">
        <v>21</v>
      </c>
      <c r="E1720" s="4">
        <v>4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spans="1:21" ht="12" customHeight="1">
      <c r="A1721" s="4">
        <v>4867</v>
      </c>
      <c r="B1721" s="4">
        <v>34658</v>
      </c>
      <c r="C1721" s="5">
        <f>DATE(2012,12,31)-774</f>
        <v>40500</v>
      </c>
      <c r="D1721" s="4" t="s">
        <v>63</v>
      </c>
      <c r="E1721" s="4">
        <v>33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spans="1:21" ht="12" customHeight="1">
      <c r="A1722" s="4">
        <v>4931</v>
      </c>
      <c r="B1722" s="4">
        <v>35079</v>
      </c>
      <c r="C1722" s="5">
        <f t="shared" ref="C1722:C1723" si="757">DATE(2012,12,31)-870</f>
        <v>40404</v>
      </c>
      <c r="D1722" s="4" t="s">
        <v>30</v>
      </c>
      <c r="E1722" s="4">
        <v>13</v>
      </c>
      <c r="F1722" s="4">
        <v>71.569999999999993</v>
      </c>
      <c r="G1722" s="4">
        <v>0.02</v>
      </c>
      <c r="H1722" s="4" t="s">
        <v>22</v>
      </c>
      <c r="I1722" s="6">
        <v>-30.6935</v>
      </c>
      <c r="J1722" s="4">
        <v>4.9800000000000004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8">C1722+2</f>
        <v>40406</v>
      </c>
    </row>
    <row r="1723" spans="1:21" ht="12" customHeight="1">
      <c r="A1723" s="4">
        <v>4932</v>
      </c>
      <c r="B1723" s="4">
        <v>35079</v>
      </c>
      <c r="C1723" s="5">
        <f t="shared" si="757"/>
        <v>40404</v>
      </c>
      <c r="D1723" s="4" t="s">
        <v>30</v>
      </c>
      <c r="E1723" s="4">
        <v>32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19.989999999999998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8"/>
        <v>40406</v>
      </c>
    </row>
    <row r="1724" spans="1:21" ht="12" customHeight="1">
      <c r="A1724" s="4">
        <v>4935</v>
      </c>
      <c r="B1724" s="4">
        <v>35110</v>
      </c>
      <c r="C1724" s="5">
        <f t="shared" ref="C1724:C1725" si="759">DATE(2012,12,31)-440</f>
        <v>40834</v>
      </c>
      <c r="D1724" s="4" t="s">
        <v>30</v>
      </c>
      <c r="E1724" s="4">
        <v>14</v>
      </c>
      <c r="F1724" s="4">
        <v>12805.25</v>
      </c>
      <c r="G1724" s="4">
        <v>0.01</v>
      </c>
      <c r="H1724" s="4" t="s">
        <v>22</v>
      </c>
      <c r="I1724" s="6">
        <v>5065.5069999999996</v>
      </c>
      <c r="J1724" s="4">
        <v>896.99</v>
      </c>
      <c r="K1724" s="4">
        <v>19.989999999999998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spans="1:21" ht="12" customHeight="1">
      <c r="A1725" s="4">
        <v>4936</v>
      </c>
      <c r="B1725" s="4">
        <v>35110</v>
      </c>
      <c r="C1725" s="5">
        <f t="shared" si="759"/>
        <v>40834</v>
      </c>
      <c r="D1725" s="4" t="s">
        <v>30</v>
      </c>
      <c r="E1725" s="4">
        <v>49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0">C1725+2</f>
        <v>40836</v>
      </c>
    </row>
    <row r="1726" spans="1:21" ht="12" customHeight="1">
      <c r="A1726" s="4">
        <v>4992</v>
      </c>
      <c r="B1726" s="4">
        <v>35554</v>
      </c>
      <c r="C1726" s="5">
        <f>DATE(2012,12,31)-98</f>
        <v>41176</v>
      </c>
      <c r="D1726" s="4" t="s">
        <v>45</v>
      </c>
      <c r="E1726" s="4">
        <v>34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130.97999999999999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0"/>
        <v>41178</v>
      </c>
    </row>
    <row r="1727" spans="1:21" ht="12" customHeight="1">
      <c r="A1727" s="4">
        <v>4993</v>
      </c>
      <c r="B1727" s="4">
        <v>35555</v>
      </c>
      <c r="C1727" s="5">
        <f t="shared" ref="C1727:C1729" si="761">DATE(2012,12,31)-668</f>
        <v>40606</v>
      </c>
      <c r="D1727" s="4" t="s">
        <v>63</v>
      </c>
      <c r="E1727" s="4">
        <v>50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0.55000000000000004</v>
      </c>
      <c r="U1727" s="5">
        <f>C1727+1</f>
        <v>40607</v>
      </c>
    </row>
    <row r="1728" spans="1:21" ht="12" customHeight="1">
      <c r="A1728" s="4">
        <v>4994</v>
      </c>
      <c r="B1728" s="4">
        <v>35555</v>
      </c>
      <c r="C1728" s="5">
        <f t="shared" si="761"/>
        <v>40606</v>
      </c>
      <c r="D1728" s="4" t="s">
        <v>63</v>
      </c>
      <c r="E1728" s="4">
        <v>15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4.8899999999999997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spans="1:21" ht="12" customHeight="1">
      <c r="A1729" s="4">
        <v>4995</v>
      </c>
      <c r="B1729" s="4">
        <v>35555</v>
      </c>
      <c r="C1729" s="5">
        <f t="shared" si="761"/>
        <v>40606</v>
      </c>
      <c r="D1729" s="4" t="s">
        <v>63</v>
      </c>
      <c r="E1729" s="4">
        <v>2</v>
      </c>
      <c r="F1729" s="4">
        <v>10.43</v>
      </c>
      <c r="G1729" s="4">
        <v>7.0000000000000007E-2</v>
      </c>
      <c r="H1729" s="4" t="s">
        <v>22</v>
      </c>
      <c r="I1729" s="6">
        <v>-4.72</v>
      </c>
      <c r="J1729" s="4">
        <v>4.9800000000000004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spans="1:21" ht="12" customHeight="1">
      <c r="A1730" s="4">
        <v>5033</v>
      </c>
      <c r="B1730" s="4">
        <v>35877</v>
      </c>
      <c r="C1730" s="5">
        <f>DATE(2012,12,31)-951</f>
        <v>40323</v>
      </c>
      <c r="D1730" s="4" t="s">
        <v>30</v>
      </c>
      <c r="E1730" s="4">
        <v>30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spans="1:21" ht="12" customHeight="1">
      <c r="A1731" s="4">
        <v>5035</v>
      </c>
      <c r="B1731" s="4">
        <v>35878</v>
      </c>
      <c r="C1731" s="5">
        <f>DATE(2012,12,31)-871</f>
        <v>40403</v>
      </c>
      <c r="D1731" s="4" t="s">
        <v>63</v>
      </c>
      <c r="E1731" s="4">
        <v>45</v>
      </c>
      <c r="F1731" s="4">
        <v>161.66999999999999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2.2000000000000002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spans="1:21" ht="12" customHeight="1">
      <c r="A1732" s="4">
        <v>5112</v>
      </c>
      <c r="B1732" s="4">
        <v>36448</v>
      </c>
      <c r="C1732" s="5">
        <f t="shared" ref="C1732:C1733" si="762">DATE(2012,12,31)-843</f>
        <v>40431</v>
      </c>
      <c r="D1732" s="4" t="s">
        <v>63</v>
      </c>
      <c r="E1732" s="4">
        <v>6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spans="1:21" ht="12" customHeight="1">
      <c r="A1733" s="4">
        <v>5113</v>
      </c>
      <c r="B1733" s="4">
        <v>36448</v>
      </c>
      <c r="C1733" s="5">
        <f t="shared" si="762"/>
        <v>40431</v>
      </c>
      <c r="D1733" s="4" t="s">
        <v>63</v>
      </c>
      <c r="E1733" s="4">
        <v>44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3">C1733+1</f>
        <v>40432</v>
      </c>
    </row>
    <row r="1734" spans="1:21" ht="12" customHeight="1">
      <c r="A1734" s="4">
        <v>5125</v>
      </c>
      <c r="B1734" s="4">
        <v>36484</v>
      </c>
      <c r="C1734" s="5">
        <f>DATE(2012,12,31)-338</f>
        <v>40936</v>
      </c>
      <c r="D1734" s="4" t="s">
        <v>78</v>
      </c>
      <c r="E1734" s="4">
        <v>41</v>
      </c>
      <c r="F1734" s="4">
        <v>2380.5695000000001</v>
      </c>
      <c r="G1734" s="4">
        <v>0.01</v>
      </c>
      <c r="H1734" s="4" t="s">
        <v>56</v>
      </c>
      <c r="I1734" s="6">
        <v>740.47500000000002</v>
      </c>
      <c r="J1734" s="4">
        <v>65.989999999999995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0.55000000000000004</v>
      </c>
      <c r="U1734" s="5">
        <f t="shared" si="763"/>
        <v>40937</v>
      </c>
    </row>
    <row r="1735" spans="1:21" ht="12" customHeight="1">
      <c r="A1735" s="4">
        <v>5148</v>
      </c>
      <c r="B1735" s="4">
        <v>36679</v>
      </c>
      <c r="C1735" s="5">
        <f>DATE(2012,12,31)-489</f>
        <v>40785</v>
      </c>
      <c r="D1735" s="4" t="s">
        <v>78</v>
      </c>
      <c r="E1735" s="4">
        <v>28</v>
      </c>
      <c r="F1735" s="4">
        <v>1491.8264999999999</v>
      </c>
      <c r="G1735" s="4">
        <v>0.1</v>
      </c>
      <c r="H1735" s="4" t="s">
        <v>22</v>
      </c>
      <c r="I1735" s="6">
        <v>124.83</v>
      </c>
      <c r="J1735" s="4">
        <v>65.989999999999995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0.56000000000000005</v>
      </c>
      <c r="U1735" s="5">
        <f t="shared" ref="U1735:U1736" si="764">C1735+3</f>
        <v>40788</v>
      </c>
    </row>
    <row r="1736" spans="1:21" ht="12" customHeight="1">
      <c r="A1736" s="4">
        <v>5163</v>
      </c>
      <c r="B1736" s="4">
        <v>36741</v>
      </c>
      <c r="C1736" s="5">
        <f t="shared" ref="C1736:C1737" si="765">DATE(2012,12,31)-743</f>
        <v>40531</v>
      </c>
      <c r="D1736" s="4" t="s">
        <v>78</v>
      </c>
      <c r="E1736" s="4">
        <v>26</v>
      </c>
      <c r="F1736" s="4">
        <v>141.4</v>
      </c>
      <c r="G1736" s="4">
        <v>0.08</v>
      </c>
      <c r="H1736" s="4" t="s">
        <v>22</v>
      </c>
      <c r="I1736" s="6">
        <v>34.479999999999997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4"/>
        <v>40534</v>
      </c>
    </row>
    <row r="1737" spans="1:21" ht="12" customHeight="1">
      <c r="A1737" s="4">
        <v>5164</v>
      </c>
      <c r="B1737" s="4">
        <v>36741</v>
      </c>
      <c r="C1737" s="5">
        <f t="shared" si="765"/>
        <v>40531</v>
      </c>
      <c r="D1737" s="4" t="s">
        <v>78</v>
      </c>
      <c r="E1737" s="4">
        <v>6</v>
      </c>
      <c r="F1737" s="4">
        <v>303.90899999999999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6">C1737+2</f>
        <v>40533</v>
      </c>
    </row>
    <row r="1738" spans="1:21" ht="12" customHeight="1">
      <c r="A1738" s="4">
        <v>5187</v>
      </c>
      <c r="B1738" s="4">
        <v>36866</v>
      </c>
      <c r="C1738" s="5">
        <f>DATE(2012,12,31)-1013</f>
        <v>40261</v>
      </c>
      <c r="D1738" s="4" t="s">
        <v>21</v>
      </c>
      <c r="E1738" s="4">
        <v>32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6"/>
        <v>40263</v>
      </c>
    </row>
    <row r="1739" spans="1:21" ht="12" customHeight="1">
      <c r="A1739" s="4">
        <v>5194</v>
      </c>
      <c r="B1739" s="4">
        <v>36929</v>
      </c>
      <c r="C1739" s="5">
        <f t="shared" ref="C1739:C1740" si="767">DATE(2012,12,31)-220</f>
        <v>41054</v>
      </c>
      <c r="D1739" s="4" t="s">
        <v>21</v>
      </c>
      <c r="E1739" s="4">
        <v>45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spans="1:21" ht="12" customHeight="1">
      <c r="A1740" s="4">
        <v>5195</v>
      </c>
      <c r="B1740" s="4">
        <v>36929</v>
      </c>
      <c r="C1740" s="5">
        <f t="shared" si="767"/>
        <v>41054</v>
      </c>
      <c r="D1740" s="4" t="s">
        <v>21</v>
      </c>
      <c r="E1740" s="4">
        <v>37</v>
      </c>
      <c r="F1740" s="4">
        <v>1326.69</v>
      </c>
      <c r="G1740" s="4">
        <v>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spans="1:21" ht="12" customHeight="1">
      <c r="A1741" s="4">
        <v>5225</v>
      </c>
      <c r="B1741" s="4">
        <v>37216</v>
      </c>
      <c r="C1741" s="5">
        <f>DATE(2012,12,31)-762</f>
        <v>40512</v>
      </c>
      <c r="D1741" s="4" t="s">
        <v>30</v>
      </c>
      <c r="E1741" s="4">
        <v>24</v>
      </c>
      <c r="F1741" s="4">
        <v>527.25</v>
      </c>
      <c r="G1741" s="4">
        <v>0.01</v>
      </c>
      <c r="H1741" s="4" t="s">
        <v>22</v>
      </c>
      <c r="I1741" s="6">
        <v>74.009499999999989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8">C1741+1</f>
        <v>40513</v>
      </c>
    </row>
    <row r="1742" spans="1:21" ht="12" customHeight="1">
      <c r="A1742" s="4">
        <v>5244</v>
      </c>
      <c r="B1742" s="4">
        <v>37314</v>
      </c>
      <c r="C1742" s="5">
        <f>DATE(2012,12,31)-607</f>
        <v>40667</v>
      </c>
      <c r="D1742" s="4" t="s">
        <v>63</v>
      </c>
      <c r="E1742" s="4">
        <v>21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8"/>
        <v>40668</v>
      </c>
    </row>
    <row r="1743" spans="1:21" ht="12" customHeight="1">
      <c r="A1743" s="4">
        <v>5250</v>
      </c>
      <c r="B1743" s="4">
        <v>37349</v>
      </c>
      <c r="C1743" s="5">
        <f>DATE(2012,12,31)-1050</f>
        <v>40224</v>
      </c>
      <c r="D1743" s="4" t="s">
        <v>78</v>
      </c>
      <c r="E1743" s="4">
        <v>8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19.989999999999998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spans="1:21" ht="12" customHeight="1">
      <c r="A1744" s="4">
        <v>5319</v>
      </c>
      <c r="B1744" s="4">
        <v>37828</v>
      </c>
      <c r="C1744" s="5">
        <f t="shared" ref="C1744:C1745" si="769">DATE(2012,12,31)-621</f>
        <v>40653</v>
      </c>
      <c r="D1744" s="4" t="s">
        <v>21</v>
      </c>
      <c r="E1744" s="4">
        <v>23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spans="1:21" ht="12" customHeight="1">
      <c r="A1745" s="4">
        <v>5320</v>
      </c>
      <c r="B1745" s="4">
        <v>37828</v>
      </c>
      <c r="C1745" s="5">
        <f t="shared" si="769"/>
        <v>40653</v>
      </c>
      <c r="D1745" s="4" t="s">
        <v>21</v>
      </c>
      <c r="E1745" s="4">
        <v>42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0">C1745+2</f>
        <v>40655</v>
      </c>
    </row>
    <row r="1746" spans="1:21" ht="12" customHeight="1">
      <c r="A1746" s="4">
        <v>5336</v>
      </c>
      <c r="B1746" s="4">
        <v>37920</v>
      </c>
      <c r="C1746" s="5">
        <f>DATE(2012,12,31)-901</f>
        <v>40373</v>
      </c>
      <c r="D1746" s="4" t="s">
        <v>78</v>
      </c>
      <c r="E1746" s="4">
        <v>48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8.4600000000000009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0"/>
        <v>40375</v>
      </c>
    </row>
    <row r="1747" spans="1:21" ht="12" customHeight="1">
      <c r="A1747" s="4">
        <v>5357</v>
      </c>
      <c r="B1747" s="4">
        <v>38052</v>
      </c>
      <c r="C1747" s="5">
        <f>DATE(2012,12,31)-320</f>
        <v>40954</v>
      </c>
      <c r="D1747" s="4" t="s">
        <v>21</v>
      </c>
      <c r="E1747" s="4">
        <v>13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spans="1:21" ht="12" customHeight="1">
      <c r="A1748" s="4">
        <v>5405</v>
      </c>
      <c r="B1748" s="4">
        <v>38437</v>
      </c>
      <c r="C1748" s="5">
        <f t="shared" ref="C1748:C1749" si="771">DATE(2012,12,31)-237</f>
        <v>41037</v>
      </c>
      <c r="D1748" s="4" t="s">
        <v>78</v>
      </c>
      <c r="E1748" s="4">
        <v>19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2">C1748+1</f>
        <v>41038</v>
      </c>
    </row>
    <row r="1749" spans="1:21" ht="12" customHeight="1">
      <c r="A1749" s="4">
        <v>5406</v>
      </c>
      <c r="B1749" s="4">
        <v>38437</v>
      </c>
      <c r="C1749" s="5">
        <f t="shared" si="771"/>
        <v>41037</v>
      </c>
      <c r="D1749" s="4" t="s">
        <v>78</v>
      </c>
      <c r="E1749" s="4">
        <v>17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0.56000000000000005</v>
      </c>
      <c r="U1749" s="5">
        <f t="shared" si="772"/>
        <v>41038</v>
      </c>
    </row>
    <row r="1750" spans="1:21" ht="12" customHeight="1">
      <c r="A1750" s="4">
        <v>5422</v>
      </c>
      <c r="B1750" s="4">
        <v>38530</v>
      </c>
      <c r="C1750" s="5">
        <f t="shared" ref="C1750:C1751" si="773">DATE(2012,12,31)-624</f>
        <v>40650</v>
      </c>
      <c r="D1750" s="4" t="s">
        <v>78</v>
      </c>
      <c r="E1750" s="4">
        <v>47</v>
      </c>
      <c r="F1750" s="4">
        <v>1980.37</v>
      </c>
      <c r="G1750" s="4">
        <v>0.03</v>
      </c>
      <c r="H1750" s="4" t="s">
        <v>22</v>
      </c>
      <c r="I1750" s="6">
        <v>904.82500000000005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4">C1750+0</f>
        <v>40650</v>
      </c>
    </row>
    <row r="1751" spans="1:21" ht="12" customHeight="1">
      <c r="A1751" s="4">
        <v>5423</v>
      </c>
      <c r="B1751" s="4">
        <v>38530</v>
      </c>
      <c r="C1751" s="5">
        <f t="shared" si="773"/>
        <v>40650</v>
      </c>
      <c r="D1751" s="4" t="s">
        <v>78</v>
      </c>
      <c r="E1751" s="4">
        <v>13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19.989999999999998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0.56999999999999995</v>
      </c>
      <c r="U1751" s="5">
        <f t="shared" si="774"/>
        <v>40650</v>
      </c>
    </row>
    <row r="1752" spans="1:21" ht="12" customHeight="1">
      <c r="A1752" s="4">
        <v>5531</v>
      </c>
      <c r="B1752" s="4">
        <v>39172</v>
      </c>
      <c r="C1752" s="5">
        <f t="shared" ref="C1752:C1753" si="775">DATE(2012,12,31)-920</f>
        <v>40354</v>
      </c>
      <c r="D1752" s="4" t="s">
        <v>21</v>
      </c>
      <c r="E1752" s="4">
        <v>38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19.989999999999998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6">C1752+7</f>
        <v>40361</v>
      </c>
    </row>
    <row r="1753" spans="1:21" ht="12" customHeight="1">
      <c r="A1753" s="4">
        <v>5532</v>
      </c>
      <c r="B1753" s="4">
        <v>39172</v>
      </c>
      <c r="C1753" s="5">
        <f t="shared" si="775"/>
        <v>40354</v>
      </c>
      <c r="D1753" s="4" t="s">
        <v>21</v>
      </c>
      <c r="E1753" s="4">
        <v>26</v>
      </c>
      <c r="F1753" s="4">
        <v>175.42</v>
      </c>
      <c r="G1753" s="4">
        <v>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6"/>
        <v>40361</v>
      </c>
    </row>
    <row r="1754" spans="1:21" ht="12" customHeight="1">
      <c r="A1754" s="4">
        <v>5547</v>
      </c>
      <c r="B1754" s="4">
        <v>39269</v>
      </c>
      <c r="C1754" s="5">
        <f>DATE(2012,12,31)-66</f>
        <v>41208</v>
      </c>
      <c r="D1754" s="4" t="s">
        <v>21</v>
      </c>
      <c r="E1754" s="4">
        <v>16</v>
      </c>
      <c r="F1754" s="4">
        <v>464.69499999999999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6"/>
        <v>41215</v>
      </c>
    </row>
    <row r="1755" spans="1:21" ht="12" customHeight="1">
      <c r="A1755" s="4">
        <v>5552</v>
      </c>
      <c r="B1755" s="4">
        <v>39330</v>
      </c>
      <c r="C1755" s="5">
        <f>DATE(2012,12,31)-898</f>
        <v>40376</v>
      </c>
      <c r="D1755" s="4" t="s">
        <v>78</v>
      </c>
      <c r="E1755" s="4">
        <v>29</v>
      </c>
      <c r="F1755" s="4">
        <v>184.77</v>
      </c>
      <c r="G1755" s="4">
        <v>0</v>
      </c>
      <c r="H1755" s="4" t="s">
        <v>56</v>
      </c>
      <c r="I1755" s="6">
        <v>-71.959999999999994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0.55000000000000004</v>
      </c>
      <c r="U1755" s="5">
        <f>C1755+1</f>
        <v>40377</v>
      </c>
    </row>
    <row r="1756" spans="1:21" ht="12" customHeight="1">
      <c r="A1756" s="4">
        <v>5561</v>
      </c>
      <c r="B1756" s="4">
        <v>39365</v>
      </c>
      <c r="C1756" s="5">
        <f>DATE(2012,12,31)-231</f>
        <v>41043</v>
      </c>
      <c r="D1756" s="4" t="s">
        <v>30</v>
      </c>
      <c r="E1756" s="4">
        <v>32</v>
      </c>
      <c r="F1756" s="4">
        <v>931.08</v>
      </c>
      <c r="G1756" s="4">
        <v>0.1</v>
      </c>
      <c r="H1756" s="4" t="s">
        <v>56</v>
      </c>
      <c r="I1756" s="6">
        <v>269.60000000000002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spans="1:21" ht="12" customHeight="1">
      <c r="A1757" s="4">
        <v>5580</v>
      </c>
      <c r="B1757" s="4">
        <v>39555</v>
      </c>
      <c r="C1757" s="5">
        <f>DATE(2012,12,31)-118</f>
        <v>41156</v>
      </c>
      <c r="D1757" s="4" t="s">
        <v>21</v>
      </c>
      <c r="E1757" s="4">
        <v>38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spans="1:21" ht="12" customHeight="1">
      <c r="A1758" s="4">
        <v>5609</v>
      </c>
      <c r="B1758" s="4">
        <v>39749</v>
      </c>
      <c r="C1758" s="5">
        <f t="shared" ref="C1758:C1760" si="777">DATE(2012,12,31)-918</f>
        <v>40356</v>
      </c>
      <c r="D1758" s="4" t="s">
        <v>30</v>
      </c>
      <c r="E1758" s="4">
        <v>14</v>
      </c>
      <c r="F1758" s="4">
        <v>125.31</v>
      </c>
      <c r="G1758" s="4">
        <v>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8">C1758+2</f>
        <v>40358</v>
      </c>
    </row>
    <row r="1759" spans="1:21" ht="12" customHeight="1">
      <c r="A1759" s="4">
        <v>5610</v>
      </c>
      <c r="B1759" s="4">
        <v>39749</v>
      </c>
      <c r="C1759" s="5">
        <f t="shared" si="777"/>
        <v>40356</v>
      </c>
      <c r="D1759" s="4" t="s">
        <v>30</v>
      </c>
      <c r="E1759" s="4">
        <v>45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0.57999999999999996</v>
      </c>
      <c r="U1759" s="5">
        <f t="shared" si="778"/>
        <v>40358</v>
      </c>
    </row>
    <row r="1760" spans="1:21" ht="12" customHeight="1">
      <c r="A1760" s="4">
        <v>5611</v>
      </c>
      <c r="B1760" s="4">
        <v>39749</v>
      </c>
      <c r="C1760" s="5">
        <f t="shared" si="777"/>
        <v>40356</v>
      </c>
      <c r="D1760" s="4" t="s">
        <v>30</v>
      </c>
      <c r="E1760" s="4">
        <v>43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0.57999999999999996</v>
      </c>
      <c r="U1760" s="5">
        <f t="shared" si="778"/>
        <v>40358</v>
      </c>
    </row>
    <row r="1761" spans="1:21" ht="12" customHeight="1">
      <c r="A1761" s="4">
        <v>5651</v>
      </c>
      <c r="B1761" s="4">
        <v>40001</v>
      </c>
      <c r="C1761" s="5">
        <f>DATE(2012,12,31)-676</f>
        <v>40598</v>
      </c>
      <c r="D1761" s="4" t="s">
        <v>63</v>
      </c>
      <c r="E1761" s="4">
        <v>46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39.479999999999997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0.56000000000000005</v>
      </c>
      <c r="U1761" s="5">
        <f t="shared" si="778"/>
        <v>40600</v>
      </c>
    </row>
    <row r="1762" spans="1:21" ht="12" customHeight="1">
      <c r="A1762" s="4">
        <v>5708</v>
      </c>
      <c r="B1762" s="4">
        <v>40386</v>
      </c>
      <c r="C1762" s="5">
        <f>DATE(2012,12,31)-682</f>
        <v>40592</v>
      </c>
      <c r="D1762" s="4" t="s">
        <v>30</v>
      </c>
      <c r="E1762" s="4">
        <v>28</v>
      </c>
      <c r="F1762" s="4">
        <v>2905.3</v>
      </c>
      <c r="G1762" s="4">
        <v>0</v>
      </c>
      <c r="H1762" s="4" t="s">
        <v>56</v>
      </c>
      <c r="I1762" s="6">
        <v>1704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8"/>
        <v>40594</v>
      </c>
    </row>
    <row r="1763" spans="1:21" ht="12" customHeight="1">
      <c r="A1763" s="4">
        <v>5796</v>
      </c>
      <c r="B1763" s="4">
        <v>41120</v>
      </c>
      <c r="C1763" s="5">
        <f t="shared" ref="C1763:C1764" si="779">DATE(2012,12,31)-177</f>
        <v>41097</v>
      </c>
      <c r="D1763" s="4" t="s">
        <v>21</v>
      </c>
      <c r="E1763" s="4">
        <v>35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8"/>
        <v>41099</v>
      </c>
    </row>
    <row r="1764" spans="1:21" ht="12" customHeight="1">
      <c r="A1764" s="4">
        <v>5797</v>
      </c>
      <c r="B1764" s="4">
        <v>41120</v>
      </c>
      <c r="C1764" s="5">
        <f t="shared" si="779"/>
        <v>41097</v>
      </c>
      <c r="D1764" s="4" t="s">
        <v>21</v>
      </c>
      <c r="E1764" s="4">
        <v>13</v>
      </c>
      <c r="F1764" s="4">
        <v>43.37</v>
      </c>
      <c r="G1764" s="4">
        <v>0.02</v>
      </c>
      <c r="H1764" s="4" t="s">
        <v>22</v>
      </c>
      <c r="I1764" s="6">
        <v>9.5299999999999994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8"/>
        <v>41099</v>
      </c>
    </row>
    <row r="1765" spans="1:21" ht="12" customHeight="1">
      <c r="A1765" s="4">
        <v>5798</v>
      </c>
      <c r="B1765" s="4">
        <v>41122</v>
      </c>
      <c r="C1765" s="5">
        <f>DATE(2012,12,31)-1044</f>
        <v>40230</v>
      </c>
      <c r="D1765" s="4" t="s">
        <v>45</v>
      </c>
      <c r="E1765" s="4">
        <v>29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8"/>
        <v>40232</v>
      </c>
    </row>
    <row r="1766" spans="1:21" ht="12" customHeight="1">
      <c r="A1766" s="4">
        <v>5809</v>
      </c>
      <c r="B1766" s="4">
        <v>41187</v>
      </c>
      <c r="C1766" s="5">
        <f t="shared" ref="C1766:C1767" si="780">DATE(2012,12,31)-823</f>
        <v>40451</v>
      </c>
      <c r="D1766" s="4" t="s">
        <v>21</v>
      </c>
      <c r="E1766" s="4">
        <v>9</v>
      </c>
      <c r="F1766" s="4">
        <v>52.93</v>
      </c>
      <c r="G1766" s="4">
        <v>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spans="1:21" ht="12" customHeight="1">
      <c r="A1767" s="4">
        <v>5810</v>
      </c>
      <c r="B1767" s="4">
        <v>41187</v>
      </c>
      <c r="C1767" s="5">
        <f t="shared" si="780"/>
        <v>40451</v>
      </c>
      <c r="D1767" s="4" t="s">
        <v>21</v>
      </c>
      <c r="E1767" s="4">
        <v>25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spans="1:21" ht="12" customHeight="1">
      <c r="A1768" s="4">
        <v>5821</v>
      </c>
      <c r="B1768" s="4">
        <v>41312</v>
      </c>
      <c r="C1768" s="5">
        <f>DATE(2012,12,31)-335</f>
        <v>40939</v>
      </c>
      <c r="D1768" s="4" t="s">
        <v>45</v>
      </c>
      <c r="E1768" s="4">
        <v>21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39.479999999999997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spans="1:21" ht="12" customHeight="1">
      <c r="A1769" s="4">
        <v>5824</v>
      </c>
      <c r="B1769" s="4">
        <v>41318</v>
      </c>
      <c r="C1769" s="5">
        <f>DATE(2012,12,31)-449</f>
        <v>40825</v>
      </c>
      <c r="D1769" s="4" t="s">
        <v>21</v>
      </c>
      <c r="E1769" s="4">
        <v>21</v>
      </c>
      <c r="F1769" s="4">
        <v>1223.1099999999999</v>
      </c>
      <c r="G1769" s="4">
        <v>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0.56000000000000005</v>
      </c>
      <c r="U1769" s="5">
        <f>C1769+9</f>
        <v>40834</v>
      </c>
    </row>
    <row r="1770" spans="1:21" ht="12" customHeight="1">
      <c r="A1770" s="4">
        <v>5825</v>
      </c>
      <c r="B1770" s="4">
        <v>41345</v>
      </c>
      <c r="C1770" s="5">
        <f>DATE(2012,12,31)-333</f>
        <v>40941</v>
      </c>
      <c r="D1770" s="4" t="s">
        <v>63</v>
      </c>
      <c r="E1770" s="4">
        <v>36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spans="1:21" ht="12" customHeight="1">
      <c r="A1771" s="4">
        <v>5909</v>
      </c>
      <c r="B1771" s="4">
        <v>41891</v>
      </c>
      <c r="C1771" s="5">
        <f>DATE(2012,12,31)-589</f>
        <v>40685</v>
      </c>
      <c r="D1771" s="4" t="s">
        <v>30</v>
      </c>
      <c r="E1771" s="4">
        <v>22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0.56999999999999995</v>
      </c>
      <c r="U1771" s="5">
        <f>C1771+1</f>
        <v>40686</v>
      </c>
    </row>
    <row r="1772" spans="1:21" ht="12" customHeight="1">
      <c r="A1772" s="4">
        <v>5928</v>
      </c>
      <c r="B1772" s="4">
        <v>42081</v>
      </c>
      <c r="C1772" s="5">
        <f t="shared" ref="C1772:C1774" si="781">DATE(2012,12,31)-721</f>
        <v>40553</v>
      </c>
      <c r="D1772" s="4" t="s">
        <v>21</v>
      </c>
      <c r="E1772" s="4">
        <v>36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spans="1:21" ht="12" customHeight="1">
      <c r="A1773" s="4">
        <v>5929</v>
      </c>
      <c r="B1773" s="4">
        <v>42081</v>
      </c>
      <c r="C1773" s="5">
        <f t="shared" si="781"/>
        <v>40553</v>
      </c>
      <c r="D1773" s="4" t="s">
        <v>21</v>
      </c>
      <c r="E1773" s="4">
        <v>3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spans="1:21" ht="12" customHeight="1">
      <c r="A1774" s="4">
        <v>5930</v>
      </c>
      <c r="B1774" s="4">
        <v>42081</v>
      </c>
      <c r="C1774" s="5">
        <f t="shared" si="781"/>
        <v>40553</v>
      </c>
      <c r="D1774" s="4" t="s">
        <v>21</v>
      </c>
      <c r="E1774" s="4">
        <v>26</v>
      </c>
      <c r="F1774" s="4">
        <v>1493.8579999999999</v>
      </c>
      <c r="G1774" s="4">
        <v>0.02</v>
      </c>
      <c r="H1774" s="4" t="s">
        <v>22</v>
      </c>
      <c r="I1774" s="6">
        <v>183.24</v>
      </c>
      <c r="J1774" s="4">
        <v>65.989999999999995</v>
      </c>
      <c r="K1774" s="4">
        <v>8.8000000000000007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0.57999999999999996</v>
      </c>
      <c r="U1774" s="5">
        <f>C1774+5</f>
        <v>40558</v>
      </c>
    </row>
    <row r="1775" spans="1:21" ht="12" customHeight="1">
      <c r="A1775" s="4">
        <v>5935</v>
      </c>
      <c r="B1775" s="4">
        <v>42086</v>
      </c>
      <c r="C1775" s="5">
        <f>DATE(2012,12,31)-893</f>
        <v>40381</v>
      </c>
      <c r="D1775" s="4" t="s">
        <v>30</v>
      </c>
      <c r="E1775" s="4">
        <v>18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2">C1775+1</f>
        <v>40382</v>
      </c>
    </row>
    <row r="1776" spans="1:21" ht="12" customHeight="1">
      <c r="A1776" s="4">
        <v>5954</v>
      </c>
      <c r="B1776" s="4">
        <v>42246</v>
      </c>
      <c r="C1776" s="5">
        <f t="shared" ref="C1776:C1777" si="783">DATE(2012,12,31)-249</f>
        <v>41025</v>
      </c>
      <c r="D1776" s="4" t="s">
        <v>45</v>
      </c>
      <c r="E1776" s="4">
        <v>40</v>
      </c>
      <c r="F1776" s="4">
        <v>3060.37</v>
      </c>
      <c r="G1776" s="4">
        <v>7.0000000000000007E-2</v>
      </c>
      <c r="H1776" s="4" t="s">
        <v>22</v>
      </c>
      <c r="I1776" s="6">
        <v>234.03</v>
      </c>
      <c r="J1776" s="4">
        <v>77.510000000000005</v>
      </c>
      <c r="K1776" s="4">
        <v>4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2"/>
        <v>41026</v>
      </c>
    </row>
    <row r="1777" spans="1:21" ht="12" customHeight="1">
      <c r="A1777" s="4">
        <v>5955</v>
      </c>
      <c r="B1777" s="4">
        <v>42246</v>
      </c>
      <c r="C1777" s="5">
        <f t="shared" si="783"/>
        <v>41025</v>
      </c>
      <c r="D1777" s="4" t="s">
        <v>45</v>
      </c>
      <c r="E1777" s="4">
        <v>5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spans="1:21" ht="12" customHeight="1">
      <c r="A1778" s="4">
        <v>5990</v>
      </c>
      <c r="B1778" s="4">
        <v>42465</v>
      </c>
      <c r="C1778" s="5">
        <f>DATE(2012,12,31)-741</f>
        <v>40533</v>
      </c>
      <c r="D1778" s="4" t="s">
        <v>63</v>
      </c>
      <c r="E1778" s="4">
        <v>15</v>
      </c>
      <c r="F1778" s="4">
        <v>102.32</v>
      </c>
      <c r="G1778" s="4">
        <v>0.08</v>
      </c>
      <c r="H1778" s="4" t="s">
        <v>22</v>
      </c>
      <c r="I1778" s="6">
        <v>-32.700000000000003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spans="1:21" ht="12" customHeight="1">
      <c r="A1779" s="4">
        <v>6020</v>
      </c>
      <c r="B1779" s="4">
        <v>42657</v>
      </c>
      <c r="C1779" s="5">
        <f>DATE(2012,12,31)-455</f>
        <v>40819</v>
      </c>
      <c r="D1779" s="4" t="s">
        <v>21</v>
      </c>
      <c r="E1779" s="4">
        <v>48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spans="1:21" ht="12" customHeight="1">
      <c r="A1780" s="4">
        <v>6040</v>
      </c>
      <c r="B1780" s="4">
        <v>42820</v>
      </c>
      <c r="C1780" s="5">
        <f>DATE(2012,12,31)-1049</f>
        <v>40225</v>
      </c>
      <c r="D1780" s="4" t="s">
        <v>21</v>
      </c>
      <c r="E1780" s="4">
        <v>27</v>
      </c>
      <c r="F1780" s="4">
        <v>141.56</v>
      </c>
      <c r="G1780" s="4">
        <v>0.1</v>
      </c>
      <c r="H1780" s="4" t="s">
        <v>22</v>
      </c>
      <c r="I1780" s="6">
        <v>-2.8519999999999999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spans="1:21" ht="12" customHeight="1">
      <c r="A1781" s="4">
        <v>6042</v>
      </c>
      <c r="B1781" s="4">
        <v>42848</v>
      </c>
      <c r="C1781" s="5">
        <f>DATE(2012,12,31)-86</f>
        <v>41188</v>
      </c>
      <c r="D1781" s="4" t="s">
        <v>45</v>
      </c>
      <c r="E1781" s="4">
        <v>50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spans="1:21" ht="12" customHeight="1">
      <c r="A1782" s="4">
        <v>6126</v>
      </c>
      <c r="B1782" s="4">
        <v>43367</v>
      </c>
      <c r="C1782" s="5">
        <f t="shared" ref="C1782:C1784" si="784">DATE(2012,12,31)-1028</f>
        <v>40246</v>
      </c>
      <c r="D1782" s="4" t="s">
        <v>78</v>
      </c>
      <c r="E1782" s="4">
        <v>3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spans="1:21" ht="12" customHeight="1">
      <c r="A1783" s="4">
        <v>6127</v>
      </c>
      <c r="B1783" s="4">
        <v>43367</v>
      </c>
      <c r="C1783" s="5">
        <f t="shared" si="784"/>
        <v>40246</v>
      </c>
      <c r="D1783" s="4" t="s">
        <v>78</v>
      </c>
      <c r="E1783" s="4">
        <v>16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spans="1:21" ht="12" customHeight="1">
      <c r="A1784" s="4">
        <v>6128</v>
      </c>
      <c r="B1784" s="4">
        <v>43367</v>
      </c>
      <c r="C1784" s="5">
        <f t="shared" si="784"/>
        <v>40246</v>
      </c>
      <c r="D1784" s="4" t="s">
        <v>78</v>
      </c>
      <c r="E1784" s="4">
        <v>18</v>
      </c>
      <c r="F1784" s="4">
        <v>1221.6199999999999</v>
      </c>
      <c r="G1784" s="4">
        <v>0.01</v>
      </c>
      <c r="H1784" s="4" t="s">
        <v>22</v>
      </c>
      <c r="I1784" s="6">
        <v>-468.64</v>
      </c>
      <c r="J1784" s="4">
        <v>64.650000000000006</v>
      </c>
      <c r="K1784" s="4">
        <v>35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spans="1:21" ht="12" customHeight="1">
      <c r="A1785" s="4">
        <v>6189</v>
      </c>
      <c r="B1785" s="4">
        <v>43875</v>
      </c>
      <c r="C1785" s="5">
        <f t="shared" ref="C1785:C1789" si="785">DATE(2012,12,31)-390</f>
        <v>40884</v>
      </c>
      <c r="D1785" s="4" t="s">
        <v>78</v>
      </c>
      <c r="E1785" s="4">
        <v>24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spans="1:21" ht="12" customHeight="1">
      <c r="A1786" s="4">
        <v>6190</v>
      </c>
      <c r="B1786" s="4">
        <v>43875</v>
      </c>
      <c r="C1786" s="5">
        <f t="shared" si="785"/>
        <v>40884</v>
      </c>
      <c r="D1786" s="4" t="s">
        <v>78</v>
      </c>
      <c r="E1786" s="4">
        <v>17</v>
      </c>
      <c r="F1786" s="4">
        <v>2573.92</v>
      </c>
      <c r="G1786" s="4">
        <v>7.0000000000000007E-2</v>
      </c>
      <c r="H1786" s="4" t="s">
        <v>31</v>
      </c>
      <c r="I1786" s="6">
        <v>117.23</v>
      </c>
      <c r="J1786" s="4">
        <v>150.97999999999999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0.55000000000000004</v>
      </c>
      <c r="U1786" s="5">
        <f t="shared" ref="U1786:U1787" si="786">C1786+2</f>
        <v>40886</v>
      </c>
    </row>
    <row r="1787" spans="1:21" ht="12" customHeight="1">
      <c r="A1787" s="4">
        <v>6191</v>
      </c>
      <c r="B1787" s="4">
        <v>43875</v>
      </c>
      <c r="C1787" s="5">
        <f t="shared" si="785"/>
        <v>40884</v>
      </c>
      <c r="D1787" s="4" t="s">
        <v>78</v>
      </c>
      <c r="E1787" s="4">
        <v>40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6"/>
        <v>40886</v>
      </c>
    </row>
    <row r="1788" spans="1:21" ht="12" customHeight="1">
      <c r="A1788" s="4">
        <v>6192</v>
      </c>
      <c r="B1788" s="4">
        <v>43875</v>
      </c>
      <c r="C1788" s="5">
        <f t="shared" si="785"/>
        <v>40884</v>
      </c>
      <c r="D1788" s="4" t="s">
        <v>78</v>
      </c>
      <c r="E1788" s="4">
        <v>16</v>
      </c>
      <c r="F1788" s="4">
        <v>2795.0039999999999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0.57999999999999996</v>
      </c>
      <c r="U1788" s="5">
        <f>C1788+1</f>
        <v>40885</v>
      </c>
    </row>
    <row r="1789" spans="1:21" ht="12" customHeight="1">
      <c r="A1789" s="4">
        <v>6193</v>
      </c>
      <c r="B1789" s="4">
        <v>43875</v>
      </c>
      <c r="C1789" s="5">
        <f t="shared" si="785"/>
        <v>40884</v>
      </c>
      <c r="D1789" s="4" t="s">
        <v>78</v>
      </c>
      <c r="E1789" s="4">
        <v>25</v>
      </c>
      <c r="F1789" s="4">
        <v>2564.5774999999999</v>
      </c>
      <c r="G1789" s="4">
        <v>7.0000000000000007E-2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0.57999999999999996</v>
      </c>
      <c r="U1789" s="5">
        <f>C1789+2</f>
        <v>40886</v>
      </c>
    </row>
    <row r="1790" spans="1:21" ht="12" customHeight="1">
      <c r="A1790" s="4">
        <v>6242</v>
      </c>
      <c r="B1790" s="4">
        <v>44229</v>
      </c>
      <c r="C1790" s="5">
        <f>DATE(2012,12,31)-962</f>
        <v>40312</v>
      </c>
      <c r="D1790" s="4" t="s">
        <v>63</v>
      </c>
      <c r="E1790" s="4">
        <v>39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spans="1:21" ht="12" customHeight="1">
      <c r="A1791" s="4">
        <v>6268</v>
      </c>
      <c r="B1791" s="4">
        <v>44386</v>
      </c>
      <c r="C1791" s="5">
        <f t="shared" ref="C1791:C1792" si="787">DATE(2012,12,31)-266</f>
        <v>41008</v>
      </c>
      <c r="D1791" s="4" t="s">
        <v>63</v>
      </c>
      <c r="E1791" s="4">
        <v>27</v>
      </c>
      <c r="F1791" s="4">
        <v>129.06</v>
      </c>
      <c r="G1791" s="4">
        <v>0.1</v>
      </c>
      <c r="H1791" s="4" t="s">
        <v>22</v>
      </c>
      <c r="I1791" s="6">
        <v>-75.129499999999993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8">C1791+2</f>
        <v>41010</v>
      </c>
    </row>
    <row r="1792" spans="1:21" ht="12" customHeight="1">
      <c r="A1792" s="4">
        <v>6269</v>
      </c>
      <c r="B1792" s="4">
        <v>44386</v>
      </c>
      <c r="C1792" s="5">
        <f t="shared" si="787"/>
        <v>41008</v>
      </c>
      <c r="D1792" s="4" t="s">
        <v>63</v>
      </c>
      <c r="E1792" s="4">
        <v>43</v>
      </c>
      <c r="F1792" s="4">
        <v>1236.6400000000001</v>
      </c>
      <c r="G1792" s="4">
        <v>0.01</v>
      </c>
      <c r="H1792" s="4" t="s">
        <v>22</v>
      </c>
      <c r="I1792" s="6">
        <v>518.80999999999995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8"/>
        <v>41010</v>
      </c>
    </row>
    <row r="1793" spans="1:21" ht="12" customHeight="1">
      <c r="A1793" s="4">
        <v>6272</v>
      </c>
      <c r="B1793" s="4">
        <v>44390</v>
      </c>
      <c r="C1793" s="5">
        <f>DATE(2012,12,31)-759</f>
        <v>40515</v>
      </c>
      <c r="D1793" s="4" t="s">
        <v>45</v>
      </c>
      <c r="E1793" s="4">
        <v>32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8"/>
        <v>40517</v>
      </c>
    </row>
    <row r="1794" spans="1:21" ht="12" customHeight="1">
      <c r="A1794" s="4">
        <v>6303</v>
      </c>
      <c r="B1794" s="4">
        <v>44612</v>
      </c>
      <c r="C1794" s="5">
        <f>DATE(2012,12,31)-659</f>
        <v>40615</v>
      </c>
      <c r="D1794" s="4" t="s">
        <v>30</v>
      </c>
      <c r="E1794" s="4">
        <v>6</v>
      </c>
      <c r="F1794" s="4">
        <v>428.72300000000001</v>
      </c>
      <c r="G1794" s="4">
        <v>0.06</v>
      </c>
      <c r="H1794" s="4" t="s">
        <v>22</v>
      </c>
      <c r="I1794" s="6">
        <v>-147.71899999999999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8"/>
        <v>40617</v>
      </c>
    </row>
    <row r="1795" spans="1:21" ht="12" customHeight="1">
      <c r="A1795" s="4">
        <v>6307</v>
      </c>
      <c r="B1795" s="4">
        <v>44614</v>
      </c>
      <c r="C1795" s="5">
        <f t="shared" ref="C1795:C1796" si="789">DATE(2012,12,31)-931</f>
        <v>40343</v>
      </c>
      <c r="D1795" s="4" t="s">
        <v>21</v>
      </c>
      <c r="E1795" s="4">
        <v>18</v>
      </c>
      <c r="F1795" s="4">
        <v>55.35</v>
      </c>
      <c r="G1795" s="4">
        <v>0</v>
      </c>
      <c r="H1795" s="4" t="s">
        <v>56</v>
      </c>
      <c r="I1795" s="6">
        <v>-56.63</v>
      </c>
      <c r="J1795" s="4">
        <v>2.2200000000000002</v>
      </c>
      <c r="K1795" s="4">
        <v>5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0.55000000000000004</v>
      </c>
      <c r="U1795" s="5">
        <f>C1795+4</f>
        <v>40347</v>
      </c>
    </row>
    <row r="1796" spans="1:21" ht="12" customHeight="1">
      <c r="A1796" s="4">
        <v>6308</v>
      </c>
      <c r="B1796" s="4">
        <v>44614</v>
      </c>
      <c r="C1796" s="5">
        <f t="shared" si="789"/>
        <v>40343</v>
      </c>
      <c r="D1796" s="4" t="s">
        <v>21</v>
      </c>
      <c r="E1796" s="4">
        <v>27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spans="1:21" ht="12" customHeight="1">
      <c r="A1797" s="4">
        <v>6309</v>
      </c>
      <c r="B1797" s="4">
        <v>44615</v>
      </c>
      <c r="C1797" s="5">
        <f>DATE(2012,12,31)-967</f>
        <v>40307</v>
      </c>
      <c r="D1797" s="4" t="s">
        <v>63</v>
      </c>
      <c r="E1797" s="4">
        <v>19</v>
      </c>
      <c r="F1797" s="4">
        <v>36.369999999999997</v>
      </c>
      <c r="G1797" s="4">
        <v>7.0000000000000007E-2</v>
      </c>
      <c r="H1797" s="4" t="s">
        <v>22</v>
      </c>
      <c r="I1797" s="6">
        <v>-10.257999999999999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spans="1:21" ht="12" customHeight="1">
      <c r="A1798" s="4">
        <v>6331</v>
      </c>
      <c r="B1798" s="4">
        <v>44864</v>
      </c>
      <c r="C1798" s="5">
        <f>DATE(2012,12,31)-928</f>
        <v>40346</v>
      </c>
      <c r="D1798" s="4" t="s">
        <v>21</v>
      </c>
      <c r="E1798" s="4">
        <v>25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0.57999999999999996</v>
      </c>
      <c r="U1798" s="5">
        <f>C1798+7</f>
        <v>40353</v>
      </c>
    </row>
    <row r="1799" spans="1:21" ht="12" customHeight="1">
      <c r="A1799" s="4">
        <v>6336</v>
      </c>
      <c r="B1799" s="4">
        <v>44900</v>
      </c>
      <c r="C1799" s="5">
        <f>DATE(2012,12,31)-1056</f>
        <v>40218</v>
      </c>
      <c r="D1799" s="4" t="s">
        <v>63</v>
      </c>
      <c r="E1799" s="4">
        <v>4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spans="1:21" ht="12" customHeight="1">
      <c r="A1800" s="4">
        <v>6340</v>
      </c>
      <c r="B1800" s="4">
        <v>44960</v>
      </c>
      <c r="C1800" s="5">
        <f t="shared" ref="C1800:C1802" si="790">DATE(2012,12,31)-608</f>
        <v>40666</v>
      </c>
      <c r="D1800" s="4" t="s">
        <v>21</v>
      </c>
      <c r="E1800" s="4">
        <v>16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spans="1:21" ht="12" customHeight="1">
      <c r="A1801" s="4">
        <v>6341</v>
      </c>
      <c r="B1801" s="4">
        <v>44960</v>
      </c>
      <c r="C1801" s="5">
        <f t="shared" si="790"/>
        <v>40666</v>
      </c>
      <c r="D1801" s="4" t="s">
        <v>21</v>
      </c>
      <c r="E1801" s="4">
        <v>22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spans="1:21" ht="12" customHeight="1">
      <c r="A1802" s="4">
        <v>6342</v>
      </c>
      <c r="B1802" s="4">
        <v>44960</v>
      </c>
      <c r="C1802" s="5">
        <f t="shared" si="790"/>
        <v>40666</v>
      </c>
      <c r="D1802" s="4" t="s">
        <v>21</v>
      </c>
      <c r="E1802" s="4">
        <v>17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spans="1:21" ht="12" customHeight="1">
      <c r="A1803" s="4">
        <v>6346</v>
      </c>
      <c r="B1803" s="4">
        <v>44992</v>
      </c>
      <c r="C1803" s="5">
        <f t="shared" ref="C1803:C1804" si="791">DATE(2012,12,31)-7</f>
        <v>41267</v>
      </c>
      <c r="D1803" s="4" t="s">
        <v>78</v>
      </c>
      <c r="E1803" s="4">
        <v>32</v>
      </c>
      <c r="F1803" s="4">
        <v>1673.53</v>
      </c>
      <c r="G1803" s="4">
        <v>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2">C1803+2</f>
        <v>41269</v>
      </c>
    </row>
    <row r="1804" spans="1:21" ht="12" customHeight="1">
      <c r="A1804" s="4">
        <v>6347</v>
      </c>
      <c r="B1804" s="4">
        <v>44992</v>
      </c>
      <c r="C1804" s="5">
        <f t="shared" si="791"/>
        <v>41267</v>
      </c>
      <c r="D1804" s="4" t="s">
        <v>78</v>
      </c>
      <c r="E1804" s="4">
        <v>32</v>
      </c>
      <c r="F1804" s="4">
        <v>7110.24</v>
      </c>
      <c r="G1804" s="4">
        <v>0.06</v>
      </c>
      <c r="H1804" s="4" t="s">
        <v>31</v>
      </c>
      <c r="I1804" s="6">
        <v>-536.16600000000005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2"/>
        <v>41269</v>
      </c>
    </row>
    <row r="1805" spans="1:21" ht="12" customHeight="1">
      <c r="A1805" s="4">
        <v>6359</v>
      </c>
      <c r="B1805" s="4">
        <v>45125</v>
      </c>
      <c r="C1805" s="5">
        <f t="shared" ref="C1805:C1806" si="793">DATE(2012,12,31)-217</f>
        <v>41057</v>
      </c>
      <c r="D1805" s="4" t="s">
        <v>78</v>
      </c>
      <c r="E1805" s="4">
        <v>6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160.97999999999999</v>
      </c>
      <c r="K1805" s="4">
        <v>35.020000000000003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4">C1805+1</f>
        <v>41058</v>
      </c>
    </row>
    <row r="1806" spans="1:21" ht="12" customHeight="1">
      <c r="A1806" s="4">
        <v>6360</v>
      </c>
      <c r="B1806" s="4">
        <v>45125</v>
      </c>
      <c r="C1806" s="5">
        <f t="shared" si="793"/>
        <v>41057</v>
      </c>
      <c r="D1806" s="4" t="s">
        <v>78</v>
      </c>
      <c r="E1806" s="4">
        <v>32</v>
      </c>
      <c r="F1806" s="4">
        <v>4834.8</v>
      </c>
      <c r="G1806" s="4">
        <v>0</v>
      </c>
      <c r="H1806" s="4" t="s">
        <v>22</v>
      </c>
      <c r="I1806" s="6">
        <v>1193.1120000000001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4"/>
        <v>41058</v>
      </c>
    </row>
    <row r="1807" spans="1:21" ht="12" customHeight="1">
      <c r="A1807" s="4">
        <v>6371</v>
      </c>
      <c r="B1807" s="4">
        <v>45190</v>
      </c>
      <c r="C1807" s="5">
        <f>DATE(2012,12,31)-773</f>
        <v>40501</v>
      </c>
      <c r="D1807" s="4" t="s">
        <v>30</v>
      </c>
      <c r="E1807" s="4">
        <v>13</v>
      </c>
      <c r="F1807" s="4">
        <v>2084.96</v>
      </c>
      <c r="G1807" s="4">
        <v>0</v>
      </c>
      <c r="H1807" s="4" t="s">
        <v>31</v>
      </c>
      <c r="I1807" s="6">
        <v>135.26</v>
      </c>
      <c r="J1807" s="4">
        <v>150.97999999999999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0.55000000000000004</v>
      </c>
      <c r="U1807" s="5">
        <f t="shared" ref="U1807:U1808" si="795">C1807+0</f>
        <v>40501</v>
      </c>
    </row>
    <row r="1808" spans="1:21" ht="12" customHeight="1">
      <c r="A1808" s="4">
        <v>6429</v>
      </c>
      <c r="B1808" s="4">
        <v>45700</v>
      </c>
      <c r="C1808" s="5">
        <f>DATE(2012,12,31)-48</f>
        <v>41226</v>
      </c>
      <c r="D1808" s="4" t="s">
        <v>30</v>
      </c>
      <c r="E1808" s="4">
        <v>43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0.56000000000000005</v>
      </c>
      <c r="U1808" s="5">
        <f t="shared" si="795"/>
        <v>41226</v>
      </c>
    </row>
    <row r="1809" spans="1:21" ht="12" customHeight="1">
      <c r="A1809" s="4">
        <v>6461</v>
      </c>
      <c r="B1809" s="4">
        <v>45991</v>
      </c>
      <c r="C1809" s="5">
        <f t="shared" ref="C1809:C1810" si="796">DATE(2012,12,31)-686</f>
        <v>40588</v>
      </c>
      <c r="D1809" s="4" t="s">
        <v>21</v>
      </c>
      <c r="E1809" s="4">
        <v>1</v>
      </c>
      <c r="F1809" s="4">
        <v>131.27000000000001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35.840000000000003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spans="1:21" ht="12" customHeight="1">
      <c r="A1810" s="4">
        <v>6462</v>
      </c>
      <c r="B1810" s="4">
        <v>45991</v>
      </c>
      <c r="C1810" s="5">
        <f t="shared" si="796"/>
        <v>40588</v>
      </c>
      <c r="D1810" s="4" t="s">
        <v>21</v>
      </c>
      <c r="E1810" s="4">
        <v>50</v>
      </c>
      <c r="F1810" s="4">
        <v>196.39</v>
      </c>
      <c r="G1810" s="4">
        <v>7.0000000000000007E-2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spans="1:21" ht="12" customHeight="1">
      <c r="A1811" s="4">
        <v>6502</v>
      </c>
      <c r="B1811" s="4">
        <v>46307</v>
      </c>
      <c r="C1811" s="5">
        <f t="shared" ref="C1811:C1812" si="797">DATE(2012,12,31)-694</f>
        <v>40580</v>
      </c>
      <c r="D1811" s="4" t="s">
        <v>63</v>
      </c>
      <c r="E1811" s="4">
        <v>32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spans="1:21" ht="12" customHeight="1">
      <c r="A1812" s="4">
        <v>6503</v>
      </c>
      <c r="B1812" s="4">
        <v>46307</v>
      </c>
      <c r="C1812" s="5">
        <f t="shared" si="797"/>
        <v>40580</v>
      </c>
      <c r="D1812" s="4" t="s">
        <v>63</v>
      </c>
      <c r="E1812" s="4">
        <v>27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spans="1:21" ht="12" customHeight="1">
      <c r="A1813" s="4">
        <v>6524</v>
      </c>
      <c r="B1813" s="4">
        <v>46434</v>
      </c>
      <c r="C1813" s="5">
        <f>DATE(2012,12,31)-1005</f>
        <v>40269</v>
      </c>
      <c r="D1813" s="4" t="s">
        <v>78</v>
      </c>
      <c r="E1813" s="4">
        <v>34</v>
      </c>
      <c r="F1813" s="4">
        <v>800.39</v>
      </c>
      <c r="G1813" s="4">
        <v>0.06</v>
      </c>
      <c r="H1813" s="4" t="s">
        <v>22</v>
      </c>
      <c r="I1813" s="6">
        <v>270.29149999999998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8">C1813+1</f>
        <v>40270</v>
      </c>
    </row>
    <row r="1814" spans="1:21" ht="12" customHeight="1">
      <c r="A1814" s="4">
        <v>6527</v>
      </c>
      <c r="B1814" s="4">
        <v>46466</v>
      </c>
      <c r="C1814" s="5">
        <f>DATE(2012,12,31)-314</f>
        <v>40960</v>
      </c>
      <c r="D1814" s="4" t="s">
        <v>63</v>
      </c>
      <c r="E1814" s="4">
        <v>7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8"/>
        <v>40961</v>
      </c>
    </row>
    <row r="1815" spans="1:21" ht="12" customHeight="1">
      <c r="A1815" s="4">
        <v>6558</v>
      </c>
      <c r="B1815" s="4">
        <v>46626</v>
      </c>
      <c r="C1815" s="5">
        <f>DATE(2012,12,31)-187</f>
        <v>41087</v>
      </c>
      <c r="D1815" s="4" t="s">
        <v>21</v>
      </c>
      <c r="E1815" s="4">
        <v>8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0.57999999999999996</v>
      </c>
      <c r="U1815" s="5">
        <f>C1815+4</f>
        <v>41091</v>
      </c>
    </row>
    <row r="1816" spans="1:21" ht="12" customHeight="1">
      <c r="A1816" s="4">
        <v>6582</v>
      </c>
      <c r="B1816" s="4">
        <v>46855</v>
      </c>
      <c r="C1816" s="5">
        <f>DATE(2012,12,31)-1032</f>
        <v>40242</v>
      </c>
      <c r="D1816" s="4" t="s">
        <v>30</v>
      </c>
      <c r="E1816" s="4">
        <v>32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spans="1:21" ht="12" customHeight="1">
      <c r="A1817" s="4">
        <v>6599</v>
      </c>
      <c r="B1817" s="4">
        <v>46977</v>
      </c>
      <c r="C1817" s="5">
        <f t="shared" ref="C1817:C1818" si="799">DATE(2012,12,31)-238</f>
        <v>41036</v>
      </c>
      <c r="D1817" s="4" t="s">
        <v>63</v>
      </c>
      <c r="E1817" s="4">
        <v>10</v>
      </c>
      <c r="F1817" s="4">
        <v>50.42</v>
      </c>
      <c r="G1817" s="4">
        <v>0.06</v>
      </c>
      <c r="H1817" s="4" t="s">
        <v>22</v>
      </c>
      <c r="I1817" s="6">
        <v>7.2504999999999997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0">C1817+2</f>
        <v>41038</v>
      </c>
    </row>
    <row r="1818" spans="1:21" ht="12" customHeight="1">
      <c r="A1818" s="4">
        <v>6600</v>
      </c>
      <c r="B1818" s="4">
        <v>46977</v>
      </c>
      <c r="C1818" s="5">
        <f t="shared" si="799"/>
        <v>41036</v>
      </c>
      <c r="D1818" s="4" t="s">
        <v>63</v>
      </c>
      <c r="E1818" s="4">
        <v>19</v>
      </c>
      <c r="F1818" s="4">
        <v>2980.3719999999998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0.56999999999999995</v>
      </c>
      <c r="U1818" s="5">
        <f t="shared" si="800"/>
        <v>41038</v>
      </c>
    </row>
    <row r="1819" spans="1:21" ht="12" customHeight="1">
      <c r="A1819" s="4">
        <v>6612</v>
      </c>
      <c r="B1819" s="4">
        <v>47041</v>
      </c>
      <c r="C1819" s="5">
        <f>DATE(2012,12,31)-274</f>
        <v>41000</v>
      </c>
      <c r="D1819" s="4" t="s">
        <v>45</v>
      </c>
      <c r="E1819" s="4">
        <v>35</v>
      </c>
      <c r="F1819" s="4">
        <v>154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0"/>
        <v>41002</v>
      </c>
    </row>
    <row r="1820" spans="1:21" ht="12" customHeight="1">
      <c r="A1820" s="4">
        <v>6650</v>
      </c>
      <c r="B1820" s="4">
        <v>47301</v>
      </c>
      <c r="C1820" s="5">
        <f>DATE(2012,12,31)-533</f>
        <v>40741</v>
      </c>
      <c r="D1820" s="4" t="s">
        <v>21</v>
      </c>
      <c r="E1820" s="4">
        <v>6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spans="1:21" ht="12" customHeight="1">
      <c r="A1821" s="4">
        <v>6701</v>
      </c>
      <c r="B1821" s="4">
        <v>47714</v>
      </c>
      <c r="C1821" s="5">
        <f>DATE(2012,12,31)-662</f>
        <v>40612</v>
      </c>
      <c r="D1821" s="4" t="s">
        <v>63</v>
      </c>
      <c r="E1821" s="4">
        <v>29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spans="1:21" ht="12" customHeight="1">
      <c r="A1822" s="4">
        <v>6742</v>
      </c>
      <c r="B1822" s="4">
        <v>48003</v>
      </c>
      <c r="C1822" s="5">
        <f t="shared" ref="C1822:C1823" si="801">DATE(2012,12,31)-340</f>
        <v>40934</v>
      </c>
      <c r="D1822" s="4" t="s">
        <v>63</v>
      </c>
      <c r="E1822" s="4">
        <v>30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2">C1822+2</f>
        <v>40936</v>
      </c>
    </row>
    <row r="1823" spans="1:21" ht="12" customHeight="1">
      <c r="A1823" s="4">
        <v>6743</v>
      </c>
      <c r="B1823" s="4">
        <v>48003</v>
      </c>
      <c r="C1823" s="5">
        <f t="shared" si="801"/>
        <v>40934</v>
      </c>
      <c r="D1823" s="4" t="s">
        <v>63</v>
      </c>
      <c r="E1823" s="4">
        <v>12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2"/>
        <v>40936</v>
      </c>
    </row>
    <row r="1824" spans="1:21" ht="12" customHeight="1">
      <c r="A1824" s="4">
        <v>6766</v>
      </c>
      <c r="B1824" s="4">
        <v>48195</v>
      </c>
      <c r="C1824" s="5">
        <f t="shared" ref="C1824:C1826" si="803">DATE(2012,12,31)-765</f>
        <v>40509</v>
      </c>
      <c r="D1824" s="4" t="s">
        <v>45</v>
      </c>
      <c r="E1824" s="4">
        <v>35</v>
      </c>
      <c r="F1824" s="4">
        <v>3337.5164999999997</v>
      </c>
      <c r="G1824" s="4">
        <v>7.0000000000000007E-2</v>
      </c>
      <c r="H1824" s="4" t="s">
        <v>22</v>
      </c>
      <c r="I1824" s="6">
        <v>850.53599999999994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0.56999999999999995</v>
      </c>
      <c r="U1824" s="5">
        <f>C1824+1</f>
        <v>40510</v>
      </c>
    </row>
    <row r="1825" spans="1:21" ht="12" customHeight="1">
      <c r="A1825" s="4">
        <v>6767</v>
      </c>
      <c r="B1825" s="4">
        <v>48195</v>
      </c>
      <c r="C1825" s="5">
        <f t="shared" si="803"/>
        <v>40509</v>
      </c>
      <c r="D1825" s="4" t="s">
        <v>45</v>
      </c>
      <c r="E1825" s="4">
        <v>35</v>
      </c>
      <c r="F1825" s="4">
        <v>1018.4019999999999</v>
      </c>
      <c r="G1825" s="4">
        <v>0.09</v>
      </c>
      <c r="H1825" s="4" t="s">
        <v>22</v>
      </c>
      <c r="I1825" s="6">
        <v>296.86500000000001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spans="1:21" ht="12" customHeight="1">
      <c r="A1826" s="4">
        <v>6768</v>
      </c>
      <c r="B1826" s="4">
        <v>48195</v>
      </c>
      <c r="C1826" s="5">
        <f t="shared" si="803"/>
        <v>40509</v>
      </c>
      <c r="D1826" s="4" t="s">
        <v>45</v>
      </c>
      <c r="E1826" s="4">
        <v>47</v>
      </c>
      <c r="F1826" s="4">
        <v>2679.1234999999997</v>
      </c>
      <c r="G1826" s="4">
        <v>0.01</v>
      </c>
      <c r="H1826" s="4" t="s">
        <v>22</v>
      </c>
      <c r="I1826" s="6">
        <v>47.277000000000001</v>
      </c>
      <c r="J1826" s="4">
        <v>65.989999999999995</v>
      </c>
      <c r="K1826" s="4">
        <v>19.989999999999998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spans="1:21" ht="12" customHeight="1">
      <c r="A1827" s="4">
        <v>6826</v>
      </c>
      <c r="B1827" s="4">
        <v>48615</v>
      </c>
      <c r="C1827" s="5">
        <f t="shared" ref="C1827:C1828" si="804">DATE(2012,12,31)-28</f>
        <v>41246</v>
      </c>
      <c r="D1827" s="4" t="s">
        <v>21</v>
      </c>
      <c r="E1827" s="4">
        <v>4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spans="1:21" ht="12" customHeight="1">
      <c r="A1828" s="4">
        <v>6827</v>
      </c>
      <c r="B1828" s="4">
        <v>48615</v>
      </c>
      <c r="C1828" s="5">
        <f t="shared" si="804"/>
        <v>41246</v>
      </c>
      <c r="D1828" s="4" t="s">
        <v>21</v>
      </c>
      <c r="E1828" s="4">
        <v>8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spans="1:21" ht="12" customHeight="1">
      <c r="A1829" s="4">
        <v>6831</v>
      </c>
      <c r="B1829" s="4">
        <v>48642</v>
      </c>
      <c r="C1829" s="5">
        <f t="shared" ref="C1829:C1830" si="805">DATE(2012,12,31)-1064</f>
        <v>40210</v>
      </c>
      <c r="D1829" s="4" t="s">
        <v>30</v>
      </c>
      <c r="E1829" s="4">
        <v>4</v>
      </c>
      <c r="F1829" s="4">
        <v>37.729999999999997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0.57999999999999996</v>
      </c>
      <c r="U1829" s="5">
        <f>C1829+2</f>
        <v>40212</v>
      </c>
    </row>
    <row r="1830" spans="1:21" ht="12" customHeight="1">
      <c r="A1830" s="4">
        <v>6832</v>
      </c>
      <c r="B1830" s="4">
        <v>48642</v>
      </c>
      <c r="C1830" s="5">
        <f t="shared" si="805"/>
        <v>40210</v>
      </c>
      <c r="D1830" s="4" t="s">
        <v>30</v>
      </c>
      <c r="E1830" s="4">
        <v>5</v>
      </c>
      <c r="F1830" s="4">
        <v>519.69000000000005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spans="1:21" ht="12" customHeight="1">
      <c r="A1831" s="4">
        <v>6888</v>
      </c>
      <c r="B1831" s="4">
        <v>49094</v>
      </c>
      <c r="C1831" s="5">
        <f>DATE(2012,12,31)-119</f>
        <v>41155</v>
      </c>
      <c r="D1831" s="4" t="s">
        <v>78</v>
      </c>
      <c r="E1831" s="4">
        <v>31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spans="1:21" ht="12" customHeight="1">
      <c r="A1832" s="4">
        <v>6940</v>
      </c>
      <c r="B1832" s="4">
        <v>49538</v>
      </c>
      <c r="C1832" s="5">
        <f>DATE(2012,12,31)-1020</f>
        <v>40254</v>
      </c>
      <c r="D1832" s="4" t="s">
        <v>21</v>
      </c>
      <c r="E1832" s="4">
        <v>29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spans="1:21" ht="12" customHeight="1">
      <c r="A1833" s="4">
        <v>6985</v>
      </c>
      <c r="B1833" s="4">
        <v>49924</v>
      </c>
      <c r="C1833" s="5">
        <f t="shared" ref="C1833:C1834" si="806">DATE(2012,12,31)-586</f>
        <v>40688</v>
      </c>
      <c r="D1833" s="4" t="s">
        <v>78</v>
      </c>
      <c r="E1833" s="4">
        <v>48</v>
      </c>
      <c r="F1833" s="4">
        <v>204.15</v>
      </c>
      <c r="G1833" s="4">
        <v>7.0000000000000007E-2</v>
      </c>
      <c r="H1833" s="4" t="s">
        <v>22</v>
      </c>
      <c r="I1833" s="6">
        <v>-155.52600000000001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7">C1833+2</f>
        <v>40690</v>
      </c>
    </row>
    <row r="1834" spans="1:21" ht="12" customHeight="1">
      <c r="A1834" s="4">
        <v>6986</v>
      </c>
      <c r="B1834" s="4">
        <v>49924</v>
      </c>
      <c r="C1834" s="5">
        <f t="shared" si="806"/>
        <v>40688</v>
      </c>
      <c r="D1834" s="4" t="s">
        <v>78</v>
      </c>
      <c r="E1834" s="4">
        <v>13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7"/>
        <v>40690</v>
      </c>
    </row>
    <row r="1835" spans="1:21" ht="12" customHeight="1">
      <c r="A1835" s="4">
        <v>7046</v>
      </c>
      <c r="B1835" s="4">
        <v>50306</v>
      </c>
      <c r="C1835" s="5">
        <f>DATE(2012,12,31)-591</f>
        <v>40683</v>
      </c>
      <c r="D1835" s="4" t="s">
        <v>63</v>
      </c>
      <c r="E1835" s="4">
        <v>34</v>
      </c>
      <c r="F1835" s="4">
        <v>2010.89</v>
      </c>
      <c r="G1835" s="4">
        <v>0.09</v>
      </c>
      <c r="H1835" s="4" t="s">
        <v>22</v>
      </c>
      <c r="I1835" s="6">
        <v>564.06849999999997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7"/>
        <v>40685</v>
      </c>
    </row>
    <row r="1836" spans="1:21" ht="12" customHeight="1">
      <c r="A1836" s="4">
        <v>7088</v>
      </c>
      <c r="B1836" s="4">
        <v>50566</v>
      </c>
      <c r="C1836" s="5">
        <f>DATE(2012,12,31)-481</f>
        <v>40793</v>
      </c>
      <c r="D1836" s="4" t="s">
        <v>45</v>
      </c>
      <c r="E1836" s="4">
        <v>48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0.57999999999999996</v>
      </c>
      <c r="U1836" s="5">
        <f t="shared" si="807"/>
        <v>40795</v>
      </c>
    </row>
    <row r="1837" spans="1:21" ht="12" customHeight="1">
      <c r="A1837" s="4">
        <v>7131</v>
      </c>
      <c r="B1837" s="4">
        <v>50854</v>
      </c>
      <c r="C1837" s="5">
        <f t="shared" ref="C1837:C1839" si="808">DATE(2012,12,31)-380</f>
        <v>40894</v>
      </c>
      <c r="D1837" s="4" t="s">
        <v>78</v>
      </c>
      <c r="E1837" s="4">
        <v>27</v>
      </c>
      <c r="F1837" s="4">
        <v>137.5</v>
      </c>
      <c r="G1837" s="4">
        <v>7.0000000000000007E-2</v>
      </c>
      <c r="H1837" s="4" t="s">
        <v>22</v>
      </c>
      <c r="I1837" s="6">
        <v>-64.239000000000004</v>
      </c>
      <c r="J1837" s="4">
        <v>4.9800000000000004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spans="1:21" ht="12" customHeight="1">
      <c r="A1838" s="4">
        <v>7132</v>
      </c>
      <c r="B1838" s="4">
        <v>50854</v>
      </c>
      <c r="C1838" s="5">
        <f t="shared" si="808"/>
        <v>40894</v>
      </c>
      <c r="D1838" s="4" t="s">
        <v>78</v>
      </c>
      <c r="E1838" s="4">
        <v>12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spans="1:21" ht="12" customHeight="1">
      <c r="A1839" s="4">
        <v>7133</v>
      </c>
      <c r="B1839" s="4">
        <v>50854</v>
      </c>
      <c r="C1839" s="5">
        <f t="shared" si="808"/>
        <v>40894</v>
      </c>
      <c r="D1839" s="4" t="s">
        <v>78</v>
      </c>
      <c r="E1839" s="4">
        <v>42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0.56999999999999995</v>
      </c>
      <c r="U1839" s="5">
        <f>C1839+0</f>
        <v>40894</v>
      </c>
    </row>
    <row r="1840" spans="1:21" ht="12" customHeight="1">
      <c r="A1840" s="4">
        <v>7163</v>
      </c>
      <c r="B1840" s="4">
        <v>51109</v>
      </c>
      <c r="C1840" s="5">
        <f>DATE(2012,12,31)-53</f>
        <v>41221</v>
      </c>
      <c r="D1840" s="4" t="s">
        <v>30</v>
      </c>
      <c r="E1840" s="4">
        <v>28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spans="1:21" ht="12" customHeight="1">
      <c r="A1841" s="4">
        <v>7204</v>
      </c>
      <c r="B1841" s="4">
        <v>51395</v>
      </c>
      <c r="C1841" s="5">
        <f t="shared" ref="C1841:C1842" si="809">DATE(2012,12,31)-936</f>
        <v>40338</v>
      </c>
      <c r="D1841" s="4" t="s">
        <v>21</v>
      </c>
      <c r="E1841" s="4">
        <v>26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spans="1:21" ht="12" customHeight="1">
      <c r="A1842" s="4">
        <v>7205</v>
      </c>
      <c r="B1842" s="4">
        <v>51395</v>
      </c>
      <c r="C1842" s="5">
        <f t="shared" si="809"/>
        <v>40338</v>
      </c>
      <c r="D1842" s="4" t="s">
        <v>21</v>
      </c>
      <c r="E1842" s="4">
        <v>10</v>
      </c>
      <c r="F1842" s="4">
        <v>51.65</v>
      </c>
      <c r="G1842" s="4">
        <v>0.1</v>
      </c>
      <c r="H1842" s="4" t="s">
        <v>22</v>
      </c>
      <c r="I1842" s="6">
        <v>-32.130000000000003</v>
      </c>
      <c r="J1842" s="4">
        <v>4.9800000000000004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spans="1:21" ht="12" customHeight="1">
      <c r="A1843" s="4">
        <v>7234</v>
      </c>
      <c r="B1843" s="4">
        <v>51559</v>
      </c>
      <c r="C1843" s="5">
        <f>DATE(2012,12,31)-302</f>
        <v>40972</v>
      </c>
      <c r="D1843" s="4" t="s">
        <v>21</v>
      </c>
      <c r="E1843" s="4">
        <v>34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0.56999999999999995</v>
      </c>
      <c r="U1843" s="5">
        <f>C1843+9</f>
        <v>40981</v>
      </c>
    </row>
    <row r="1844" spans="1:21" ht="12" customHeight="1">
      <c r="A1844" s="4">
        <v>7262</v>
      </c>
      <c r="B1844" s="4">
        <v>51813</v>
      </c>
      <c r="C1844" s="5">
        <f>DATE(2012,12,31)-10</f>
        <v>41264</v>
      </c>
      <c r="D1844" s="4" t="s">
        <v>45</v>
      </c>
      <c r="E1844" s="4">
        <v>13</v>
      </c>
      <c r="F1844" s="4">
        <v>1390.17</v>
      </c>
      <c r="G1844" s="4">
        <v>7.0000000000000007E-2</v>
      </c>
      <c r="H1844" s="4" t="s">
        <v>22</v>
      </c>
      <c r="I1844" s="6">
        <v>-469.84</v>
      </c>
      <c r="J1844" s="4">
        <v>110.98</v>
      </c>
      <c r="K1844" s="4">
        <v>35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spans="1:21" ht="12" customHeight="1">
      <c r="A1845" s="4">
        <v>7307</v>
      </c>
      <c r="B1845" s="4">
        <v>52098</v>
      </c>
      <c r="C1845" s="5">
        <f>DATE(2012,12,31)-1027</f>
        <v>40247</v>
      </c>
      <c r="D1845" s="4" t="s">
        <v>63</v>
      </c>
      <c r="E1845" s="4">
        <v>19</v>
      </c>
      <c r="F1845" s="4">
        <v>812.06</v>
      </c>
      <c r="G1845" s="4">
        <v>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0">C1845+0</f>
        <v>40247</v>
      </c>
    </row>
    <row r="1846" spans="1:21" ht="12" customHeight="1">
      <c r="A1846" s="4">
        <v>7308</v>
      </c>
      <c r="B1846" s="4">
        <v>52102</v>
      </c>
      <c r="C1846" s="5">
        <f>DATE(2012,12,31)-841</f>
        <v>40433</v>
      </c>
      <c r="D1846" s="4" t="s">
        <v>63</v>
      </c>
      <c r="E1846" s="4">
        <v>8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0"/>
        <v>40433</v>
      </c>
    </row>
    <row r="1847" spans="1:21" ht="12" customHeight="1">
      <c r="A1847" s="4">
        <v>7312</v>
      </c>
      <c r="B1847" s="4">
        <v>52135</v>
      </c>
      <c r="C1847" s="5">
        <f>DATE(2012,12,31)-1013</f>
        <v>40261</v>
      </c>
      <c r="D1847" s="4" t="s">
        <v>21</v>
      </c>
      <c r="E1847" s="4">
        <v>38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19.989999999999998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spans="1:21" ht="12" customHeight="1">
      <c r="A1848" s="4">
        <v>7315</v>
      </c>
      <c r="B1848" s="4">
        <v>52162</v>
      </c>
      <c r="C1848" s="5">
        <f t="shared" ref="C1848:C1849" si="811">DATE(2012,12,31)-426</f>
        <v>40848</v>
      </c>
      <c r="D1848" s="4" t="s">
        <v>45</v>
      </c>
      <c r="E1848" s="4">
        <v>39</v>
      </c>
      <c r="F1848" s="4">
        <v>261.16000000000003</v>
      </c>
      <c r="G1848" s="4">
        <v>7.0000000000000007E-2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0.56000000000000005</v>
      </c>
      <c r="U1848" s="5">
        <f>C1848+0</f>
        <v>40848</v>
      </c>
    </row>
    <row r="1849" spans="1:21" ht="12" customHeight="1">
      <c r="A1849" s="4">
        <v>7316</v>
      </c>
      <c r="B1849" s="4">
        <v>52162</v>
      </c>
      <c r="C1849" s="5">
        <f t="shared" si="811"/>
        <v>40848</v>
      </c>
      <c r="D1849" s="4" t="s">
        <v>45</v>
      </c>
      <c r="E1849" s="4">
        <v>47</v>
      </c>
      <c r="F1849" s="4">
        <v>155.22</v>
      </c>
      <c r="G1849" s="4">
        <v>7.0000000000000007E-2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0.55000000000000004</v>
      </c>
      <c r="U1849" s="5">
        <f>C1849+1</f>
        <v>40849</v>
      </c>
    </row>
    <row r="1850" spans="1:21" ht="12" customHeight="1">
      <c r="A1850" s="4">
        <v>7332</v>
      </c>
      <c r="B1850" s="4">
        <v>52256</v>
      </c>
      <c r="C1850" s="5">
        <f>DATE(2012,12,31)-788</f>
        <v>40486</v>
      </c>
      <c r="D1850" s="4" t="s">
        <v>45</v>
      </c>
      <c r="E1850" s="4">
        <v>23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65.989999999999995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spans="1:21" ht="12" customHeight="1">
      <c r="A1851" s="4">
        <v>7384</v>
      </c>
      <c r="B1851" s="4">
        <v>52642</v>
      </c>
      <c r="C1851" s="5">
        <f t="shared" ref="C1851:C1853" si="812">DATE(2012,12,31)-566</f>
        <v>40708</v>
      </c>
      <c r="D1851" s="4" t="s">
        <v>21</v>
      </c>
      <c r="E1851" s="4">
        <v>9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spans="1:21" ht="12" customHeight="1">
      <c r="A1852" s="4">
        <v>7385</v>
      </c>
      <c r="B1852" s="4">
        <v>52642</v>
      </c>
      <c r="C1852" s="5">
        <f t="shared" si="812"/>
        <v>40708</v>
      </c>
      <c r="D1852" s="4" t="s">
        <v>21</v>
      </c>
      <c r="E1852" s="4">
        <v>14</v>
      </c>
      <c r="F1852" s="4">
        <v>2070.6799999999998</v>
      </c>
      <c r="G1852" s="4">
        <v>0.03</v>
      </c>
      <c r="H1852" s="4" t="s">
        <v>22</v>
      </c>
      <c r="I1852" s="6">
        <v>-281.67</v>
      </c>
      <c r="J1852" s="4">
        <v>152.47999999999999</v>
      </c>
      <c r="K1852" s="4">
        <v>4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3">C1852+7</f>
        <v>40715</v>
      </c>
    </row>
    <row r="1853" spans="1:21" ht="12" customHeight="1">
      <c r="A1853" s="4">
        <v>7386</v>
      </c>
      <c r="B1853" s="4">
        <v>52642</v>
      </c>
      <c r="C1853" s="5">
        <f t="shared" si="812"/>
        <v>40708</v>
      </c>
      <c r="D1853" s="4" t="s">
        <v>21</v>
      </c>
      <c r="E1853" s="4">
        <v>15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4.8600000000000003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3"/>
        <v>40715</v>
      </c>
    </row>
    <row r="1854" spans="1:21" ht="12" customHeight="1">
      <c r="A1854" s="4">
        <v>7387</v>
      </c>
      <c r="B1854" s="4">
        <v>52645</v>
      </c>
      <c r="C1854" s="5">
        <f t="shared" ref="C1854:C1855" si="814">DATE(2012,12,31)-299</f>
        <v>40975</v>
      </c>
      <c r="D1854" s="4" t="s">
        <v>21</v>
      </c>
      <c r="E1854" s="4">
        <v>11</v>
      </c>
      <c r="F1854" s="4">
        <v>64.34</v>
      </c>
      <c r="G1854" s="4">
        <v>0.09</v>
      </c>
      <c r="H1854" s="4" t="s">
        <v>22</v>
      </c>
      <c r="I1854" s="6">
        <v>-8.3699999999999992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0.56000000000000005</v>
      </c>
      <c r="U1854" s="5">
        <f>C1854+5</f>
        <v>40980</v>
      </c>
    </row>
    <row r="1855" spans="1:21" ht="12" customHeight="1">
      <c r="A1855" s="4">
        <v>7388</v>
      </c>
      <c r="B1855" s="4">
        <v>52645</v>
      </c>
      <c r="C1855" s="5">
        <f t="shared" si="814"/>
        <v>40975</v>
      </c>
      <c r="D1855" s="4" t="s">
        <v>21</v>
      </c>
      <c r="E1855" s="4">
        <v>10</v>
      </c>
      <c r="F1855" s="4">
        <v>693.02</v>
      </c>
      <c r="G1855" s="4">
        <v>7.0000000000000007E-2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spans="1:21" ht="12" customHeight="1">
      <c r="A1856" s="4">
        <v>7399</v>
      </c>
      <c r="B1856" s="4">
        <v>52711</v>
      </c>
      <c r="C1856" s="5">
        <f>DATE(2012,12,31)-465</f>
        <v>40809</v>
      </c>
      <c r="D1856" s="4" t="s">
        <v>45</v>
      </c>
      <c r="E1856" s="4">
        <v>37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spans="1:21" ht="12" customHeight="1">
      <c r="A1857" s="4">
        <v>7412</v>
      </c>
      <c r="B1857" s="4">
        <v>52896</v>
      </c>
      <c r="C1857" s="5">
        <f t="shared" ref="C1857:C1858" si="815">DATE(2012,12,31)-801</f>
        <v>40473</v>
      </c>
      <c r="D1857" s="4" t="s">
        <v>30</v>
      </c>
      <c r="E1857" s="4">
        <v>9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spans="1:21" ht="12" customHeight="1">
      <c r="A1858" s="4">
        <v>7413</v>
      </c>
      <c r="B1858" s="4">
        <v>52896</v>
      </c>
      <c r="C1858" s="5">
        <f t="shared" si="815"/>
        <v>40473</v>
      </c>
      <c r="D1858" s="4" t="s">
        <v>30</v>
      </c>
      <c r="E1858" s="4">
        <v>6</v>
      </c>
      <c r="F1858" s="4">
        <v>1718.43</v>
      </c>
      <c r="G1858" s="4">
        <v>0</v>
      </c>
      <c r="H1858" s="4" t="s">
        <v>31</v>
      </c>
      <c r="I1858" s="6">
        <v>-192.49199999999999</v>
      </c>
      <c r="J1858" s="4">
        <v>259.70999999999998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spans="1:21" ht="12" customHeight="1">
      <c r="A1859" s="4">
        <v>7432</v>
      </c>
      <c r="B1859" s="4">
        <v>52999</v>
      </c>
      <c r="C1859" s="5">
        <f t="shared" ref="C1859:C1861" si="816">DATE(2012,12,31)-250</f>
        <v>41024</v>
      </c>
      <c r="D1859" s="4" t="s">
        <v>45</v>
      </c>
      <c r="E1859" s="4">
        <v>5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7">C1859+2</f>
        <v>41026</v>
      </c>
    </row>
    <row r="1860" spans="1:21" ht="12" customHeight="1">
      <c r="A1860" s="4">
        <v>7433</v>
      </c>
      <c r="B1860" s="4">
        <v>52999</v>
      </c>
      <c r="C1860" s="5">
        <f t="shared" si="816"/>
        <v>41024</v>
      </c>
      <c r="D1860" s="4" t="s">
        <v>45</v>
      </c>
      <c r="E1860" s="4">
        <v>39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7"/>
        <v>41026</v>
      </c>
    </row>
    <row r="1861" spans="1:21" ht="12" customHeight="1">
      <c r="A1861" s="4">
        <v>7434</v>
      </c>
      <c r="B1861" s="4">
        <v>52999</v>
      </c>
      <c r="C1861" s="5">
        <f t="shared" si="816"/>
        <v>41024</v>
      </c>
      <c r="D1861" s="4" t="s">
        <v>45</v>
      </c>
      <c r="E1861" s="4">
        <v>7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spans="1:21" ht="12" customHeight="1">
      <c r="A1862" s="4">
        <v>7466</v>
      </c>
      <c r="B1862" s="4">
        <v>53285</v>
      </c>
      <c r="C1862" s="5">
        <f>DATE(2012,12,31)-221</f>
        <v>41053</v>
      </c>
      <c r="D1862" s="4" t="s">
        <v>78</v>
      </c>
      <c r="E1862" s="4">
        <v>6</v>
      </c>
      <c r="F1862" s="4">
        <v>1042.96</v>
      </c>
      <c r="G1862" s="4">
        <v>0.04</v>
      </c>
      <c r="H1862" s="4" t="s">
        <v>22</v>
      </c>
      <c r="I1862" s="6">
        <v>163.80350000000001</v>
      </c>
      <c r="J1862" s="4">
        <v>165.98</v>
      </c>
      <c r="K1862" s="4">
        <v>19.989999999999998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spans="1:21" ht="12" customHeight="1">
      <c r="A1863" s="4">
        <v>7514</v>
      </c>
      <c r="B1863" s="4">
        <v>53637</v>
      </c>
      <c r="C1863" s="5">
        <f>DATE(2012,12,31)-655</f>
        <v>40619</v>
      </c>
      <c r="D1863" s="4" t="s">
        <v>30</v>
      </c>
      <c r="E1863" s="4">
        <v>12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39.979999999999997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8">C1863+1</f>
        <v>40620</v>
      </c>
    </row>
    <row r="1864" spans="1:21" ht="12" customHeight="1">
      <c r="A1864" s="4">
        <v>7521</v>
      </c>
      <c r="B1864" s="4">
        <v>53698</v>
      </c>
      <c r="C1864" s="5">
        <f>DATE(2012,12,31)-198</f>
        <v>41076</v>
      </c>
      <c r="D1864" s="4" t="s">
        <v>63</v>
      </c>
      <c r="E1864" s="4">
        <v>10</v>
      </c>
      <c r="F1864" s="4">
        <v>55.33</v>
      </c>
      <c r="G1864" s="4">
        <v>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8"/>
        <v>41077</v>
      </c>
    </row>
    <row r="1865" spans="1:21" ht="12" customHeight="1">
      <c r="A1865" s="4">
        <v>7577</v>
      </c>
      <c r="B1865" s="4">
        <v>54183</v>
      </c>
      <c r="C1865" s="5">
        <f t="shared" ref="C1865:C1866" si="819">DATE(2012,12,31)-260</f>
        <v>41014</v>
      </c>
      <c r="D1865" s="4" t="s">
        <v>78</v>
      </c>
      <c r="E1865" s="4">
        <v>32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spans="1:21" ht="12" customHeight="1">
      <c r="A1866" s="4">
        <v>7578</v>
      </c>
      <c r="B1866" s="4">
        <v>54183</v>
      </c>
      <c r="C1866" s="5">
        <f t="shared" si="819"/>
        <v>41014</v>
      </c>
      <c r="D1866" s="4" t="s">
        <v>78</v>
      </c>
      <c r="E1866" s="4">
        <v>9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0">C1866+1</f>
        <v>41015</v>
      </c>
    </row>
    <row r="1867" spans="1:21" ht="12" customHeight="1">
      <c r="A1867" s="4">
        <v>7583</v>
      </c>
      <c r="B1867" s="4">
        <v>54245</v>
      </c>
      <c r="C1867" s="5">
        <f>DATE(2012,12,31)-648</f>
        <v>40626</v>
      </c>
      <c r="D1867" s="4" t="s">
        <v>63</v>
      </c>
      <c r="E1867" s="4">
        <v>5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0"/>
        <v>40627</v>
      </c>
    </row>
    <row r="1868" spans="1:21" ht="12" customHeight="1">
      <c r="A1868" s="4">
        <v>7592</v>
      </c>
      <c r="B1868" s="4">
        <v>54339</v>
      </c>
      <c r="C1868" s="5">
        <f t="shared" ref="C1868:C1869" si="821">DATE(2012,12,31)-243</f>
        <v>41031</v>
      </c>
      <c r="D1868" s="4" t="s">
        <v>21</v>
      </c>
      <c r="E1868" s="4">
        <v>48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0.56999999999999995</v>
      </c>
      <c r="U1868" s="5">
        <f>C1868+7</f>
        <v>41038</v>
      </c>
    </row>
    <row r="1869" spans="1:21" ht="12" customHeight="1">
      <c r="A1869" s="4">
        <v>7593</v>
      </c>
      <c r="B1869" s="4">
        <v>54339</v>
      </c>
      <c r="C1869" s="5">
        <f t="shared" si="821"/>
        <v>41031</v>
      </c>
      <c r="D1869" s="4" t="s">
        <v>21</v>
      </c>
      <c r="E1869" s="4">
        <v>41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65.989999999999995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0.56999999999999995</v>
      </c>
      <c r="U1869" s="5">
        <f>C1869+5</f>
        <v>41036</v>
      </c>
    </row>
    <row r="1870" spans="1:21" ht="12" customHeight="1">
      <c r="A1870" s="4">
        <v>7603</v>
      </c>
      <c r="B1870" s="4">
        <v>54401</v>
      </c>
      <c r="C1870" s="5">
        <f>DATE(2012,12,31)-393</f>
        <v>40881</v>
      </c>
      <c r="D1870" s="4" t="s">
        <v>30</v>
      </c>
      <c r="E1870" s="4">
        <v>34</v>
      </c>
      <c r="F1870" s="4">
        <v>670.02</v>
      </c>
      <c r="G1870" s="4">
        <v>7.0000000000000007E-2</v>
      </c>
      <c r="H1870" s="4" t="s">
        <v>22</v>
      </c>
      <c r="I1870" s="6">
        <v>278.57900000000001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2">C1870+2</f>
        <v>40883</v>
      </c>
    </row>
    <row r="1871" spans="1:21" ht="12" customHeight="1">
      <c r="A1871" s="4">
        <v>7626</v>
      </c>
      <c r="B1871" s="4">
        <v>54563</v>
      </c>
      <c r="C1871" s="5">
        <f>DATE(2012,12,31)-819</f>
        <v>40455</v>
      </c>
      <c r="D1871" s="4" t="s">
        <v>78</v>
      </c>
      <c r="E1871" s="4">
        <v>24</v>
      </c>
      <c r="F1871" s="4">
        <v>523.55999999999995</v>
      </c>
      <c r="G1871" s="4">
        <v>0.01</v>
      </c>
      <c r="H1871" s="4" t="s">
        <v>22</v>
      </c>
      <c r="I1871" s="6">
        <v>43.87</v>
      </c>
      <c r="J1871" s="4">
        <v>20.239999999999998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2"/>
        <v>40457</v>
      </c>
    </row>
    <row r="1872" spans="1:21" ht="12" customHeight="1">
      <c r="A1872" s="4">
        <v>7659</v>
      </c>
      <c r="B1872" s="4">
        <v>54914</v>
      </c>
      <c r="C1872" s="5">
        <f t="shared" ref="C1872:C1873" si="823">DATE(2012,12,31)-491</f>
        <v>40783</v>
      </c>
      <c r="D1872" s="4" t="s">
        <v>78</v>
      </c>
      <c r="E1872" s="4">
        <v>32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spans="1:21" ht="12" customHeight="1">
      <c r="A1873" s="4">
        <v>7660</v>
      </c>
      <c r="B1873" s="4">
        <v>54914</v>
      </c>
      <c r="C1873" s="5">
        <f t="shared" si="823"/>
        <v>40783</v>
      </c>
      <c r="D1873" s="4" t="s">
        <v>78</v>
      </c>
      <c r="E1873" s="4">
        <v>7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0.56999999999999995</v>
      </c>
      <c r="U1873" s="5">
        <f>C1873+2</f>
        <v>40785</v>
      </c>
    </row>
    <row r="1874" spans="1:21" ht="12" customHeight="1">
      <c r="A1874" s="4">
        <v>7684</v>
      </c>
      <c r="B1874" s="4">
        <v>55073</v>
      </c>
      <c r="C1874" s="5">
        <f>DATE(2012,12,31)-286</f>
        <v>40988</v>
      </c>
      <c r="D1874" s="4" t="s">
        <v>21</v>
      </c>
      <c r="E1874" s="4">
        <v>40</v>
      </c>
      <c r="F1874" s="4">
        <v>2376.7105000000001</v>
      </c>
      <c r="G1874" s="4">
        <v>0.01</v>
      </c>
      <c r="H1874" s="4" t="s">
        <v>22</v>
      </c>
      <c r="I1874" s="6">
        <v>721.80899999999997</v>
      </c>
      <c r="J1874" s="4">
        <v>65.989999999999995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0.56999999999999995</v>
      </c>
      <c r="U1874" s="5">
        <f>C1874+0</f>
        <v>40988</v>
      </c>
    </row>
    <row r="1875" spans="1:21" ht="12" customHeight="1">
      <c r="A1875" s="4">
        <v>7712</v>
      </c>
      <c r="B1875" s="4">
        <v>55270</v>
      </c>
      <c r="C1875" s="5">
        <f>DATE(2012,12,31)-1074</f>
        <v>40200</v>
      </c>
      <c r="D1875" s="4" t="s">
        <v>63</v>
      </c>
      <c r="E1875" s="4">
        <v>1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4">C1875+1</f>
        <v>40201</v>
      </c>
    </row>
    <row r="1876" spans="1:21" ht="12" customHeight="1">
      <c r="A1876" s="4">
        <v>7788</v>
      </c>
      <c r="B1876" s="4">
        <v>55716</v>
      </c>
      <c r="C1876" s="5">
        <f>DATE(2012,12,31)-70</f>
        <v>41204</v>
      </c>
      <c r="D1876" s="4" t="s">
        <v>30</v>
      </c>
      <c r="E1876" s="4">
        <v>9</v>
      </c>
      <c r="F1876" s="4">
        <v>14665.55</v>
      </c>
      <c r="G1876" s="4">
        <v>7.0000000000000007E-2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4"/>
        <v>41205</v>
      </c>
    </row>
    <row r="1877" spans="1:21" ht="12" customHeight="1">
      <c r="A1877" s="4">
        <v>7840</v>
      </c>
      <c r="B1877" s="4">
        <v>56039</v>
      </c>
      <c r="C1877" s="5">
        <f>DATE(2012,12,31)-402</f>
        <v>40872</v>
      </c>
      <c r="D1877" s="4" t="s">
        <v>21</v>
      </c>
      <c r="E1877" s="4">
        <v>23</v>
      </c>
      <c r="F1877" s="4">
        <v>156.66</v>
      </c>
      <c r="G1877" s="4">
        <v>7.0000000000000007E-2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spans="1:21" ht="12" customHeight="1">
      <c r="A1878" s="4">
        <v>7936</v>
      </c>
      <c r="B1878" s="4">
        <v>56710</v>
      </c>
      <c r="C1878" s="5">
        <f t="shared" ref="C1878:C1881" si="825">DATE(2012,12,31)-965</f>
        <v>40309</v>
      </c>
      <c r="D1878" s="4" t="s">
        <v>45</v>
      </c>
      <c r="E1878" s="4">
        <v>34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0.56999999999999995</v>
      </c>
      <c r="U1878" s="5">
        <f t="shared" ref="U1878:U1879" si="826">C1878+1</f>
        <v>40310</v>
      </c>
    </row>
    <row r="1879" spans="1:21" ht="12" customHeight="1">
      <c r="A1879" s="4">
        <v>7937</v>
      </c>
      <c r="B1879" s="4">
        <v>56710</v>
      </c>
      <c r="C1879" s="5">
        <f t="shared" si="825"/>
        <v>40309</v>
      </c>
      <c r="D1879" s="4" t="s">
        <v>45</v>
      </c>
      <c r="E1879" s="4">
        <v>16</v>
      </c>
      <c r="F1879" s="4">
        <v>833.92650000000003</v>
      </c>
      <c r="G1879" s="4">
        <v>0.08</v>
      </c>
      <c r="H1879" s="4" t="s">
        <v>22</v>
      </c>
      <c r="I1879" s="6">
        <v>-39.215000000000003</v>
      </c>
      <c r="J1879" s="4">
        <v>65.989999999999995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6"/>
        <v>40310</v>
      </c>
    </row>
    <row r="1880" spans="1:21" ht="12" customHeight="1">
      <c r="A1880" s="4">
        <v>7938</v>
      </c>
      <c r="B1880" s="4">
        <v>56710</v>
      </c>
      <c r="C1880" s="5">
        <f t="shared" si="825"/>
        <v>40309</v>
      </c>
      <c r="D1880" s="4" t="s">
        <v>45</v>
      </c>
      <c r="E1880" s="4">
        <v>6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7">C1880+2</f>
        <v>40311</v>
      </c>
    </row>
    <row r="1881" spans="1:21" ht="12" customHeight="1">
      <c r="A1881" s="4">
        <v>7939</v>
      </c>
      <c r="B1881" s="4">
        <v>56710</v>
      </c>
      <c r="C1881" s="5">
        <f t="shared" si="825"/>
        <v>40309</v>
      </c>
      <c r="D1881" s="4" t="s">
        <v>45</v>
      </c>
      <c r="E1881" s="4">
        <v>21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35.409999999999997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7"/>
        <v>40311</v>
      </c>
    </row>
    <row r="1882" spans="1:21" ht="12" customHeight="1">
      <c r="A1882" s="4">
        <v>7985</v>
      </c>
      <c r="B1882" s="4">
        <v>57092</v>
      </c>
      <c r="C1882" s="5">
        <f>DATE(2012,12,31)-975</f>
        <v>40299</v>
      </c>
      <c r="D1882" s="4" t="s">
        <v>78</v>
      </c>
      <c r="E1882" s="4">
        <v>29</v>
      </c>
      <c r="F1882" s="4">
        <v>2820.6994999999997</v>
      </c>
      <c r="G1882" s="4">
        <v>0.03</v>
      </c>
      <c r="H1882" s="4" t="s">
        <v>22</v>
      </c>
      <c r="I1882" s="6">
        <v>601.33500000000004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0.56999999999999995</v>
      </c>
      <c r="U1882" s="5">
        <f t="shared" ref="U1882:U1883" si="828">C1882+1</f>
        <v>40300</v>
      </c>
    </row>
    <row r="1883" spans="1:21" ht="12" customHeight="1">
      <c r="A1883" s="4">
        <v>8077</v>
      </c>
      <c r="B1883" s="4">
        <v>57606</v>
      </c>
      <c r="C1883" s="5">
        <f>DATE(2012,12,31)-1093</f>
        <v>40181</v>
      </c>
      <c r="D1883" s="4" t="s">
        <v>45</v>
      </c>
      <c r="E1883" s="4">
        <v>37</v>
      </c>
      <c r="F1883" s="4">
        <v>294.48</v>
      </c>
      <c r="G1883" s="4">
        <v>0.08</v>
      </c>
      <c r="H1883" s="4" t="s">
        <v>22</v>
      </c>
      <c r="I1883" s="6">
        <v>-64.239999999999995</v>
      </c>
      <c r="J1883" s="4">
        <v>8.4600000000000009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8"/>
        <v>40182</v>
      </c>
    </row>
    <row r="1884" spans="1:21" ht="12" customHeight="1">
      <c r="A1884" s="4">
        <v>8123</v>
      </c>
      <c r="B1884" s="4">
        <v>58054</v>
      </c>
      <c r="C1884" s="5">
        <f>DATE(2012,12,31)-727</f>
        <v>40547</v>
      </c>
      <c r="D1884" s="4" t="s">
        <v>30</v>
      </c>
      <c r="E1884" s="4">
        <v>26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spans="1:21" ht="12" customHeight="1">
      <c r="A1885" s="4">
        <v>8129</v>
      </c>
      <c r="B1885" s="4">
        <v>58113</v>
      </c>
      <c r="C1885" s="5">
        <f t="shared" ref="C1885:C1886" si="829">DATE(2012,12,31)-334</f>
        <v>40940</v>
      </c>
      <c r="D1885" s="4" t="s">
        <v>30</v>
      </c>
      <c r="E1885" s="4">
        <v>48</v>
      </c>
      <c r="F1885" s="4">
        <v>362.71</v>
      </c>
      <c r="G1885" s="4">
        <v>7.0000000000000007E-2</v>
      </c>
      <c r="H1885" s="4" t="s">
        <v>22</v>
      </c>
      <c r="I1885" s="6">
        <v>-88.952500000000001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0">C1885+2</f>
        <v>40942</v>
      </c>
    </row>
    <row r="1886" spans="1:21" ht="12" customHeight="1">
      <c r="A1886" s="4">
        <v>8130</v>
      </c>
      <c r="B1886" s="4">
        <v>58113</v>
      </c>
      <c r="C1886" s="5">
        <f t="shared" si="829"/>
        <v>40940</v>
      </c>
      <c r="D1886" s="4" t="s">
        <v>30</v>
      </c>
      <c r="E1886" s="4">
        <v>12</v>
      </c>
      <c r="F1886" s="4">
        <v>2077.1875</v>
      </c>
      <c r="G1886" s="4">
        <v>0.05</v>
      </c>
      <c r="H1886" s="4" t="s">
        <v>56</v>
      </c>
      <c r="I1886" s="6">
        <v>-38.070999999999998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0"/>
        <v>40942</v>
      </c>
    </row>
    <row r="1887" spans="1:21" ht="12" customHeight="1">
      <c r="A1887" s="4">
        <v>8186</v>
      </c>
      <c r="B1887" s="4">
        <v>58528</v>
      </c>
      <c r="C1887" s="5">
        <f t="shared" ref="C1887:C1888" si="831">DATE(2012,12,31)-796</f>
        <v>40478</v>
      </c>
      <c r="D1887" s="4" t="s">
        <v>63</v>
      </c>
      <c r="E1887" s="4">
        <v>14</v>
      </c>
      <c r="F1887" s="4">
        <v>700.95</v>
      </c>
      <c r="G1887" s="4">
        <v>0</v>
      </c>
      <c r="H1887" s="4" t="s">
        <v>22</v>
      </c>
      <c r="I1887" s="6">
        <v>233.8</v>
      </c>
      <c r="J1887" s="4">
        <v>46.89</v>
      </c>
      <c r="K1887" s="4">
        <v>5.0999999999999996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2">C1887+1</f>
        <v>40479</v>
      </c>
    </row>
    <row r="1888" spans="1:21" ht="12" customHeight="1">
      <c r="A1888" s="4">
        <v>8187</v>
      </c>
      <c r="B1888" s="4">
        <v>58528</v>
      </c>
      <c r="C1888" s="5">
        <f t="shared" si="831"/>
        <v>40478</v>
      </c>
      <c r="D1888" s="4" t="s">
        <v>63</v>
      </c>
      <c r="E1888" s="4">
        <v>41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2"/>
        <v>40479</v>
      </c>
    </row>
    <row r="1889" spans="1:21" ht="12" customHeight="1">
      <c r="A1889" s="4">
        <v>8193</v>
      </c>
      <c r="B1889" s="4">
        <v>58598</v>
      </c>
      <c r="C1889" s="5">
        <f t="shared" ref="C1889:C1890" si="833">DATE(2012,12,31)-497</f>
        <v>40777</v>
      </c>
      <c r="D1889" s="4" t="s">
        <v>63</v>
      </c>
      <c r="E1889" s="4">
        <v>50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0.56000000000000005</v>
      </c>
      <c r="U1889" s="5">
        <f t="shared" si="832"/>
        <v>40778</v>
      </c>
    </row>
    <row r="1890" spans="1:21" ht="12" customHeight="1">
      <c r="A1890" s="4">
        <v>8194</v>
      </c>
      <c r="B1890" s="4">
        <v>58598</v>
      </c>
      <c r="C1890" s="5">
        <f t="shared" si="833"/>
        <v>40777</v>
      </c>
      <c r="D1890" s="4" t="s">
        <v>63</v>
      </c>
      <c r="E1890" s="4">
        <v>25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2"/>
        <v>40778</v>
      </c>
    </row>
    <row r="1891" spans="1:21" ht="12" customHeight="1">
      <c r="A1891" s="4">
        <v>8231</v>
      </c>
      <c r="B1891" s="4">
        <v>58851</v>
      </c>
      <c r="C1891" s="5">
        <f t="shared" ref="C1891:C1892" si="834">DATE(2012,12,31)-938</f>
        <v>40336</v>
      </c>
      <c r="D1891" s="4" t="s">
        <v>21</v>
      </c>
      <c r="E1891" s="4">
        <v>3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spans="1:21" ht="12" customHeight="1">
      <c r="A1892" s="4">
        <v>8232</v>
      </c>
      <c r="B1892" s="4">
        <v>58851</v>
      </c>
      <c r="C1892" s="5">
        <f t="shared" si="834"/>
        <v>40336</v>
      </c>
      <c r="D1892" s="4" t="s">
        <v>21</v>
      </c>
      <c r="E1892" s="4">
        <v>14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spans="1:21" ht="12" customHeight="1">
      <c r="A1893" s="4">
        <v>8233</v>
      </c>
      <c r="B1893" s="4">
        <v>58853</v>
      </c>
      <c r="C1893" s="5">
        <f>DATE(2012,12,31)-232</f>
        <v>41042</v>
      </c>
      <c r="D1893" s="4" t="s">
        <v>78</v>
      </c>
      <c r="E1893" s="4">
        <v>27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0.57999999999999996</v>
      </c>
      <c r="U1893" s="5">
        <f t="shared" ref="U1893:U1895" si="835">C1893+1</f>
        <v>41043</v>
      </c>
    </row>
    <row r="1894" spans="1:21" ht="12" customHeight="1">
      <c r="A1894" s="4">
        <v>8252</v>
      </c>
      <c r="B1894" s="4">
        <v>59015</v>
      </c>
      <c r="C1894" s="5">
        <f t="shared" ref="C1894:C1896" si="836">DATE(2012,12,31)-219</f>
        <v>41055</v>
      </c>
      <c r="D1894" s="4" t="s">
        <v>63</v>
      </c>
      <c r="E1894" s="4">
        <v>32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5"/>
        <v>41056</v>
      </c>
    </row>
    <row r="1895" spans="1:21" ht="12" customHeight="1">
      <c r="A1895" s="4">
        <v>8253</v>
      </c>
      <c r="B1895" s="4">
        <v>59015</v>
      </c>
      <c r="C1895" s="5">
        <f t="shared" si="836"/>
        <v>41055</v>
      </c>
      <c r="D1895" s="4" t="s">
        <v>63</v>
      </c>
      <c r="E1895" s="4">
        <v>32</v>
      </c>
      <c r="F1895" s="4">
        <v>278.19</v>
      </c>
      <c r="G1895" s="4">
        <v>0.02</v>
      </c>
      <c r="H1895" s="4" t="s">
        <v>22</v>
      </c>
      <c r="I1895" s="6">
        <v>149.38999999999999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5"/>
        <v>41056</v>
      </c>
    </row>
    <row r="1896" spans="1:21" ht="12" customHeight="1">
      <c r="A1896" s="4">
        <v>8254</v>
      </c>
      <c r="B1896" s="4">
        <v>59015</v>
      </c>
      <c r="C1896" s="5">
        <f t="shared" si="836"/>
        <v>41055</v>
      </c>
      <c r="D1896" s="4" t="s">
        <v>63</v>
      </c>
      <c r="E1896" s="4">
        <v>32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spans="1:21" ht="12" customHeight="1">
      <c r="A1897" s="4">
        <v>8264</v>
      </c>
      <c r="B1897" s="4">
        <v>59075</v>
      </c>
      <c r="C1897" s="5">
        <f>DATE(2012,12,31)-309</f>
        <v>40965</v>
      </c>
      <c r="D1897" s="4" t="s">
        <v>21</v>
      </c>
      <c r="E1897" s="4">
        <v>38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spans="1:21" ht="12" customHeight="1">
      <c r="A1898" s="4">
        <v>8269</v>
      </c>
      <c r="B1898" s="4">
        <v>59108</v>
      </c>
      <c r="C1898" s="5">
        <f t="shared" ref="C1898:C1899" si="837">DATE(2012,12,31)-451</f>
        <v>40823</v>
      </c>
      <c r="D1898" s="4" t="s">
        <v>21</v>
      </c>
      <c r="E1898" s="4">
        <v>21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0.56000000000000005</v>
      </c>
      <c r="U1898" s="5">
        <f>C1898+5</f>
        <v>40828</v>
      </c>
    </row>
    <row r="1899" spans="1:21" ht="12" customHeight="1">
      <c r="A1899" s="4">
        <v>8270</v>
      </c>
      <c r="B1899" s="4">
        <v>59108</v>
      </c>
      <c r="C1899" s="5">
        <f t="shared" si="837"/>
        <v>40823</v>
      </c>
      <c r="D1899" s="4" t="s">
        <v>21</v>
      </c>
      <c r="E1899" s="4">
        <v>39</v>
      </c>
      <c r="F1899" s="4">
        <v>4215.83</v>
      </c>
      <c r="G1899" s="4">
        <v>0.02</v>
      </c>
      <c r="H1899" s="4" t="s">
        <v>22</v>
      </c>
      <c r="I1899" s="6">
        <v>972.18900000000008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spans="1:21" ht="12" customHeight="1">
      <c r="A1900" s="4">
        <v>8339</v>
      </c>
      <c r="B1900" s="4">
        <v>59589</v>
      </c>
      <c r="C1900" s="5">
        <f>DATE(2012,12,31)-264</f>
        <v>41010</v>
      </c>
      <c r="D1900" s="4" t="s">
        <v>63</v>
      </c>
      <c r="E1900" s="4">
        <v>25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spans="1:21" ht="12" customHeight="1">
      <c r="A1901" s="4">
        <v>8354</v>
      </c>
      <c r="B1901" s="4">
        <v>59685</v>
      </c>
      <c r="C1901" s="5">
        <f t="shared" ref="C1901:C1902" si="838">DATE(2012,12,31)-21</f>
        <v>41253</v>
      </c>
      <c r="D1901" s="4" t="s">
        <v>78</v>
      </c>
      <c r="E1901" s="4">
        <v>12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0.56999999999999995</v>
      </c>
      <c r="U1901" s="5">
        <f>C1901+2</f>
        <v>41255</v>
      </c>
    </row>
    <row r="1902" spans="1:21" ht="12" customHeight="1">
      <c r="A1902" s="4">
        <v>8355</v>
      </c>
      <c r="B1902" s="4">
        <v>59685</v>
      </c>
      <c r="C1902" s="5">
        <f t="shared" si="838"/>
        <v>41253</v>
      </c>
      <c r="D1902" s="4" t="s">
        <v>78</v>
      </c>
      <c r="E1902" s="4">
        <v>46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spans="1:21" ht="12" customHeight="1">
      <c r="A1903" s="4">
        <v>24</v>
      </c>
      <c r="B1903" s="4">
        <v>134</v>
      </c>
      <c r="C1903" s="5">
        <f>DATE(2012,12,31)-245</f>
        <v>41029</v>
      </c>
      <c r="D1903" s="4" t="s">
        <v>45</v>
      </c>
      <c r="E1903" s="4">
        <v>11</v>
      </c>
      <c r="F1903" s="4">
        <v>1132.5999999999999</v>
      </c>
      <c r="G1903" s="4">
        <v>0.01</v>
      </c>
      <c r="H1903" s="4" t="s">
        <v>22</v>
      </c>
      <c r="I1903" s="6">
        <v>-310.20999999999998</v>
      </c>
      <c r="J1903" s="4">
        <v>95.99</v>
      </c>
      <c r="K1903" s="4">
        <v>35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spans="1:21" ht="12" customHeight="1">
      <c r="A1904" s="4">
        <v>114</v>
      </c>
      <c r="B1904" s="4">
        <v>740</v>
      </c>
      <c r="C1904" s="5">
        <f>DATE(2012,12,31)-535</f>
        <v>40739</v>
      </c>
      <c r="D1904" s="4" t="s">
        <v>63</v>
      </c>
      <c r="E1904" s="4">
        <v>6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4.9800000000000004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spans="1:21" ht="12" customHeight="1">
      <c r="A1905" s="4">
        <v>234</v>
      </c>
      <c r="B1905" s="4">
        <v>1573</v>
      </c>
      <c r="C1905" s="5">
        <f>DATE(2012,12,31)-4</f>
        <v>41270</v>
      </c>
      <c r="D1905" s="4" t="s">
        <v>30</v>
      </c>
      <c r="E1905" s="4">
        <v>13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32.409999999999997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0.56000000000000005</v>
      </c>
      <c r="U1905" s="5">
        <f>C1905+2</f>
        <v>41272</v>
      </c>
    </row>
    <row r="1906" spans="1:21" ht="12" customHeight="1">
      <c r="A1906" s="4">
        <v>243</v>
      </c>
      <c r="B1906" s="4">
        <v>1639</v>
      </c>
      <c r="C1906" s="5">
        <f>DATE(2012,12,31)-500</f>
        <v>40774</v>
      </c>
      <c r="D1906" s="4" t="s">
        <v>45</v>
      </c>
      <c r="E1906" s="4">
        <v>24</v>
      </c>
      <c r="F1906" s="4">
        <v>163.13999999999999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39">C1906+1</f>
        <v>40775</v>
      </c>
    </row>
    <row r="1907" spans="1:21" ht="12" customHeight="1">
      <c r="A1907" s="4">
        <v>297</v>
      </c>
      <c r="B1907" s="4">
        <v>2053</v>
      </c>
      <c r="C1907" s="5">
        <f t="shared" ref="C1907:C1908" si="840">DATE(2012,12,31)-694</f>
        <v>40580</v>
      </c>
      <c r="D1907" s="4" t="s">
        <v>78</v>
      </c>
      <c r="E1907" s="4">
        <v>39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39"/>
        <v>40581</v>
      </c>
    </row>
    <row r="1908" spans="1:21" ht="12" customHeight="1">
      <c r="A1908" s="4">
        <v>298</v>
      </c>
      <c r="B1908" s="4">
        <v>2053</v>
      </c>
      <c r="C1908" s="5">
        <f t="shared" si="840"/>
        <v>40580</v>
      </c>
      <c r="D1908" s="4" t="s">
        <v>78</v>
      </c>
      <c r="E1908" s="4">
        <v>7</v>
      </c>
      <c r="F1908" s="4">
        <v>771.78300000000002</v>
      </c>
      <c r="G1908" s="4">
        <v>0.08</v>
      </c>
      <c r="H1908" s="4" t="s">
        <v>22</v>
      </c>
      <c r="I1908" s="6">
        <v>-449.52600000000001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spans="1:21" ht="12" customHeight="1">
      <c r="A1909" s="4">
        <v>307</v>
      </c>
      <c r="B1909" s="4">
        <v>2146</v>
      </c>
      <c r="C1909" s="5">
        <f t="shared" ref="C1909:C1910" si="841">DATE(2012,12,31)-109</f>
        <v>41165</v>
      </c>
      <c r="D1909" s="4" t="s">
        <v>45</v>
      </c>
      <c r="E1909" s="4">
        <v>41</v>
      </c>
      <c r="F1909" s="4">
        <v>6111.1684999999998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spans="1:21" ht="12" customHeight="1">
      <c r="A1910" s="4">
        <v>308</v>
      </c>
      <c r="B1910" s="4">
        <v>2146</v>
      </c>
      <c r="C1910" s="5">
        <f t="shared" si="841"/>
        <v>41165</v>
      </c>
      <c r="D1910" s="4" t="s">
        <v>45</v>
      </c>
      <c r="E1910" s="4">
        <v>44</v>
      </c>
      <c r="F1910" s="4">
        <v>113.71</v>
      </c>
      <c r="G1910" s="4">
        <v>7.0000000000000007E-2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2">C1910+2</f>
        <v>41167</v>
      </c>
    </row>
    <row r="1911" spans="1:21" ht="12" customHeight="1">
      <c r="A1911" s="4">
        <v>396</v>
      </c>
      <c r="B1911" s="4">
        <v>2752</v>
      </c>
      <c r="C1911" s="5">
        <f t="shared" ref="C1911:C1914" si="843">DATE(2012,12,31)-774</f>
        <v>40500</v>
      </c>
      <c r="D1911" s="4" t="s">
        <v>30</v>
      </c>
      <c r="E1911" s="4">
        <v>30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2"/>
        <v>40502</v>
      </c>
    </row>
    <row r="1912" spans="1:21" ht="12" customHeight="1">
      <c r="A1912" s="4">
        <v>397</v>
      </c>
      <c r="B1912" s="4">
        <v>2752</v>
      </c>
      <c r="C1912" s="5">
        <f t="shared" si="843"/>
        <v>40500</v>
      </c>
      <c r="D1912" s="4" t="s">
        <v>30</v>
      </c>
      <c r="E1912" s="4">
        <v>41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2"/>
        <v>40502</v>
      </c>
    </row>
    <row r="1913" spans="1:21" ht="12" customHeight="1">
      <c r="A1913" s="4">
        <v>398</v>
      </c>
      <c r="B1913" s="4">
        <v>2752</v>
      </c>
      <c r="C1913" s="5">
        <f t="shared" si="843"/>
        <v>40500</v>
      </c>
      <c r="D1913" s="4" t="s">
        <v>30</v>
      </c>
      <c r="E1913" s="4">
        <v>10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8.2200000000000006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0.56999999999999995</v>
      </c>
      <c r="U1913" s="5">
        <f>C1913+0</f>
        <v>40500</v>
      </c>
    </row>
    <row r="1914" spans="1:21" ht="12" customHeight="1">
      <c r="A1914" s="4">
        <v>399</v>
      </c>
      <c r="B1914" s="4">
        <v>2752</v>
      </c>
      <c r="C1914" s="5">
        <f t="shared" si="843"/>
        <v>40500</v>
      </c>
      <c r="D1914" s="4" t="s">
        <v>30</v>
      </c>
      <c r="E1914" s="4">
        <v>10</v>
      </c>
      <c r="F1914" s="4">
        <v>575.56899999999996</v>
      </c>
      <c r="G1914" s="4">
        <v>0.04</v>
      </c>
      <c r="H1914" s="4" t="s">
        <v>22</v>
      </c>
      <c r="I1914" s="6">
        <v>-86.515000000000001</v>
      </c>
      <c r="J1914" s="4">
        <v>65.989999999999995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0.56000000000000005</v>
      </c>
      <c r="U1914" s="5">
        <f>C1914+2</f>
        <v>40502</v>
      </c>
    </row>
    <row r="1915" spans="1:21" ht="12" customHeight="1">
      <c r="A1915" s="4">
        <v>760</v>
      </c>
      <c r="B1915" s="4">
        <v>5445</v>
      </c>
      <c r="C1915" s="5">
        <f t="shared" ref="C1915:C1916" si="844">DATE(2012,12,31)-890</f>
        <v>40384</v>
      </c>
      <c r="D1915" s="4" t="s">
        <v>21</v>
      </c>
      <c r="E1915" s="4">
        <v>4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spans="1:21" ht="12" customHeight="1">
      <c r="A1916" s="4">
        <v>761</v>
      </c>
      <c r="B1916" s="4">
        <v>5445</v>
      </c>
      <c r="C1916" s="5">
        <f t="shared" si="844"/>
        <v>40384</v>
      </c>
      <c r="D1916" s="4" t="s">
        <v>21</v>
      </c>
      <c r="E1916" s="4">
        <v>9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spans="1:21" ht="12" customHeight="1">
      <c r="A1917" s="4">
        <v>797</v>
      </c>
      <c r="B1917" s="4">
        <v>5699</v>
      </c>
      <c r="C1917" s="5">
        <f t="shared" ref="C1917:C1918" si="845">DATE(2012,12,31)-155</f>
        <v>41119</v>
      </c>
      <c r="D1917" s="4" t="s">
        <v>21</v>
      </c>
      <c r="E1917" s="4">
        <v>2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6">C1917+5</f>
        <v>41124</v>
      </c>
    </row>
    <row r="1918" spans="1:21" ht="12" customHeight="1">
      <c r="A1918" s="4">
        <v>798</v>
      </c>
      <c r="B1918" s="4">
        <v>5699</v>
      </c>
      <c r="C1918" s="5">
        <f t="shared" si="845"/>
        <v>41119</v>
      </c>
      <c r="D1918" s="4" t="s">
        <v>21</v>
      </c>
      <c r="E1918" s="4">
        <v>41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0.56999999999999995</v>
      </c>
      <c r="U1918" s="5">
        <f t="shared" si="846"/>
        <v>41124</v>
      </c>
    </row>
    <row r="1919" spans="1:21" ht="12" customHeight="1">
      <c r="A1919" s="4">
        <v>959</v>
      </c>
      <c r="B1919" s="4">
        <v>6948</v>
      </c>
      <c r="C1919" s="5">
        <f>DATE(2012,12,31)-753</f>
        <v>40521</v>
      </c>
      <c r="D1919" s="4" t="s">
        <v>45</v>
      </c>
      <c r="E1919" s="4">
        <v>15</v>
      </c>
      <c r="F1919" s="4">
        <v>1143.8800000000001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7">C1919+1</f>
        <v>40522</v>
      </c>
    </row>
    <row r="1920" spans="1:21" ht="12" customHeight="1">
      <c r="A1920" s="4">
        <v>1027</v>
      </c>
      <c r="B1920" s="4">
        <v>7462</v>
      </c>
      <c r="C1920" s="5">
        <f>DATE(2012,12,31)-680</f>
        <v>40594</v>
      </c>
      <c r="D1920" s="4" t="s">
        <v>30</v>
      </c>
      <c r="E1920" s="4">
        <v>3</v>
      </c>
      <c r="F1920" s="4">
        <v>72.63</v>
      </c>
      <c r="G1920" s="4">
        <v>7.0000000000000007E-2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7"/>
        <v>40595</v>
      </c>
    </row>
    <row r="1921" spans="1:21" ht="12" customHeight="1">
      <c r="A1921" s="4">
        <v>1092</v>
      </c>
      <c r="B1921" s="4">
        <v>8033</v>
      </c>
      <c r="C1921" s="5">
        <f>DATE(2012,12,31)-251</f>
        <v>41023</v>
      </c>
      <c r="D1921" s="4" t="s">
        <v>30</v>
      </c>
      <c r="E1921" s="4">
        <v>27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4.0599999999999996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7"/>
        <v>41024</v>
      </c>
    </row>
    <row r="1922" spans="1:21" ht="12" customHeight="1">
      <c r="A1922" s="4">
        <v>1150</v>
      </c>
      <c r="B1922" s="4">
        <v>8388</v>
      </c>
      <c r="C1922" s="5">
        <f t="shared" ref="C1922:C1924" si="848">DATE(2012,12,31)-312</f>
        <v>40962</v>
      </c>
      <c r="D1922" s="4" t="s">
        <v>21</v>
      </c>
      <c r="E1922" s="4">
        <v>39</v>
      </c>
      <c r="F1922" s="4">
        <v>290.3</v>
      </c>
      <c r="G1922" s="4">
        <v>7.0000000000000007E-2</v>
      </c>
      <c r="H1922" s="4" t="s">
        <v>22</v>
      </c>
      <c r="I1922" s="6">
        <v>25.16</v>
      </c>
      <c r="J1922" s="4">
        <v>7.59</v>
      </c>
      <c r="K1922" s="4">
        <v>4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49">C1922+2</f>
        <v>40964</v>
      </c>
    </row>
    <row r="1923" spans="1:21" ht="12" customHeight="1">
      <c r="A1923" s="4">
        <v>1151</v>
      </c>
      <c r="B1923" s="4">
        <v>8388</v>
      </c>
      <c r="C1923" s="5">
        <f t="shared" si="848"/>
        <v>40962</v>
      </c>
      <c r="D1923" s="4" t="s">
        <v>21</v>
      </c>
      <c r="E1923" s="4">
        <v>37</v>
      </c>
      <c r="F1923" s="4">
        <v>434.11</v>
      </c>
      <c r="G1923" s="4">
        <v>0.02</v>
      </c>
      <c r="H1923" s="4" t="s">
        <v>22</v>
      </c>
      <c r="I1923" s="6">
        <v>24.853999999999999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49"/>
        <v>40964</v>
      </c>
    </row>
    <row r="1924" spans="1:21" ht="12" customHeight="1">
      <c r="A1924" s="4">
        <v>1152</v>
      </c>
      <c r="B1924" s="4">
        <v>8388</v>
      </c>
      <c r="C1924" s="5">
        <f t="shared" si="848"/>
        <v>40962</v>
      </c>
      <c r="D1924" s="4" t="s">
        <v>21</v>
      </c>
      <c r="E1924" s="4">
        <v>42</v>
      </c>
      <c r="F1924" s="4">
        <v>288.89999999999998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49"/>
        <v>40964</v>
      </c>
    </row>
    <row r="1925" spans="1:21" ht="12" customHeight="1">
      <c r="A1925" s="4">
        <v>1334</v>
      </c>
      <c r="B1925" s="4">
        <v>9761</v>
      </c>
      <c r="C1925" s="5">
        <f t="shared" ref="C1925:C1926" si="850">DATE(2012,12,31)-344</f>
        <v>40930</v>
      </c>
      <c r="D1925" s="4" t="s">
        <v>45</v>
      </c>
      <c r="E1925" s="4">
        <v>2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spans="1:21" ht="12" customHeight="1">
      <c r="A1926" s="4">
        <v>1335</v>
      </c>
      <c r="B1926" s="4">
        <v>9761</v>
      </c>
      <c r="C1926" s="5">
        <f t="shared" si="850"/>
        <v>40930</v>
      </c>
      <c r="D1926" s="4" t="s">
        <v>45</v>
      </c>
      <c r="E1926" s="4">
        <v>23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1">C1926+2</f>
        <v>40932</v>
      </c>
    </row>
    <row r="1927" spans="1:21" ht="12" customHeight="1">
      <c r="A1927" s="4">
        <v>1354</v>
      </c>
      <c r="B1927" s="4">
        <v>9863</v>
      </c>
      <c r="C1927" s="5">
        <f>DATE(2012,12,31)-484</f>
        <v>40790</v>
      </c>
      <c r="D1927" s="4" t="s">
        <v>78</v>
      </c>
      <c r="E1927" s="4">
        <v>18</v>
      </c>
      <c r="F1927" s="4">
        <v>33.96</v>
      </c>
      <c r="G1927" s="4">
        <v>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0.56000000000000005</v>
      </c>
      <c r="U1927" s="5">
        <f t="shared" si="851"/>
        <v>40792</v>
      </c>
    </row>
    <row r="1928" spans="1:21" ht="12" customHeight="1">
      <c r="A1928" s="4">
        <v>1432</v>
      </c>
      <c r="B1928" s="4">
        <v>10342</v>
      </c>
      <c r="C1928" s="5">
        <f t="shared" ref="C1928:C1931" si="852">DATE(2012,12,31)-405</f>
        <v>40869</v>
      </c>
      <c r="D1928" s="4" t="s">
        <v>63</v>
      </c>
      <c r="E1928" s="4">
        <v>45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1"/>
        <v>40871</v>
      </c>
    </row>
    <row r="1929" spans="1:21" ht="12" customHeight="1">
      <c r="A1929" s="4">
        <v>1433</v>
      </c>
      <c r="B1929" s="4">
        <v>10342</v>
      </c>
      <c r="C1929" s="5">
        <f t="shared" si="852"/>
        <v>40869</v>
      </c>
      <c r="D1929" s="4" t="s">
        <v>63</v>
      </c>
      <c r="E1929" s="4">
        <v>38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spans="1:21" ht="12" customHeight="1">
      <c r="A1930" s="4">
        <v>1434</v>
      </c>
      <c r="B1930" s="4">
        <v>10342</v>
      </c>
      <c r="C1930" s="5">
        <f t="shared" si="852"/>
        <v>40869</v>
      </c>
      <c r="D1930" s="4" t="s">
        <v>63</v>
      </c>
      <c r="E1930" s="4">
        <v>38</v>
      </c>
      <c r="F1930" s="4">
        <v>1679.04</v>
      </c>
      <c r="G1930" s="4">
        <v>0.01</v>
      </c>
      <c r="H1930" s="4" t="s">
        <v>22</v>
      </c>
      <c r="I1930" s="6">
        <v>324.47000000000003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0.56999999999999995</v>
      </c>
      <c r="U1930" s="5">
        <f t="shared" ref="U1930:U1931" si="853">C1930+2</f>
        <v>40871</v>
      </c>
    </row>
    <row r="1931" spans="1:21" ht="12" customHeight="1">
      <c r="A1931" s="4">
        <v>1435</v>
      </c>
      <c r="B1931" s="4">
        <v>10342</v>
      </c>
      <c r="C1931" s="5">
        <f t="shared" si="852"/>
        <v>40869</v>
      </c>
      <c r="D1931" s="4" t="s">
        <v>63</v>
      </c>
      <c r="E1931" s="4">
        <v>2</v>
      </c>
      <c r="F1931" s="4">
        <v>2055.9699999999998</v>
      </c>
      <c r="G1931" s="4">
        <v>0.05</v>
      </c>
      <c r="H1931" s="4" t="s">
        <v>56</v>
      </c>
      <c r="I1931" s="6">
        <v>-2342.0052000000001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3"/>
        <v>40871</v>
      </c>
    </row>
    <row r="1932" spans="1:21" ht="12" customHeight="1">
      <c r="A1932" s="4">
        <v>1532</v>
      </c>
      <c r="B1932" s="4">
        <v>11040</v>
      </c>
      <c r="C1932" s="5">
        <f>DATE(2012,12,31)-435</f>
        <v>40839</v>
      </c>
      <c r="D1932" s="4" t="s">
        <v>45</v>
      </c>
      <c r="E1932" s="4">
        <v>44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spans="1:21" ht="12" customHeight="1">
      <c r="A1933" s="4">
        <v>1577</v>
      </c>
      <c r="B1933" s="4">
        <v>11398</v>
      </c>
      <c r="C1933" s="5">
        <f t="shared" ref="C1933:C1934" si="854">DATE(2012,12,31)-147</f>
        <v>41127</v>
      </c>
      <c r="D1933" s="4" t="s">
        <v>30</v>
      </c>
      <c r="E1933" s="4">
        <v>16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spans="1:21" ht="12" customHeight="1">
      <c r="A1934" s="4">
        <v>1578</v>
      </c>
      <c r="B1934" s="4">
        <v>11398</v>
      </c>
      <c r="C1934" s="5">
        <f t="shared" si="854"/>
        <v>41127</v>
      </c>
      <c r="D1934" s="4" t="s">
        <v>30</v>
      </c>
      <c r="E1934" s="4">
        <v>26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spans="1:21" ht="12" customHeight="1">
      <c r="A1935" s="4">
        <v>1607</v>
      </c>
      <c r="B1935" s="4">
        <v>11652</v>
      </c>
      <c r="C1935" s="5">
        <f t="shared" ref="C1935:C1938" si="855">DATE(2012,12,31)-417</f>
        <v>40857</v>
      </c>
      <c r="D1935" s="4" t="s">
        <v>45</v>
      </c>
      <c r="E1935" s="4">
        <v>35</v>
      </c>
      <c r="F1935" s="4">
        <v>1154.1400000000001</v>
      </c>
      <c r="G1935" s="4">
        <v>7.0000000000000007E-2</v>
      </c>
      <c r="H1935" s="4" t="s">
        <v>22</v>
      </c>
      <c r="I1935" s="6">
        <v>-36</v>
      </c>
      <c r="J1935" s="4">
        <v>32.979999999999997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6">C1935+1</f>
        <v>40858</v>
      </c>
    </row>
    <row r="1936" spans="1:21" ht="12" customHeight="1">
      <c r="A1936" s="4">
        <v>1608</v>
      </c>
      <c r="B1936" s="4">
        <v>11652</v>
      </c>
      <c r="C1936" s="5">
        <f t="shared" si="855"/>
        <v>40857</v>
      </c>
      <c r="D1936" s="4" t="s">
        <v>45</v>
      </c>
      <c r="E1936" s="4">
        <v>37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6"/>
        <v>40858</v>
      </c>
    </row>
    <row r="1937" spans="1:21" ht="12" customHeight="1">
      <c r="A1937" s="4">
        <v>1609</v>
      </c>
      <c r="B1937" s="4">
        <v>11652</v>
      </c>
      <c r="C1937" s="5">
        <f t="shared" si="855"/>
        <v>40857</v>
      </c>
      <c r="D1937" s="4" t="s">
        <v>45</v>
      </c>
      <c r="E1937" s="4">
        <v>1</v>
      </c>
      <c r="F1937" s="4">
        <v>61.463500000000003</v>
      </c>
      <c r="G1937" s="4">
        <v>0.05</v>
      </c>
      <c r="H1937" s="4" t="s">
        <v>22</v>
      </c>
      <c r="I1937" s="6">
        <v>-261.34899999999999</v>
      </c>
      <c r="J1937" s="4">
        <v>65.989999999999995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0.56000000000000005</v>
      </c>
      <c r="U1937" s="5">
        <f t="shared" ref="U1937:U1938" si="857">C1937+2</f>
        <v>40859</v>
      </c>
    </row>
    <row r="1938" spans="1:21" ht="12" customHeight="1">
      <c r="A1938" s="4">
        <v>1610</v>
      </c>
      <c r="B1938" s="4">
        <v>11652</v>
      </c>
      <c r="C1938" s="5">
        <f t="shared" si="855"/>
        <v>40857</v>
      </c>
      <c r="D1938" s="4" t="s">
        <v>45</v>
      </c>
      <c r="E1938" s="4">
        <v>25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7"/>
        <v>40859</v>
      </c>
    </row>
    <row r="1939" spans="1:21" ht="12" customHeight="1">
      <c r="A1939" s="4">
        <v>1940</v>
      </c>
      <c r="B1939" s="4">
        <v>13895</v>
      </c>
      <c r="C1939" s="5">
        <f>DATE(2012,12,31)-772</f>
        <v>40502</v>
      </c>
      <c r="D1939" s="4" t="s">
        <v>30</v>
      </c>
      <c r="E1939" s="4">
        <v>44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9.3699999999999992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0.56000000000000005</v>
      </c>
      <c r="U1939" s="5">
        <f>C1939+0</f>
        <v>40502</v>
      </c>
    </row>
    <row r="1940" spans="1:21" ht="12" customHeight="1">
      <c r="A1940" s="4">
        <v>2072</v>
      </c>
      <c r="B1940" s="4">
        <v>14820</v>
      </c>
      <c r="C1940" s="5">
        <f>DATE(2012,12,31)-357</f>
        <v>40917</v>
      </c>
      <c r="D1940" s="4" t="s">
        <v>30</v>
      </c>
      <c r="E1940" s="4">
        <v>39</v>
      </c>
      <c r="F1940" s="4">
        <v>278.90199999999999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8">C1940+2</f>
        <v>40919</v>
      </c>
    </row>
    <row r="1941" spans="1:21" ht="12" customHeight="1">
      <c r="A1941" s="4">
        <v>2190</v>
      </c>
      <c r="B1941" s="4">
        <v>15780</v>
      </c>
      <c r="C1941" s="5">
        <f>DATE(2012,12,31)-628</f>
        <v>40646</v>
      </c>
      <c r="D1941" s="4" t="s">
        <v>78</v>
      </c>
      <c r="E1941" s="4">
        <v>19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8"/>
        <v>40648</v>
      </c>
    </row>
    <row r="1942" spans="1:21" ht="12" customHeight="1">
      <c r="A1942" s="4">
        <v>2225</v>
      </c>
      <c r="B1942" s="4">
        <v>16098</v>
      </c>
      <c r="C1942" s="5">
        <f>DATE(2012,12,31)-163</f>
        <v>41111</v>
      </c>
      <c r="D1942" s="4" t="s">
        <v>21</v>
      </c>
      <c r="E1942" s="4">
        <v>31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spans="1:21" ht="12" customHeight="1">
      <c r="A1943" s="4">
        <v>2229</v>
      </c>
      <c r="B1943" s="4">
        <v>16103</v>
      </c>
      <c r="C1943" s="5">
        <f>DATE(2012,12,31)-169</f>
        <v>41105</v>
      </c>
      <c r="D1943" s="4" t="s">
        <v>45</v>
      </c>
      <c r="E1943" s="4">
        <v>31</v>
      </c>
      <c r="F1943" s="4">
        <v>217.14</v>
      </c>
      <c r="G1943" s="4">
        <v>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59">C1943+2</f>
        <v>41107</v>
      </c>
    </row>
    <row r="1944" spans="1:21" ht="12" customHeight="1">
      <c r="A1944" s="4">
        <v>2596</v>
      </c>
      <c r="B1944" s="4">
        <v>18757</v>
      </c>
      <c r="C1944" s="5">
        <f t="shared" ref="C1944:C1945" si="860">DATE(2012,12,31)-223</f>
        <v>41051</v>
      </c>
      <c r="D1944" s="4" t="s">
        <v>21</v>
      </c>
      <c r="E1944" s="4">
        <v>9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59"/>
        <v>41053</v>
      </c>
    </row>
    <row r="1945" spans="1:21" ht="12" customHeight="1">
      <c r="A1945" s="4">
        <v>2597</v>
      </c>
      <c r="B1945" s="4">
        <v>18757</v>
      </c>
      <c r="C1945" s="5">
        <f t="shared" si="860"/>
        <v>41051</v>
      </c>
      <c r="D1945" s="4" t="s">
        <v>21</v>
      </c>
      <c r="E1945" s="4">
        <v>5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spans="1:21" ht="12" customHeight="1">
      <c r="A1946" s="4">
        <v>2852</v>
      </c>
      <c r="B1946" s="4">
        <v>20545</v>
      </c>
      <c r="C1946" s="5">
        <f t="shared" ref="C1946:C1948" si="861">DATE(2012,12,31)-814</f>
        <v>40460</v>
      </c>
      <c r="D1946" s="4" t="s">
        <v>45</v>
      </c>
      <c r="E1946" s="4">
        <v>1</v>
      </c>
      <c r="F1946" s="4">
        <v>361.94</v>
      </c>
      <c r="G1946" s="4">
        <v>0.05</v>
      </c>
      <c r="H1946" s="4" t="s">
        <v>31</v>
      </c>
      <c r="I1946" s="6">
        <v>-163.58000000000001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spans="1:21" ht="12" customHeight="1">
      <c r="A1947" s="4">
        <v>2853</v>
      </c>
      <c r="B1947" s="4">
        <v>20545</v>
      </c>
      <c r="C1947" s="5">
        <f t="shared" si="861"/>
        <v>40460</v>
      </c>
      <c r="D1947" s="4" t="s">
        <v>45</v>
      </c>
      <c r="E1947" s="4">
        <v>31</v>
      </c>
      <c r="F1947" s="4">
        <v>1276.04</v>
      </c>
      <c r="G1947" s="4">
        <v>0.02</v>
      </c>
      <c r="H1947" s="4" t="s">
        <v>22</v>
      </c>
      <c r="I1947" s="6">
        <v>554.95000000000005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2">C1947+2</f>
        <v>40462</v>
      </c>
    </row>
    <row r="1948" spans="1:21" ht="12" customHeight="1">
      <c r="A1948" s="4">
        <v>2854</v>
      </c>
      <c r="B1948" s="4">
        <v>20545</v>
      </c>
      <c r="C1948" s="5">
        <f t="shared" si="861"/>
        <v>40460</v>
      </c>
      <c r="D1948" s="4" t="s">
        <v>45</v>
      </c>
      <c r="E1948" s="4">
        <v>40</v>
      </c>
      <c r="F1948" s="4">
        <v>2894.68</v>
      </c>
      <c r="G1948" s="4">
        <v>0.02</v>
      </c>
      <c r="H1948" s="4" t="s">
        <v>22</v>
      </c>
      <c r="I1948" s="6">
        <v>-1754.3879999999999</v>
      </c>
      <c r="J1948" s="4">
        <v>71.37</v>
      </c>
      <c r="K1948" s="4">
        <v>69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2"/>
        <v>40462</v>
      </c>
    </row>
    <row r="1949" spans="1:21" ht="12" customHeight="1">
      <c r="A1949" s="4">
        <v>2856</v>
      </c>
      <c r="B1949" s="4">
        <v>20577</v>
      </c>
      <c r="C1949" s="5">
        <f>DATE(2012,12,31)-1056</f>
        <v>40218</v>
      </c>
      <c r="D1949" s="4" t="s">
        <v>78</v>
      </c>
      <c r="E1949" s="4">
        <v>15</v>
      </c>
      <c r="F1949" s="4">
        <v>611.67999999999995</v>
      </c>
      <c r="G1949" s="4">
        <v>0.05</v>
      </c>
      <c r="H1949" s="4" t="s">
        <v>22</v>
      </c>
      <c r="I1949" s="6">
        <v>134.75049999999999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2"/>
        <v>40220</v>
      </c>
    </row>
    <row r="1950" spans="1:21" ht="12" customHeight="1">
      <c r="A1950" s="4">
        <v>2881</v>
      </c>
      <c r="B1950" s="4">
        <v>20804</v>
      </c>
      <c r="C1950" s="5">
        <f>DATE(2012,12,31)-401</f>
        <v>40873</v>
      </c>
      <c r="D1950" s="4" t="s">
        <v>21</v>
      </c>
      <c r="E1950" s="4">
        <v>13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0.56000000000000005</v>
      </c>
      <c r="U1950" s="5">
        <f>C1950+7</f>
        <v>40880</v>
      </c>
    </row>
    <row r="1951" spans="1:21" ht="12" customHeight="1">
      <c r="A1951" s="4">
        <v>2960</v>
      </c>
      <c r="B1951" s="4">
        <v>21414</v>
      </c>
      <c r="C1951" s="5">
        <f t="shared" ref="C1951:C1953" si="863">DATE(2012,12,31)-607</f>
        <v>40667</v>
      </c>
      <c r="D1951" s="4" t="s">
        <v>78</v>
      </c>
      <c r="E1951" s="4">
        <v>34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1.0900000000000001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4">C1951+2</f>
        <v>40669</v>
      </c>
    </row>
    <row r="1952" spans="1:21" ht="12" customHeight="1">
      <c r="A1952" s="4">
        <v>2961</v>
      </c>
      <c r="B1952" s="4">
        <v>21414</v>
      </c>
      <c r="C1952" s="5">
        <f t="shared" si="863"/>
        <v>40667</v>
      </c>
      <c r="D1952" s="4" t="s">
        <v>78</v>
      </c>
      <c r="E1952" s="4">
        <v>46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4"/>
        <v>40669</v>
      </c>
    </row>
    <row r="1953" spans="1:21" ht="12" customHeight="1">
      <c r="A1953" s="4">
        <v>2962</v>
      </c>
      <c r="B1953" s="4">
        <v>21414</v>
      </c>
      <c r="C1953" s="5">
        <f t="shared" si="863"/>
        <v>40667</v>
      </c>
      <c r="D1953" s="4" t="s">
        <v>78</v>
      </c>
      <c r="E1953" s="4">
        <v>33</v>
      </c>
      <c r="F1953" s="4">
        <v>3491.6129999999998</v>
      </c>
      <c r="G1953" s="4">
        <v>0.05</v>
      </c>
      <c r="H1953" s="4" t="s">
        <v>22</v>
      </c>
      <c r="I1953" s="6">
        <v>717.69600000000003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spans="1:21" ht="12" customHeight="1">
      <c r="A1954" s="4">
        <v>2969</v>
      </c>
      <c r="B1954" s="4">
        <v>21447</v>
      </c>
      <c r="C1954" s="5">
        <f>DATE(2012,12,31)-942</f>
        <v>40332</v>
      </c>
      <c r="D1954" s="4" t="s">
        <v>45</v>
      </c>
      <c r="E1954" s="4">
        <v>15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0.56999999999999995</v>
      </c>
      <c r="U1954" s="5">
        <f t="shared" ref="U1954:U1955" si="865">C1954+2</f>
        <v>40334</v>
      </c>
    </row>
    <row r="1955" spans="1:21" ht="12" customHeight="1">
      <c r="A1955" s="4">
        <v>3231</v>
      </c>
      <c r="B1955" s="4">
        <v>23174</v>
      </c>
      <c r="C1955" s="5">
        <f t="shared" ref="C1955:C1956" si="866">DATE(2012,12,31)-158</f>
        <v>41116</v>
      </c>
      <c r="D1955" s="4" t="s">
        <v>21</v>
      </c>
      <c r="E1955" s="4">
        <v>16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5"/>
        <v>41118</v>
      </c>
    </row>
    <row r="1956" spans="1:21" ht="12" customHeight="1">
      <c r="A1956" s="4">
        <v>3232</v>
      </c>
      <c r="B1956" s="4">
        <v>23174</v>
      </c>
      <c r="C1956" s="5">
        <f t="shared" si="866"/>
        <v>41116</v>
      </c>
      <c r="D1956" s="4" t="s">
        <v>21</v>
      </c>
      <c r="E1956" s="4">
        <v>8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16.739999999999998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spans="1:21" ht="12" customHeight="1">
      <c r="A1957" s="4">
        <v>3456</v>
      </c>
      <c r="B1957" s="4">
        <v>24640</v>
      </c>
      <c r="C1957" s="5">
        <f>DATE(2012,12,31)-702</f>
        <v>40572</v>
      </c>
      <c r="D1957" s="4" t="s">
        <v>63</v>
      </c>
      <c r="E1957" s="4">
        <v>12</v>
      </c>
      <c r="F1957" s="4">
        <v>1379.98</v>
      </c>
      <c r="G1957" s="4">
        <v>0.06</v>
      </c>
      <c r="H1957" s="4" t="s">
        <v>31</v>
      </c>
      <c r="I1957" s="6">
        <v>-151.72999999999999</v>
      </c>
      <c r="J1957" s="4">
        <v>113.98</v>
      </c>
      <c r="K1957" s="4">
        <v>30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spans="1:21" ht="12" customHeight="1">
      <c r="A1958" s="4">
        <v>3516</v>
      </c>
      <c r="B1958" s="4">
        <v>25056</v>
      </c>
      <c r="C1958" s="5">
        <f>DATE(2012,12,31)-832</f>
        <v>40442</v>
      </c>
      <c r="D1958" s="4" t="s">
        <v>45</v>
      </c>
      <c r="E1958" s="4">
        <v>41</v>
      </c>
      <c r="F1958" s="4">
        <v>295.12</v>
      </c>
      <c r="G1958" s="4">
        <v>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7">C1958+2</f>
        <v>40444</v>
      </c>
    </row>
    <row r="1959" spans="1:21" ht="12" customHeight="1">
      <c r="A1959" s="4">
        <v>3665</v>
      </c>
      <c r="B1959" s="4">
        <v>26244</v>
      </c>
      <c r="C1959" s="5">
        <f>DATE(2012,12,31)-881</f>
        <v>40393</v>
      </c>
      <c r="D1959" s="4" t="s">
        <v>30</v>
      </c>
      <c r="E1959" s="4">
        <v>16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8.4600000000000009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7"/>
        <v>40395</v>
      </c>
    </row>
    <row r="1960" spans="1:21" ht="12" customHeight="1">
      <c r="A1960" s="4">
        <v>3816</v>
      </c>
      <c r="B1960" s="4">
        <v>27201</v>
      </c>
      <c r="C1960" s="5">
        <f t="shared" ref="C1960:C1961" si="868">DATE(2012,12,31)-159</f>
        <v>41115</v>
      </c>
      <c r="D1960" s="4" t="s">
        <v>30</v>
      </c>
      <c r="E1960" s="4">
        <v>10</v>
      </c>
      <c r="F1960" s="4">
        <v>5056.8900000000003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69">C1960+0</f>
        <v>41115</v>
      </c>
    </row>
    <row r="1961" spans="1:21" ht="12" customHeight="1">
      <c r="A1961" s="4">
        <v>3817</v>
      </c>
      <c r="B1961" s="4">
        <v>27201</v>
      </c>
      <c r="C1961" s="5">
        <f t="shared" si="868"/>
        <v>41115</v>
      </c>
      <c r="D1961" s="4" t="s">
        <v>30</v>
      </c>
      <c r="E1961" s="4">
        <v>45</v>
      </c>
      <c r="F1961" s="4">
        <v>3500.1</v>
      </c>
      <c r="G1961" s="4">
        <v>0.01</v>
      </c>
      <c r="H1961" s="4" t="s">
        <v>31</v>
      </c>
      <c r="I1961" s="6">
        <v>-2661.3180000000002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69"/>
        <v>41115</v>
      </c>
    </row>
    <row r="1962" spans="1:21" ht="12" customHeight="1">
      <c r="A1962" s="4">
        <v>3897</v>
      </c>
      <c r="B1962" s="4">
        <v>27808</v>
      </c>
      <c r="C1962" s="5">
        <f>DATE(2012,12,31)-1070</f>
        <v>40204</v>
      </c>
      <c r="D1962" s="4" t="s">
        <v>21</v>
      </c>
      <c r="E1962" s="4">
        <v>9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spans="1:21" ht="12" customHeight="1">
      <c r="A1963" s="4">
        <v>4173</v>
      </c>
      <c r="B1963" s="4">
        <v>29573</v>
      </c>
      <c r="C1963" s="5">
        <f>DATE(2012,12,31)-350</f>
        <v>40924</v>
      </c>
      <c r="D1963" s="4" t="s">
        <v>78</v>
      </c>
      <c r="E1963" s="4">
        <v>43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9.5399999999999991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0">C1963+2</f>
        <v>40926</v>
      </c>
    </row>
    <row r="1964" spans="1:21" ht="12" customHeight="1">
      <c r="A1964" s="4">
        <v>4203</v>
      </c>
      <c r="B1964" s="4">
        <v>29862</v>
      </c>
      <c r="C1964" s="5">
        <f>DATE(2012,12,31)-561</f>
        <v>40713</v>
      </c>
      <c r="D1964" s="4" t="s">
        <v>63</v>
      </c>
      <c r="E1964" s="4">
        <v>34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0"/>
        <v>40715</v>
      </c>
    </row>
    <row r="1965" spans="1:21" ht="12" customHeight="1">
      <c r="A1965" s="4">
        <v>4276</v>
      </c>
      <c r="B1965" s="4">
        <v>30433</v>
      </c>
      <c r="C1965" s="5">
        <f>DATE(2012,12,31)-936</f>
        <v>40338</v>
      </c>
      <c r="D1965" s="4" t="s">
        <v>63</v>
      </c>
      <c r="E1965" s="4">
        <v>17</v>
      </c>
      <c r="F1965" s="4">
        <v>253.38</v>
      </c>
      <c r="G1965" s="4">
        <v>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0.56000000000000005</v>
      </c>
      <c r="U1965" s="5">
        <f>C1965+0</f>
        <v>40338</v>
      </c>
    </row>
    <row r="1966" spans="1:21" ht="12" customHeight="1">
      <c r="A1966" s="4">
        <v>4284</v>
      </c>
      <c r="B1966" s="4">
        <v>30532</v>
      </c>
      <c r="C1966" s="5">
        <f t="shared" ref="C1966:C1969" si="871">DATE(2012,12,31)-401</f>
        <v>40873</v>
      </c>
      <c r="D1966" s="4" t="s">
        <v>30</v>
      </c>
      <c r="E1966" s="4">
        <v>28</v>
      </c>
      <c r="F1966" s="4">
        <v>431.37</v>
      </c>
      <c r="G1966" s="4">
        <v>0.03</v>
      </c>
      <c r="H1966" s="4" t="s">
        <v>22</v>
      </c>
      <c r="I1966" s="6">
        <v>-28.669499999999999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2">C1966+1</f>
        <v>40874</v>
      </c>
    </row>
    <row r="1967" spans="1:21" ht="12" customHeight="1">
      <c r="A1967" s="4">
        <v>4285</v>
      </c>
      <c r="B1967" s="4">
        <v>30532</v>
      </c>
      <c r="C1967" s="5">
        <f t="shared" si="871"/>
        <v>40873</v>
      </c>
      <c r="D1967" s="4" t="s">
        <v>30</v>
      </c>
      <c r="E1967" s="4">
        <v>23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2"/>
        <v>40874</v>
      </c>
    </row>
    <row r="1968" spans="1:21" ht="12" customHeight="1">
      <c r="A1968" s="4">
        <v>4286</v>
      </c>
      <c r="B1968" s="4">
        <v>30532</v>
      </c>
      <c r="C1968" s="5">
        <f t="shared" si="871"/>
        <v>40873</v>
      </c>
      <c r="D1968" s="4" t="s">
        <v>30</v>
      </c>
      <c r="E1968" s="4">
        <v>45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3">C1968+2</f>
        <v>40875</v>
      </c>
    </row>
    <row r="1969" spans="1:21" ht="12" customHeight="1">
      <c r="A1969" s="4">
        <v>4287</v>
      </c>
      <c r="B1969" s="4">
        <v>30532</v>
      </c>
      <c r="C1969" s="5">
        <f t="shared" si="871"/>
        <v>40873</v>
      </c>
      <c r="D1969" s="4" t="s">
        <v>30</v>
      </c>
      <c r="E1969" s="4">
        <v>9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3"/>
        <v>40875</v>
      </c>
    </row>
    <row r="1970" spans="1:21" ht="12" customHeight="1">
      <c r="A1970" s="4">
        <v>4297</v>
      </c>
      <c r="B1970" s="4">
        <v>30597</v>
      </c>
      <c r="C1970" s="5">
        <f t="shared" ref="C1970:C1971" si="874">DATE(2012,12,31)-148</f>
        <v>41126</v>
      </c>
      <c r="D1970" s="4" t="s">
        <v>30</v>
      </c>
      <c r="E1970" s="4">
        <v>18</v>
      </c>
      <c r="F1970" s="4">
        <v>93.02</v>
      </c>
      <c r="G1970" s="4">
        <v>7.0000000000000007E-2</v>
      </c>
      <c r="H1970" s="4" t="s">
        <v>22</v>
      </c>
      <c r="I1970" s="6">
        <v>20.010000000000002</v>
      </c>
      <c r="J1970" s="4">
        <v>5.08</v>
      </c>
      <c r="K1970" s="4">
        <v>2.0299999999999998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3"/>
        <v>41128</v>
      </c>
    </row>
    <row r="1971" spans="1:21" ht="12" customHeight="1">
      <c r="A1971" s="4">
        <v>4298</v>
      </c>
      <c r="B1971" s="4">
        <v>30597</v>
      </c>
      <c r="C1971" s="5">
        <f t="shared" si="874"/>
        <v>41126</v>
      </c>
      <c r="D1971" s="4" t="s">
        <v>30</v>
      </c>
      <c r="E1971" s="4">
        <v>42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spans="1:21" ht="12" customHeight="1">
      <c r="A1972" s="4">
        <v>4349</v>
      </c>
      <c r="B1972" s="4">
        <v>30981</v>
      </c>
      <c r="C1972" s="5">
        <f t="shared" ref="C1972:C1973" si="875">DATE(2012,12,31)-685</f>
        <v>40589</v>
      </c>
      <c r="D1972" s="4" t="s">
        <v>21</v>
      </c>
      <c r="E1972" s="4">
        <v>29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spans="1:21" ht="12" customHeight="1">
      <c r="A1973" s="4">
        <v>4350</v>
      </c>
      <c r="B1973" s="4">
        <v>30981</v>
      </c>
      <c r="C1973" s="5">
        <f t="shared" si="875"/>
        <v>40589</v>
      </c>
      <c r="D1973" s="4" t="s">
        <v>21</v>
      </c>
      <c r="E1973" s="4">
        <v>22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6">C1973+2</f>
        <v>40591</v>
      </c>
    </row>
    <row r="1974" spans="1:21" ht="12" customHeight="1">
      <c r="A1974" s="4">
        <v>4455</v>
      </c>
      <c r="B1974" s="4">
        <v>31751</v>
      </c>
      <c r="C1974" s="5">
        <f>DATE(2012,12,31)-585</f>
        <v>40689</v>
      </c>
      <c r="D1974" s="4" t="s">
        <v>30</v>
      </c>
      <c r="E1974" s="4">
        <v>31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6"/>
        <v>40691</v>
      </c>
    </row>
    <row r="1975" spans="1:21" ht="12" customHeight="1">
      <c r="A1975" s="4">
        <v>4492</v>
      </c>
      <c r="B1975" s="4">
        <v>32000</v>
      </c>
      <c r="C1975" s="5">
        <f t="shared" ref="C1975:C1976" si="877">DATE(2012,12,31)-109</f>
        <v>41165</v>
      </c>
      <c r="D1975" s="4" t="s">
        <v>21</v>
      </c>
      <c r="E1975" s="4">
        <v>49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6"/>
        <v>41167</v>
      </c>
    </row>
    <row r="1976" spans="1:21" ht="12" customHeight="1">
      <c r="A1976" s="4">
        <v>4493</v>
      </c>
      <c r="B1976" s="4">
        <v>32000</v>
      </c>
      <c r="C1976" s="5">
        <f t="shared" si="877"/>
        <v>41165</v>
      </c>
      <c r="D1976" s="4" t="s">
        <v>21</v>
      </c>
      <c r="E1976" s="4">
        <v>26</v>
      </c>
      <c r="F1976" s="4">
        <v>15168.82</v>
      </c>
      <c r="G1976" s="4">
        <v>0.02</v>
      </c>
      <c r="H1976" s="4" t="s">
        <v>31</v>
      </c>
      <c r="I1976" s="6">
        <v>-1096.7760000000001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spans="1:21" ht="12" customHeight="1">
      <c r="A1977" s="4">
        <v>4918</v>
      </c>
      <c r="B1977" s="4">
        <v>35012</v>
      </c>
      <c r="C1977" s="5">
        <f t="shared" ref="C1977:C1978" si="878">DATE(2012,12,31)-206</f>
        <v>41068</v>
      </c>
      <c r="D1977" s="4" t="s">
        <v>63</v>
      </c>
      <c r="E1977" s="4">
        <v>10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4.9800000000000004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0.57999999999999996</v>
      </c>
      <c r="U1977" s="5">
        <f>C1977+0</f>
        <v>41068</v>
      </c>
    </row>
    <row r="1978" spans="1:21" ht="12" customHeight="1">
      <c r="A1978" s="4">
        <v>4919</v>
      </c>
      <c r="B1978" s="4">
        <v>35012</v>
      </c>
      <c r="C1978" s="5">
        <f t="shared" si="878"/>
        <v>41068</v>
      </c>
      <c r="D1978" s="4" t="s">
        <v>63</v>
      </c>
      <c r="E1978" s="4">
        <v>11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0.56000000000000005</v>
      </c>
      <c r="U1978" s="5">
        <f t="shared" ref="U1978:U1979" si="879">C1978+1</f>
        <v>41069</v>
      </c>
    </row>
    <row r="1979" spans="1:21" ht="12" customHeight="1">
      <c r="A1979" s="4">
        <v>4922</v>
      </c>
      <c r="B1979" s="4">
        <v>35042</v>
      </c>
      <c r="C1979" s="5">
        <f>DATE(2012,12,31)-760</f>
        <v>40514</v>
      </c>
      <c r="D1979" s="4" t="s">
        <v>45</v>
      </c>
      <c r="E1979" s="4">
        <v>23</v>
      </c>
      <c r="F1979" s="4">
        <v>1196.8599999999999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79"/>
        <v>40515</v>
      </c>
    </row>
    <row r="1980" spans="1:21" ht="12" customHeight="1">
      <c r="A1980" s="4">
        <v>5009</v>
      </c>
      <c r="B1980" s="4">
        <v>35713</v>
      </c>
      <c r="C1980" s="5">
        <f>DATE(2012,12,31)-75</f>
        <v>41199</v>
      </c>
      <c r="D1980" s="4" t="s">
        <v>63</v>
      </c>
      <c r="E1980" s="4">
        <v>49</v>
      </c>
      <c r="F1980" s="4">
        <v>1355.47</v>
      </c>
      <c r="G1980" s="4">
        <v>0.04</v>
      </c>
      <c r="H1980" s="4" t="s">
        <v>22</v>
      </c>
      <c r="I1980" s="6">
        <v>590.04449999999997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spans="1:21" ht="12" customHeight="1">
      <c r="A1981" s="4">
        <v>5082</v>
      </c>
      <c r="B1981" s="4">
        <v>36229</v>
      </c>
      <c r="C1981" s="5">
        <f t="shared" ref="C1981:C1982" si="880">DATE(2012,12,31)-101</f>
        <v>41173</v>
      </c>
      <c r="D1981" s="4" t="s">
        <v>45</v>
      </c>
      <c r="E1981" s="4">
        <v>12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spans="1:21" ht="12" customHeight="1">
      <c r="A1982" s="4">
        <v>5083</v>
      </c>
      <c r="B1982" s="4">
        <v>36229</v>
      </c>
      <c r="C1982" s="5">
        <f t="shared" si="880"/>
        <v>41173</v>
      </c>
      <c r="D1982" s="4" t="s">
        <v>45</v>
      </c>
      <c r="E1982" s="4">
        <v>24</v>
      </c>
      <c r="F1982" s="4">
        <v>3590.33</v>
      </c>
      <c r="G1982" s="4">
        <v>0.01</v>
      </c>
      <c r="H1982" s="4" t="s">
        <v>31</v>
      </c>
      <c r="I1982" s="6">
        <v>-31.725000000000001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spans="1:21" ht="12" customHeight="1">
      <c r="A1983" s="4">
        <v>5199</v>
      </c>
      <c r="B1983" s="4">
        <v>36933</v>
      </c>
      <c r="C1983" s="5">
        <f>DATE(2012,12,31)-538</f>
        <v>40736</v>
      </c>
      <c r="D1983" s="4" t="s">
        <v>30</v>
      </c>
      <c r="E1983" s="4">
        <v>32</v>
      </c>
      <c r="F1983" s="4">
        <v>115.81</v>
      </c>
      <c r="G1983" s="4">
        <v>7.0000000000000007E-2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spans="1:21" ht="12" customHeight="1">
      <c r="A1984" s="4">
        <v>5219</v>
      </c>
      <c r="B1984" s="4">
        <v>37152</v>
      </c>
      <c r="C1984" s="5">
        <f t="shared" ref="C1984:C1985" si="881">DATE(2012,12,31)-589</f>
        <v>40685</v>
      </c>
      <c r="D1984" s="4" t="s">
        <v>63</v>
      </c>
      <c r="E1984" s="4">
        <v>39</v>
      </c>
      <c r="F1984" s="4">
        <v>4647.6899999999996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2">C1984+2</f>
        <v>40687</v>
      </c>
    </row>
    <row r="1985" spans="1:21" ht="12" customHeight="1">
      <c r="A1985" s="4">
        <v>5220</v>
      </c>
      <c r="B1985" s="4">
        <v>37152</v>
      </c>
      <c r="C1985" s="5">
        <f t="shared" si="881"/>
        <v>40685</v>
      </c>
      <c r="D1985" s="4" t="s">
        <v>63</v>
      </c>
      <c r="E1985" s="4">
        <v>45</v>
      </c>
      <c r="F1985" s="4">
        <v>2503.3265000000001</v>
      </c>
      <c r="G1985" s="4">
        <v>0.04</v>
      </c>
      <c r="H1985" s="4" t="s">
        <v>22</v>
      </c>
      <c r="I1985" s="6">
        <v>447.12</v>
      </c>
      <c r="J1985" s="4">
        <v>65.989999999999995</v>
      </c>
      <c r="K1985" s="4">
        <v>8.8000000000000007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0.57999999999999996</v>
      </c>
      <c r="U1985" s="5">
        <f t="shared" si="882"/>
        <v>40687</v>
      </c>
    </row>
    <row r="1986" spans="1:21" ht="12" customHeight="1">
      <c r="A1986" s="4">
        <v>5228</v>
      </c>
      <c r="B1986" s="4">
        <v>37223</v>
      </c>
      <c r="C1986" s="5">
        <f t="shared" ref="C1986:C1988" si="883">DATE(2012,12,31)-417</f>
        <v>40857</v>
      </c>
      <c r="D1986" s="4" t="s">
        <v>21</v>
      </c>
      <c r="E1986" s="4">
        <v>21</v>
      </c>
      <c r="F1986" s="4">
        <v>2731.73</v>
      </c>
      <c r="G1986" s="4">
        <v>7.0000000000000007E-2</v>
      </c>
      <c r="H1986" s="4" t="s">
        <v>56</v>
      </c>
      <c r="I1986" s="6">
        <v>310.58999999999997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0.57999999999999996</v>
      </c>
      <c r="U1986" s="5">
        <f>C1986+4</f>
        <v>40861</v>
      </c>
    </row>
    <row r="1987" spans="1:21" ht="12" customHeight="1">
      <c r="A1987" s="4">
        <v>5229</v>
      </c>
      <c r="B1987" s="4">
        <v>37223</v>
      </c>
      <c r="C1987" s="5">
        <f t="shared" si="883"/>
        <v>40857</v>
      </c>
      <c r="D1987" s="4" t="s">
        <v>21</v>
      </c>
      <c r="E1987" s="4">
        <v>40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9.4700000000000006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spans="1:21" ht="12" customHeight="1">
      <c r="A1988" s="4">
        <v>5230</v>
      </c>
      <c r="B1988" s="4">
        <v>37223</v>
      </c>
      <c r="C1988" s="5">
        <f t="shared" si="883"/>
        <v>40857</v>
      </c>
      <c r="D1988" s="4" t="s">
        <v>21</v>
      </c>
      <c r="E1988" s="4">
        <v>38</v>
      </c>
      <c r="F1988" s="4">
        <v>5176.2700000000004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spans="1:21" ht="12" customHeight="1">
      <c r="A1989" s="4">
        <v>5527</v>
      </c>
      <c r="B1989" s="4">
        <v>39168</v>
      </c>
      <c r="C1989" s="5">
        <f t="shared" ref="C1989:C1991" si="884">DATE(2012,12,31)-228</f>
        <v>41046</v>
      </c>
      <c r="D1989" s="4" t="s">
        <v>30</v>
      </c>
      <c r="E1989" s="4">
        <v>22</v>
      </c>
      <c r="F1989" s="4">
        <v>809.91</v>
      </c>
      <c r="G1989" s="4">
        <v>7.0000000000000007E-2</v>
      </c>
      <c r="H1989" s="4" t="s">
        <v>22</v>
      </c>
      <c r="I1989" s="6">
        <v>321.67399999999998</v>
      </c>
      <c r="J1989" s="4">
        <v>37.700000000000003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spans="1:21" ht="12" customHeight="1">
      <c r="A1990" s="4">
        <v>5528</v>
      </c>
      <c r="B1990" s="4">
        <v>39168</v>
      </c>
      <c r="C1990" s="5">
        <f t="shared" si="884"/>
        <v>41046</v>
      </c>
      <c r="D1990" s="4" t="s">
        <v>30</v>
      </c>
      <c r="E1990" s="4">
        <v>50</v>
      </c>
      <c r="F1990" s="4">
        <v>1027.6600000000001</v>
      </c>
      <c r="G1990" s="4">
        <v>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5">C1990+2</f>
        <v>41048</v>
      </c>
    </row>
    <row r="1991" spans="1:21" ht="12" customHeight="1">
      <c r="A1991" s="4">
        <v>5529</v>
      </c>
      <c r="B1991" s="4">
        <v>39168</v>
      </c>
      <c r="C1991" s="5">
        <f t="shared" si="884"/>
        <v>41046</v>
      </c>
      <c r="D1991" s="4" t="s">
        <v>30</v>
      </c>
      <c r="E1991" s="4">
        <v>30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5"/>
        <v>41048</v>
      </c>
    </row>
    <row r="1992" spans="1:21" ht="12" customHeight="1">
      <c r="A1992" s="4">
        <v>5555</v>
      </c>
      <c r="B1992" s="4">
        <v>39333</v>
      </c>
      <c r="C1992" s="5">
        <f t="shared" ref="C1992:C1993" si="886">DATE(2012,12,31)-1048</f>
        <v>40226</v>
      </c>
      <c r="D1992" s="4" t="s">
        <v>78</v>
      </c>
      <c r="E1992" s="4">
        <v>31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0.55000000000000004</v>
      </c>
      <c r="U1992" s="5">
        <f t="shared" si="885"/>
        <v>40228</v>
      </c>
    </row>
    <row r="1993" spans="1:21" ht="12" customHeight="1">
      <c r="A1993" s="4">
        <v>5556</v>
      </c>
      <c r="B1993" s="4">
        <v>39333</v>
      </c>
      <c r="C1993" s="5">
        <f t="shared" si="886"/>
        <v>40226</v>
      </c>
      <c r="D1993" s="4" t="s">
        <v>78</v>
      </c>
      <c r="E1993" s="4">
        <v>18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4.9800000000000004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7">C1993+0</f>
        <v>40226</v>
      </c>
    </row>
    <row r="1994" spans="1:21" ht="12" customHeight="1">
      <c r="A1994" s="4">
        <v>5685</v>
      </c>
      <c r="B1994" s="4">
        <v>40193</v>
      </c>
      <c r="C1994" s="5">
        <f>DATE(2012,12,31)-120</f>
        <v>41154</v>
      </c>
      <c r="D1994" s="4" t="s">
        <v>30</v>
      </c>
      <c r="E1994" s="4">
        <v>34</v>
      </c>
      <c r="F1994" s="4">
        <v>3130.2015000000001</v>
      </c>
      <c r="G1994" s="4">
        <v>7.0000000000000007E-2</v>
      </c>
      <c r="H1994" s="4" t="s">
        <v>56</v>
      </c>
      <c r="I1994" s="6">
        <v>692.77499999999998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0.56999999999999995</v>
      </c>
      <c r="U1994" s="5">
        <f t="shared" si="887"/>
        <v>41154</v>
      </c>
    </row>
    <row r="1995" spans="1:21" ht="12" customHeight="1">
      <c r="A1995" s="4">
        <v>5974</v>
      </c>
      <c r="B1995" s="4">
        <v>42369</v>
      </c>
      <c r="C1995" s="5">
        <f>DATE(2012,12,31)-879</f>
        <v>40395</v>
      </c>
      <c r="D1995" s="4" t="s">
        <v>78</v>
      </c>
      <c r="E1995" s="4">
        <v>44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spans="1:21" ht="12" customHeight="1">
      <c r="A1996" s="4">
        <v>6022</v>
      </c>
      <c r="B1996" s="4">
        <v>42690</v>
      </c>
      <c r="C1996" s="5">
        <f t="shared" ref="C1996:C1997" si="888">DATE(2012,12,31)-825</f>
        <v>40449</v>
      </c>
      <c r="D1996" s="4" t="s">
        <v>21</v>
      </c>
      <c r="E1996" s="4">
        <v>44</v>
      </c>
      <c r="F1996" s="4">
        <v>18697.240000000002</v>
      </c>
      <c r="G1996" s="4">
        <v>0.02</v>
      </c>
      <c r="H1996" s="4" t="s">
        <v>22</v>
      </c>
      <c r="I1996" s="6">
        <v>8918.7354999999989</v>
      </c>
      <c r="J1996" s="4">
        <v>420.98</v>
      </c>
      <c r="K1996" s="4">
        <v>19.989999999999998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89">C1996+4</f>
        <v>40453</v>
      </c>
    </row>
    <row r="1997" spans="1:21" ht="12" customHeight="1">
      <c r="A1997" s="4">
        <v>6023</v>
      </c>
      <c r="B1997" s="4">
        <v>42690</v>
      </c>
      <c r="C1997" s="5">
        <f t="shared" si="888"/>
        <v>40449</v>
      </c>
      <c r="D1997" s="4" t="s">
        <v>21</v>
      </c>
      <c r="E1997" s="4">
        <v>48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16.739999999999998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89"/>
        <v>40453</v>
      </c>
    </row>
    <row r="1998" spans="1:21" ht="12" customHeight="1">
      <c r="A1998" s="4">
        <v>6369</v>
      </c>
      <c r="B1998" s="4">
        <v>45184</v>
      </c>
      <c r="C1998" s="5">
        <f t="shared" ref="C1998:C1999" si="890">DATE(2012,12,31)-928</f>
        <v>40346</v>
      </c>
      <c r="D1998" s="4" t="s">
        <v>21</v>
      </c>
      <c r="E1998" s="4">
        <v>25</v>
      </c>
      <c r="F1998" s="4">
        <v>14647.26</v>
      </c>
      <c r="G1998" s="4">
        <v>7.0000000000000007E-2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spans="1:21" ht="12" customHeight="1">
      <c r="A1999" s="4">
        <v>6370</v>
      </c>
      <c r="B1999" s="4">
        <v>45184</v>
      </c>
      <c r="C1999" s="5">
        <f t="shared" si="890"/>
        <v>40346</v>
      </c>
      <c r="D1999" s="4" t="s">
        <v>21</v>
      </c>
      <c r="E1999" s="4">
        <v>10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spans="1:21" ht="12" customHeight="1">
      <c r="A2000" s="4">
        <v>6421</v>
      </c>
      <c r="B2000" s="4">
        <v>45632</v>
      </c>
      <c r="C2000" s="5">
        <f>DATE(2012,12,31)-966</f>
        <v>40308</v>
      </c>
      <c r="D2000" s="4" t="s">
        <v>45</v>
      </c>
      <c r="E2000" s="4">
        <v>50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1">C2000+1</f>
        <v>40309</v>
      </c>
    </row>
    <row r="2001" spans="1:21" ht="12" customHeight="1">
      <c r="A2001" s="4">
        <v>6499</v>
      </c>
      <c r="B2001" s="4">
        <v>46276</v>
      </c>
      <c r="C2001" s="5">
        <f t="shared" ref="C2001:C2002" si="892">DATE(2012,12,31)-22</f>
        <v>41252</v>
      </c>
      <c r="D2001" s="4" t="s">
        <v>78</v>
      </c>
      <c r="E2001" s="4">
        <v>4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1"/>
        <v>41253</v>
      </c>
    </row>
    <row r="2002" spans="1:21" ht="12" customHeight="1">
      <c r="A2002" s="4">
        <v>6500</v>
      </c>
      <c r="B2002" s="4">
        <v>46276</v>
      </c>
      <c r="C2002" s="5">
        <f t="shared" si="892"/>
        <v>41252</v>
      </c>
      <c r="D2002" s="4" t="s">
        <v>78</v>
      </c>
      <c r="E2002" s="4">
        <v>23</v>
      </c>
      <c r="F2002" s="4">
        <v>16743.759999999998</v>
      </c>
      <c r="G2002" s="4">
        <v>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spans="1:21" ht="12" customHeight="1">
      <c r="A2003" s="4">
        <v>6551</v>
      </c>
      <c r="B2003" s="4">
        <v>46566</v>
      </c>
      <c r="C2003" s="5">
        <f>DATE(2012,12,31)-266</f>
        <v>41008</v>
      </c>
      <c r="D2003" s="4" t="s">
        <v>63</v>
      </c>
      <c r="E2003" s="4">
        <v>49</v>
      </c>
      <c r="F2003" s="4">
        <v>1534.7</v>
      </c>
      <c r="G2003" s="4">
        <v>7.0000000000000007E-2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spans="1:21" ht="12" customHeight="1">
      <c r="A2004" s="4">
        <v>6919</v>
      </c>
      <c r="B2004" s="4">
        <v>49349</v>
      </c>
      <c r="C2004" s="5">
        <f t="shared" ref="C2004:C2005" si="893">DATE(2012,12,31)-579</f>
        <v>40695</v>
      </c>
      <c r="D2004" s="4" t="s">
        <v>30</v>
      </c>
      <c r="E2004" s="4">
        <v>11</v>
      </c>
      <c r="F2004" s="4">
        <v>123.34</v>
      </c>
      <c r="G2004" s="4">
        <v>7.0000000000000007E-2</v>
      </c>
      <c r="H2004" s="4" t="s">
        <v>22</v>
      </c>
      <c r="I2004" s="6">
        <v>0.64000000000000057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spans="1:21" ht="12" customHeight="1">
      <c r="A2005" s="4">
        <v>6920</v>
      </c>
      <c r="B2005" s="4">
        <v>49349</v>
      </c>
      <c r="C2005" s="5">
        <f t="shared" si="893"/>
        <v>40695</v>
      </c>
      <c r="D2005" s="4" t="s">
        <v>30</v>
      </c>
      <c r="E2005" s="4">
        <v>23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spans="1:21" ht="12" customHeight="1">
      <c r="A2006" s="4">
        <v>7050</v>
      </c>
      <c r="B2006" s="4">
        <v>50309</v>
      </c>
      <c r="C2006" s="5">
        <f>DATE(2012,12,31)-657</f>
        <v>40617</v>
      </c>
      <c r="D2006" s="4" t="s">
        <v>21</v>
      </c>
      <c r="E2006" s="4">
        <v>36</v>
      </c>
      <c r="F2006" s="4">
        <v>243.18</v>
      </c>
      <c r="G2006" s="4">
        <v>0.08</v>
      </c>
      <c r="H2006" s="4" t="s">
        <v>22</v>
      </c>
      <c r="I2006" s="6">
        <v>-314.22000000000003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spans="1:21" ht="12" customHeight="1">
      <c r="A2007" s="4">
        <v>7349</v>
      </c>
      <c r="B2007" s="4">
        <v>52327</v>
      </c>
      <c r="C2007" s="5">
        <f t="shared" ref="C2007:C2008" si="894">DATE(2012,12,31)-377</f>
        <v>40897</v>
      </c>
      <c r="D2007" s="4" t="s">
        <v>63</v>
      </c>
      <c r="E2007" s="4">
        <v>27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152.47999999999999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spans="1:21" ht="12" customHeight="1">
      <c r="A2008" s="4">
        <v>7350</v>
      </c>
      <c r="B2008" s="4">
        <v>52327</v>
      </c>
      <c r="C2008" s="5">
        <f t="shared" si="894"/>
        <v>40897</v>
      </c>
      <c r="D2008" s="4" t="s">
        <v>63</v>
      </c>
      <c r="E2008" s="4">
        <v>5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4.9800000000000004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spans="1:21" ht="12" customHeight="1">
      <c r="A2009" s="4">
        <v>7369</v>
      </c>
      <c r="B2009" s="4">
        <v>52516</v>
      </c>
      <c r="C2009" s="5">
        <f t="shared" ref="C2009:C2010" si="895">DATE(2012,12,31)-361</f>
        <v>40913</v>
      </c>
      <c r="D2009" s="4" t="s">
        <v>30</v>
      </c>
      <c r="E2009" s="4">
        <v>50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spans="1:21" ht="12" customHeight="1">
      <c r="A2010" s="4">
        <v>7370</v>
      </c>
      <c r="B2010" s="4">
        <v>52516</v>
      </c>
      <c r="C2010" s="5">
        <f t="shared" si="895"/>
        <v>40913</v>
      </c>
      <c r="D2010" s="4" t="s">
        <v>30</v>
      </c>
      <c r="E2010" s="4">
        <v>19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spans="1:21" ht="12" customHeight="1">
      <c r="A2011" s="4">
        <v>7402</v>
      </c>
      <c r="B2011" s="4">
        <v>52800</v>
      </c>
      <c r="C2011" s="5">
        <f>DATE(2012,12,31)-813</f>
        <v>40461</v>
      </c>
      <c r="D2011" s="4" t="s">
        <v>45</v>
      </c>
      <c r="E2011" s="4">
        <v>13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6">C2011+1</f>
        <v>40462</v>
      </c>
    </row>
    <row r="2012" spans="1:21" ht="12" customHeight="1">
      <c r="A2012" s="4">
        <v>7508</v>
      </c>
      <c r="B2012" s="4">
        <v>53574</v>
      </c>
      <c r="C2012" s="5">
        <f>DATE(2012,12,31)-266</f>
        <v>41008</v>
      </c>
      <c r="D2012" s="4" t="s">
        <v>63</v>
      </c>
      <c r="E2012" s="4">
        <v>8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6"/>
        <v>41009</v>
      </c>
    </row>
    <row r="2013" spans="1:21" ht="12" customHeight="1">
      <c r="A2013" s="4">
        <v>7552</v>
      </c>
      <c r="B2013" s="4">
        <v>54023</v>
      </c>
      <c r="C2013" s="5">
        <f>DATE(2012,12,31)-162</f>
        <v>41112</v>
      </c>
      <c r="D2013" s="4" t="s">
        <v>45</v>
      </c>
      <c r="E2013" s="4">
        <v>45</v>
      </c>
      <c r="F2013" s="4">
        <v>405.6</v>
      </c>
      <c r="G2013" s="4">
        <v>7.0000000000000007E-2</v>
      </c>
      <c r="H2013" s="4" t="s">
        <v>22</v>
      </c>
      <c r="I2013" s="6">
        <v>-8.5904999999999987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6"/>
        <v>41113</v>
      </c>
    </row>
    <row r="2014" spans="1:21" ht="12" customHeight="1">
      <c r="A2014" s="4">
        <v>7737</v>
      </c>
      <c r="B2014" s="4">
        <v>55398</v>
      </c>
      <c r="C2014" s="5">
        <f>DATE(2012,12,31)-1076</f>
        <v>40198</v>
      </c>
      <c r="D2014" s="4" t="s">
        <v>63</v>
      </c>
      <c r="E2014" s="4">
        <v>24</v>
      </c>
      <c r="F2014" s="4">
        <v>154.99</v>
      </c>
      <c r="G2014" s="4">
        <v>7.0000000000000007E-2</v>
      </c>
      <c r="H2014" s="4" t="s">
        <v>22</v>
      </c>
      <c r="I2014" s="6">
        <v>-1085.52</v>
      </c>
      <c r="J2014" s="4">
        <v>4.4800000000000004</v>
      </c>
      <c r="K2014" s="4">
        <v>49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7">C2014+2</f>
        <v>40200</v>
      </c>
    </row>
    <row r="2015" spans="1:21" ht="12" customHeight="1">
      <c r="A2015" s="4">
        <v>7745</v>
      </c>
      <c r="B2015" s="4">
        <v>55458</v>
      </c>
      <c r="C2015" s="5">
        <f t="shared" ref="C2015:C2016" si="898">DATE(2012,12,31)-290</f>
        <v>40984</v>
      </c>
      <c r="D2015" s="4" t="s">
        <v>30</v>
      </c>
      <c r="E2015" s="4">
        <v>32</v>
      </c>
      <c r="F2015" s="4">
        <v>115.78</v>
      </c>
      <c r="G2015" s="4">
        <v>7.0000000000000007E-2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7"/>
        <v>40986</v>
      </c>
    </row>
    <row r="2016" spans="1:21" ht="12" customHeight="1">
      <c r="A2016" s="4">
        <v>7746</v>
      </c>
      <c r="B2016" s="4">
        <v>55458</v>
      </c>
      <c r="C2016" s="5">
        <f t="shared" si="898"/>
        <v>40984</v>
      </c>
      <c r="D2016" s="4" t="s">
        <v>30</v>
      </c>
      <c r="E2016" s="4">
        <v>13</v>
      </c>
      <c r="F2016" s="4">
        <v>210.22</v>
      </c>
      <c r="G2016" s="4">
        <v>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0.56999999999999995</v>
      </c>
      <c r="U2016" s="5">
        <f t="shared" si="897"/>
        <v>40986</v>
      </c>
    </row>
    <row r="2017" spans="1:21" ht="12" customHeight="1">
      <c r="A2017" s="4">
        <v>7801</v>
      </c>
      <c r="B2017" s="4">
        <v>55809</v>
      </c>
      <c r="C2017" s="5">
        <f>DATE(2012,12,31)-478</f>
        <v>40796</v>
      </c>
      <c r="D2017" s="4" t="s">
        <v>78</v>
      </c>
      <c r="E2017" s="4">
        <v>2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7"/>
        <v>40798</v>
      </c>
    </row>
    <row r="2018" spans="1:21" ht="12" customHeight="1">
      <c r="A2018" s="4">
        <v>7969</v>
      </c>
      <c r="B2018" s="4">
        <v>56992</v>
      </c>
      <c r="C2018" s="5">
        <f>DATE(2012,12,31)-988</f>
        <v>40286</v>
      </c>
      <c r="D2018" s="4" t="s">
        <v>45</v>
      </c>
      <c r="E2018" s="4">
        <v>10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17.079999999999998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spans="1:21" ht="12" customHeight="1">
      <c r="A2019" s="4">
        <v>8142</v>
      </c>
      <c r="B2019" s="4">
        <v>58210</v>
      </c>
      <c r="C2019" s="5">
        <f>DATE(2012,12,31)-25</f>
        <v>41249</v>
      </c>
      <c r="D2019" s="4" t="s">
        <v>63</v>
      </c>
      <c r="E2019" s="4">
        <v>38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spans="1:21" ht="12" customHeight="1">
      <c r="A2020" s="4">
        <v>8211</v>
      </c>
      <c r="B2020" s="4">
        <v>58720</v>
      </c>
      <c r="C2020" s="5">
        <f t="shared" ref="C2020:C2021" si="899">DATE(2012,12,31)-1030</f>
        <v>40244</v>
      </c>
      <c r="D2020" s="4" t="s">
        <v>45</v>
      </c>
      <c r="E2020" s="4">
        <v>43</v>
      </c>
      <c r="F2020" s="4">
        <v>2378.8200000000002</v>
      </c>
      <c r="G2020" s="4">
        <v>0.02</v>
      </c>
      <c r="H2020" s="4" t="s">
        <v>22</v>
      </c>
      <c r="I2020" s="6">
        <v>597.15899999999999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spans="1:21" ht="12" customHeight="1">
      <c r="A2021" s="4">
        <v>8212</v>
      </c>
      <c r="B2021" s="4">
        <v>58720</v>
      </c>
      <c r="C2021" s="5">
        <f t="shared" si="899"/>
        <v>40244</v>
      </c>
      <c r="D2021" s="4" t="s">
        <v>45</v>
      </c>
      <c r="E2021" s="4">
        <v>6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spans="1:21" ht="12" customHeight="1">
      <c r="A2022" s="4">
        <v>8230</v>
      </c>
      <c r="B2022" s="4">
        <v>58820</v>
      </c>
      <c r="C2022" s="5">
        <f>DATE(2012,12,31)-1038</f>
        <v>40236</v>
      </c>
      <c r="D2022" s="4" t="s">
        <v>21</v>
      </c>
      <c r="E2022" s="4">
        <v>24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spans="1:21" ht="12" customHeight="1">
      <c r="A2023" s="4">
        <v>178</v>
      </c>
      <c r="B2023" s="4">
        <v>1154</v>
      </c>
      <c r="C2023" s="5">
        <f>DATE(2012,12,31)-321</f>
        <v>40953</v>
      </c>
      <c r="D2023" s="4" t="s">
        <v>78</v>
      </c>
      <c r="E2023" s="4">
        <v>7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spans="1:21" ht="12" customHeight="1">
      <c r="A2024" s="4">
        <v>207</v>
      </c>
      <c r="B2024" s="4">
        <v>1382</v>
      </c>
      <c r="C2024" s="5">
        <f t="shared" ref="C2024:C2026" si="900">DATE(2012,12,31)-868</f>
        <v>40406</v>
      </c>
      <c r="D2024" s="4" t="s">
        <v>21</v>
      </c>
      <c r="E2024" s="4">
        <v>5</v>
      </c>
      <c r="F2024" s="4">
        <v>89.334999999999994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spans="1:21" ht="12" customHeight="1">
      <c r="A2025" s="4">
        <v>208</v>
      </c>
      <c r="B2025" s="4">
        <v>1382</v>
      </c>
      <c r="C2025" s="5">
        <f t="shared" si="900"/>
        <v>40406</v>
      </c>
      <c r="D2025" s="4" t="s">
        <v>21</v>
      </c>
      <c r="E2025" s="4">
        <v>39</v>
      </c>
      <c r="F2025" s="4">
        <v>158.46</v>
      </c>
      <c r="G2025" s="4">
        <v>0.06</v>
      </c>
      <c r="H2025" s="4" t="s">
        <v>22</v>
      </c>
      <c r="I2025" s="6">
        <v>-130.66300000000001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1">C2025+7</f>
        <v>40413</v>
      </c>
    </row>
    <row r="2026" spans="1:21" ht="12" customHeight="1">
      <c r="A2026" s="4">
        <v>209</v>
      </c>
      <c r="B2026" s="4">
        <v>1382</v>
      </c>
      <c r="C2026" s="5">
        <f t="shared" si="900"/>
        <v>40406</v>
      </c>
      <c r="D2026" s="4" t="s">
        <v>21</v>
      </c>
      <c r="E2026" s="4">
        <v>31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1"/>
        <v>40413</v>
      </c>
    </row>
    <row r="2027" spans="1:21" ht="12" customHeight="1">
      <c r="A2027" s="4">
        <v>580</v>
      </c>
      <c r="B2027" s="4">
        <v>3942</v>
      </c>
      <c r="C2027" s="5">
        <f>DATE(2012,12,31)-918</f>
        <v>40356</v>
      </c>
      <c r="D2027" s="4" t="s">
        <v>45</v>
      </c>
      <c r="E2027" s="4">
        <v>22</v>
      </c>
      <c r="F2027" s="4">
        <v>1559.7755</v>
      </c>
      <c r="G2027" s="4">
        <v>0.03</v>
      </c>
      <c r="H2027" s="4" t="s">
        <v>22</v>
      </c>
      <c r="I2027" s="6">
        <v>-247.18100000000001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spans="1:21" ht="12" customHeight="1">
      <c r="A2028" s="4">
        <v>707</v>
      </c>
      <c r="B2028" s="4">
        <v>4960</v>
      </c>
      <c r="C2028" s="5">
        <f>DATE(2012,12,31)-675</f>
        <v>40599</v>
      </c>
      <c r="D2028" s="4" t="s">
        <v>21</v>
      </c>
      <c r="E2028" s="4">
        <v>30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0.56000000000000005</v>
      </c>
      <c r="U2028" s="5">
        <f>C2028+4</f>
        <v>40603</v>
      </c>
    </row>
    <row r="2029" spans="1:21" ht="12" customHeight="1">
      <c r="A2029" s="4">
        <v>1010</v>
      </c>
      <c r="B2029" s="4">
        <v>7367</v>
      </c>
      <c r="C2029" s="5">
        <f>DATE(2012,12,31)-575</f>
        <v>40699</v>
      </c>
      <c r="D2029" s="4" t="s">
        <v>21</v>
      </c>
      <c r="E2029" s="4">
        <v>46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spans="1:21" ht="12" customHeight="1">
      <c r="A2030" s="4">
        <v>1079</v>
      </c>
      <c r="B2030" s="4">
        <v>7938</v>
      </c>
      <c r="C2030" s="5">
        <f>DATE(2012,12,31)-1024</f>
        <v>40250</v>
      </c>
      <c r="D2030" s="4" t="s">
        <v>63</v>
      </c>
      <c r="E2030" s="4">
        <v>34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1.0900000000000001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spans="1:21" ht="12" customHeight="1">
      <c r="A2031" s="4">
        <v>1203</v>
      </c>
      <c r="B2031" s="4">
        <v>8807</v>
      </c>
      <c r="C2031" s="5">
        <f>DATE(2012,12,31)-1040</f>
        <v>40234</v>
      </c>
      <c r="D2031" s="4" t="s">
        <v>21</v>
      </c>
      <c r="E2031" s="4">
        <v>14</v>
      </c>
      <c r="F2031" s="4">
        <v>1379.3374999999999</v>
      </c>
      <c r="G2031" s="4">
        <v>0.08</v>
      </c>
      <c r="H2031" s="4" t="s">
        <v>22</v>
      </c>
      <c r="I2031" s="6">
        <v>-78.540000000000063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0.56999999999999995</v>
      </c>
      <c r="U2031" s="5">
        <f>C2031+7</f>
        <v>40241</v>
      </c>
    </row>
    <row r="2032" spans="1:21" ht="12" customHeight="1">
      <c r="A2032" s="4">
        <v>1245</v>
      </c>
      <c r="B2032" s="4">
        <v>9062</v>
      </c>
      <c r="C2032" s="5">
        <f>DATE(2012,12,31)-652</f>
        <v>40622</v>
      </c>
      <c r="D2032" s="4" t="s">
        <v>30</v>
      </c>
      <c r="E2032" s="4">
        <v>19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spans="1:21" ht="12" customHeight="1">
      <c r="A2033" s="4">
        <v>1308</v>
      </c>
      <c r="B2033" s="4">
        <v>9602</v>
      </c>
      <c r="C2033" s="5">
        <f t="shared" ref="C2033:C2034" si="902">DATE(2012,12,31)-51</f>
        <v>41223</v>
      </c>
      <c r="D2033" s="4" t="s">
        <v>78</v>
      </c>
      <c r="E2033" s="4">
        <v>27</v>
      </c>
      <c r="F2033" s="4">
        <v>2654.16</v>
      </c>
      <c r="G2033" s="4">
        <v>0.01</v>
      </c>
      <c r="H2033" s="4" t="s">
        <v>31</v>
      </c>
      <c r="I2033" s="6">
        <v>600.92999999999995</v>
      </c>
      <c r="J2033" s="4">
        <v>90.97</v>
      </c>
      <c r="K2033" s="4">
        <v>28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spans="1:21" ht="12" customHeight="1">
      <c r="A2034" s="4">
        <v>1310</v>
      </c>
      <c r="B2034" s="4">
        <v>9602</v>
      </c>
      <c r="C2034" s="5">
        <f t="shared" si="902"/>
        <v>41223</v>
      </c>
      <c r="D2034" s="4" t="s">
        <v>78</v>
      </c>
      <c r="E2034" s="4">
        <v>15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spans="1:21" ht="12" customHeight="1">
      <c r="A2035" s="4">
        <v>1402</v>
      </c>
      <c r="B2035" s="4">
        <v>10209</v>
      </c>
      <c r="C2035" s="5">
        <f>DATE(2012,12,31)-763</f>
        <v>40511</v>
      </c>
      <c r="D2035" s="4" t="s">
        <v>63</v>
      </c>
      <c r="E2035" s="4">
        <v>14</v>
      </c>
      <c r="F2035" s="4">
        <v>461.55</v>
      </c>
      <c r="G2035" s="4">
        <v>0.09</v>
      </c>
      <c r="H2035" s="4" t="s">
        <v>22</v>
      </c>
      <c r="I2035" s="6">
        <v>-12</v>
      </c>
      <c r="J2035" s="4">
        <v>33.979999999999997</v>
      </c>
      <c r="K2035" s="4">
        <v>19.989999999999998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0.55000000000000004</v>
      </c>
      <c r="U2035" s="5">
        <f>C2035+0</f>
        <v>40511</v>
      </c>
    </row>
    <row r="2036" spans="1:21" ht="12" customHeight="1">
      <c r="A2036" s="4">
        <v>1425</v>
      </c>
      <c r="B2036" s="4">
        <v>10338</v>
      </c>
      <c r="C2036" s="5">
        <f>DATE(2012,12,31)-536</f>
        <v>40738</v>
      </c>
      <c r="D2036" s="4" t="s">
        <v>45</v>
      </c>
      <c r="E2036" s="4">
        <v>9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spans="1:21" ht="12" customHeight="1">
      <c r="A2037" s="4">
        <v>1485</v>
      </c>
      <c r="B2037" s="4">
        <v>10688</v>
      </c>
      <c r="C2037" s="5">
        <f>DATE(2012,12,31)-233</f>
        <v>41041</v>
      </c>
      <c r="D2037" s="4" t="s">
        <v>63</v>
      </c>
      <c r="E2037" s="4">
        <v>14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34.200000000000003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spans="1:21" ht="12" customHeight="1">
      <c r="A2038" s="4">
        <v>1796</v>
      </c>
      <c r="B2038" s="4">
        <v>12868</v>
      </c>
      <c r="C2038" s="5">
        <f>DATE(2012,12,31)-671</f>
        <v>40603</v>
      </c>
      <c r="D2038" s="4" t="s">
        <v>78</v>
      </c>
      <c r="E2038" s="4">
        <v>2</v>
      </c>
      <c r="F2038" s="4">
        <v>9.3699999999999992</v>
      </c>
      <c r="G2038" s="4">
        <v>0.09</v>
      </c>
      <c r="H2038" s="4" t="s">
        <v>22</v>
      </c>
      <c r="I2038" s="6">
        <v>-5.26</v>
      </c>
      <c r="J2038" s="4">
        <v>4.4800000000000004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spans="1:21" ht="12" customHeight="1">
      <c r="A2039" s="4">
        <v>1994</v>
      </c>
      <c r="B2039" s="4">
        <v>14215</v>
      </c>
      <c r="C2039" s="5">
        <f>DATE(2012,12,31)-171</f>
        <v>41103</v>
      </c>
      <c r="D2039" s="4" t="s">
        <v>63</v>
      </c>
      <c r="E2039" s="4">
        <v>44</v>
      </c>
      <c r="F2039" s="4">
        <v>2277.0300000000002</v>
      </c>
      <c r="G2039" s="4">
        <v>7.0000000000000007E-2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3">C2039+1</f>
        <v>41104</v>
      </c>
    </row>
    <row r="2040" spans="1:21" ht="12" customHeight="1">
      <c r="A2040" s="4">
        <v>2053</v>
      </c>
      <c r="B2040" s="4">
        <v>14662</v>
      </c>
      <c r="C2040" s="5">
        <f>DATE(2012,12,31)-411</f>
        <v>40863</v>
      </c>
      <c r="D2040" s="4" t="s">
        <v>30</v>
      </c>
      <c r="E2040" s="4">
        <v>24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3"/>
        <v>40864</v>
      </c>
    </row>
    <row r="2041" spans="1:21" ht="12" customHeight="1">
      <c r="A2041" s="4">
        <v>2059</v>
      </c>
      <c r="B2041" s="4">
        <v>14727</v>
      </c>
      <c r="C2041" s="5">
        <f>DATE(2012,12,31)-165</f>
        <v>41109</v>
      </c>
      <c r="D2041" s="4" t="s">
        <v>63</v>
      </c>
      <c r="E2041" s="4">
        <v>50</v>
      </c>
      <c r="F2041" s="4">
        <v>8532.152</v>
      </c>
      <c r="G2041" s="4">
        <v>0.04</v>
      </c>
      <c r="H2041" s="4" t="s">
        <v>31</v>
      </c>
      <c r="I2041" s="6">
        <v>-513.79042000000004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spans="1:21" ht="12" customHeight="1">
      <c r="A2042" s="4">
        <v>2191</v>
      </c>
      <c r="B2042" s="4">
        <v>15781</v>
      </c>
      <c r="C2042" s="5">
        <f>DATE(2012,12,31)-119</f>
        <v>41155</v>
      </c>
      <c r="D2042" s="4" t="s">
        <v>30</v>
      </c>
      <c r="E2042" s="4">
        <v>29</v>
      </c>
      <c r="F2042" s="4">
        <v>824.51</v>
      </c>
      <c r="G2042" s="4">
        <v>0.01</v>
      </c>
      <c r="H2042" s="4" t="s">
        <v>22</v>
      </c>
      <c r="I2042" s="6">
        <v>0.89999999999998437</v>
      </c>
      <c r="J2042" s="4">
        <v>27.48</v>
      </c>
      <c r="K2042" s="4">
        <v>4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spans="1:21" ht="12" customHeight="1">
      <c r="A2043" s="4">
        <v>2370</v>
      </c>
      <c r="B2043" s="4">
        <v>17157</v>
      </c>
      <c r="C2043" s="5">
        <f>DATE(2012,12,31)-103</f>
        <v>41171</v>
      </c>
      <c r="D2043" s="4" t="s">
        <v>21</v>
      </c>
      <c r="E2043" s="4">
        <v>31</v>
      </c>
      <c r="F2043" s="4">
        <v>3081.471</v>
      </c>
      <c r="G2043" s="4">
        <v>0.09</v>
      </c>
      <c r="H2043" s="4" t="s">
        <v>22</v>
      </c>
      <c r="I2043" s="6">
        <v>574.98299999999995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0.56999999999999995</v>
      </c>
      <c r="U2043" s="5">
        <f>C2043+4</f>
        <v>41175</v>
      </c>
    </row>
    <row r="2044" spans="1:21" ht="12" customHeight="1">
      <c r="A2044" s="4">
        <v>2832</v>
      </c>
      <c r="B2044" s="4">
        <v>20449</v>
      </c>
      <c r="C2044" s="5">
        <f>DATE(2012,12,31)-1093</f>
        <v>40181</v>
      </c>
      <c r="D2044" s="4" t="s">
        <v>63</v>
      </c>
      <c r="E2044" s="4">
        <v>19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19.989999999999998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spans="1:21" ht="12" customHeight="1">
      <c r="A2045" s="4">
        <v>3054</v>
      </c>
      <c r="B2045" s="4">
        <v>21890</v>
      </c>
      <c r="C2045" s="5">
        <f>DATE(2012,12,31)-707</f>
        <v>40567</v>
      </c>
      <c r="D2045" s="4" t="s">
        <v>45</v>
      </c>
      <c r="E2045" s="4">
        <v>27</v>
      </c>
      <c r="F2045" s="4">
        <v>81.900000000000006</v>
      </c>
      <c r="G2045" s="4">
        <v>0.01</v>
      </c>
      <c r="H2045" s="4" t="s">
        <v>22</v>
      </c>
      <c r="I2045" s="6">
        <v>4.0599999999999996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0.57999999999999996</v>
      </c>
      <c r="U2045" s="5">
        <f>C2045+2</f>
        <v>40569</v>
      </c>
    </row>
    <row r="2046" spans="1:21" ht="12" customHeight="1">
      <c r="A2046" s="4">
        <v>3071</v>
      </c>
      <c r="B2046" s="4">
        <v>22020</v>
      </c>
      <c r="C2046" s="5">
        <f>DATE(2012,12,31)-959</f>
        <v>40315</v>
      </c>
      <c r="D2046" s="4" t="s">
        <v>78</v>
      </c>
      <c r="E2046" s="4">
        <v>37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spans="1:21" ht="12" customHeight="1">
      <c r="A2047" s="4">
        <v>3087</v>
      </c>
      <c r="B2047" s="4">
        <v>22149</v>
      </c>
      <c r="C2047" s="5">
        <f>DATE(2012,12,31)-465</f>
        <v>40809</v>
      </c>
      <c r="D2047" s="4" t="s">
        <v>21</v>
      </c>
      <c r="E2047" s="4">
        <v>47</v>
      </c>
      <c r="F2047" s="4">
        <v>191.13</v>
      </c>
      <c r="G2047" s="4">
        <v>7.0000000000000007E-2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spans="1:21" ht="12" customHeight="1">
      <c r="A2048" s="4">
        <v>3216</v>
      </c>
      <c r="B2048" s="4">
        <v>23078</v>
      </c>
      <c r="C2048" s="5">
        <f>DATE(2012,12,31)-473</f>
        <v>40801</v>
      </c>
      <c r="D2048" s="4" t="s">
        <v>63</v>
      </c>
      <c r="E2048" s="4">
        <v>18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9.7799999999999994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spans="1:21" ht="12" customHeight="1">
      <c r="A2049" s="4">
        <v>3306</v>
      </c>
      <c r="B2049" s="4">
        <v>23619</v>
      </c>
      <c r="C2049" s="5">
        <f>DATE(2012,12,31)-10</f>
        <v>41264</v>
      </c>
      <c r="D2049" s="4" t="s">
        <v>63</v>
      </c>
      <c r="E2049" s="4">
        <v>7</v>
      </c>
      <c r="F2049" s="4">
        <v>1043.1199999999999</v>
      </c>
      <c r="G2049" s="4">
        <v>0.06</v>
      </c>
      <c r="H2049" s="4" t="s">
        <v>22</v>
      </c>
      <c r="I2049" s="6">
        <v>-52.495799999999953</v>
      </c>
      <c r="J2049" s="4">
        <v>150.97999999999999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spans="1:21" ht="12" customHeight="1">
      <c r="A2050" s="4">
        <v>3564</v>
      </c>
      <c r="B2050" s="4">
        <v>25442</v>
      </c>
      <c r="C2050" s="5">
        <f>DATE(2012,12,31)-361</f>
        <v>40913</v>
      </c>
      <c r="D2050" s="4" t="s">
        <v>30</v>
      </c>
      <c r="E2050" s="4">
        <v>32</v>
      </c>
      <c r="F2050" s="4">
        <v>1666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4.8499999999999996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spans="1:21" ht="12" customHeight="1">
      <c r="A2051" s="4">
        <v>3664</v>
      </c>
      <c r="B2051" s="4">
        <v>26243</v>
      </c>
      <c r="C2051" s="5">
        <f>DATE(2012,12,31)-534</f>
        <v>40740</v>
      </c>
      <c r="D2051" s="4" t="s">
        <v>21</v>
      </c>
      <c r="E2051" s="4">
        <v>42</v>
      </c>
      <c r="F2051" s="4">
        <v>71.319999999999993</v>
      </c>
      <c r="G2051" s="4">
        <v>0.08</v>
      </c>
      <c r="H2051" s="4" t="s">
        <v>22</v>
      </c>
      <c r="I2051" s="6">
        <v>-4.9000000000000004</v>
      </c>
      <c r="J2051" s="4">
        <v>1.82</v>
      </c>
      <c r="K2051" s="4">
        <v>1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spans="1:21" ht="12" customHeight="1">
      <c r="A2052" s="4">
        <v>3997</v>
      </c>
      <c r="B2052" s="4">
        <v>28515</v>
      </c>
      <c r="C2052" s="5">
        <f>DATE(2012,12,31)-915</f>
        <v>40359</v>
      </c>
      <c r="D2052" s="4" t="s">
        <v>30</v>
      </c>
      <c r="E2052" s="4">
        <v>33</v>
      </c>
      <c r="F2052" s="4">
        <v>750.86</v>
      </c>
      <c r="G2052" s="4">
        <v>0</v>
      </c>
      <c r="H2052" s="4" t="s">
        <v>22</v>
      </c>
      <c r="I2052" s="6">
        <v>302.12400000000002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spans="1:21" ht="12" customHeight="1">
      <c r="A2053" s="4">
        <v>4226</v>
      </c>
      <c r="B2053" s="4">
        <v>30023</v>
      </c>
      <c r="C2053" s="5">
        <f>DATE(2012,12,31)-808</f>
        <v>40466</v>
      </c>
      <c r="D2053" s="4" t="s">
        <v>21</v>
      </c>
      <c r="E2053" s="4">
        <v>14</v>
      </c>
      <c r="F2053" s="4">
        <v>157.33000000000001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0.56999999999999995</v>
      </c>
      <c r="U2053" s="5">
        <f>C2053+9</f>
        <v>40475</v>
      </c>
    </row>
    <row r="2054" spans="1:21" ht="12" customHeight="1">
      <c r="A2054" s="4">
        <v>4468</v>
      </c>
      <c r="B2054" s="4">
        <v>31845</v>
      </c>
      <c r="C2054" s="5">
        <f>DATE(2012,12,31)-70</f>
        <v>41204</v>
      </c>
      <c r="D2054" s="4" t="s">
        <v>21</v>
      </c>
      <c r="E2054" s="4">
        <v>11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spans="1:21" ht="12" customHeight="1">
      <c r="A2055" s="4">
        <v>5013</v>
      </c>
      <c r="B2055" s="4">
        <v>35777</v>
      </c>
      <c r="C2055" s="5">
        <f>DATE(2012,12,31)-845</f>
        <v>40429</v>
      </c>
      <c r="D2055" s="4" t="s">
        <v>78</v>
      </c>
      <c r="E2055" s="4">
        <v>35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0.55000000000000004</v>
      </c>
      <c r="U2055" s="5">
        <f>C2055+2</f>
        <v>40431</v>
      </c>
    </row>
    <row r="2056" spans="1:21" ht="12" customHeight="1">
      <c r="A2056" s="4">
        <v>5052</v>
      </c>
      <c r="B2056" s="4">
        <v>36005</v>
      </c>
      <c r="C2056" s="5">
        <f>DATE(2012,12,31)-836</f>
        <v>40438</v>
      </c>
      <c r="D2056" s="4" t="s">
        <v>21</v>
      </c>
      <c r="E2056" s="4">
        <v>1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0.56999999999999995</v>
      </c>
      <c r="U2056" s="5">
        <f>C2056+4</f>
        <v>40442</v>
      </c>
    </row>
    <row r="2057" spans="1:21" ht="12" customHeight="1">
      <c r="A2057" s="4">
        <v>5080</v>
      </c>
      <c r="B2057" s="4">
        <v>36196</v>
      </c>
      <c r="C2057" s="5">
        <f>DATE(2012,12,31)-513</f>
        <v>40761</v>
      </c>
      <c r="D2057" s="4" t="s">
        <v>45</v>
      </c>
      <c r="E2057" s="4">
        <v>6</v>
      </c>
      <c r="F2057" s="4">
        <v>62.03</v>
      </c>
      <c r="G2057" s="4">
        <v>0.09</v>
      </c>
      <c r="H2057" s="4" t="s">
        <v>22</v>
      </c>
      <c r="I2057" s="6">
        <v>17.309999999999999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spans="1:21" ht="12" customHeight="1">
      <c r="A2058" s="4">
        <v>5093</v>
      </c>
      <c r="B2058" s="4">
        <v>36294</v>
      </c>
      <c r="C2058" s="5">
        <f>DATE(2012,12,31)-133</f>
        <v>41141</v>
      </c>
      <c r="D2058" s="4" t="s">
        <v>63</v>
      </c>
      <c r="E2058" s="4">
        <v>46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4.9800000000000004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spans="1:21" ht="12" customHeight="1">
      <c r="A2059" s="4">
        <v>5158</v>
      </c>
      <c r="B2059" s="4">
        <v>36737</v>
      </c>
      <c r="C2059" s="5">
        <f>DATE(2012,12,31)-1022</f>
        <v>40252</v>
      </c>
      <c r="D2059" s="4" t="s">
        <v>45</v>
      </c>
      <c r="E2059" s="4">
        <v>26</v>
      </c>
      <c r="F2059" s="4">
        <v>1462.1614999999999</v>
      </c>
      <c r="G2059" s="4">
        <v>0.03</v>
      </c>
      <c r="H2059" s="4" t="s">
        <v>22</v>
      </c>
      <c r="I2059" s="6">
        <v>215.43299999999999</v>
      </c>
      <c r="J2059" s="4">
        <v>65.989999999999995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0.57999999999999996</v>
      </c>
      <c r="U2059" s="5">
        <f>C2059+1</f>
        <v>40253</v>
      </c>
    </row>
    <row r="2060" spans="1:21" ht="12" customHeight="1">
      <c r="A2060" s="4">
        <v>5241</v>
      </c>
      <c r="B2060" s="4">
        <v>37287</v>
      </c>
      <c r="C2060" s="5">
        <f>DATE(2012,12,31)-60</f>
        <v>41214</v>
      </c>
      <c r="D2060" s="4" t="s">
        <v>21</v>
      </c>
      <c r="E2060" s="4">
        <v>45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spans="1:21" ht="12" customHeight="1">
      <c r="A2061" s="4">
        <v>5323</v>
      </c>
      <c r="B2061" s="4">
        <v>37831</v>
      </c>
      <c r="C2061" s="5">
        <f>DATE(2012,12,31)-158</f>
        <v>41116</v>
      </c>
      <c r="D2061" s="4" t="s">
        <v>45</v>
      </c>
      <c r="E2061" s="4">
        <v>30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spans="1:21" ht="12" customHeight="1">
      <c r="A2062" s="4">
        <v>5400</v>
      </c>
      <c r="B2062" s="4">
        <v>38372</v>
      </c>
      <c r="C2062" s="5">
        <f>DATE(2012,12,31)-961</f>
        <v>40313</v>
      </c>
      <c r="D2062" s="4" t="s">
        <v>30</v>
      </c>
      <c r="E2062" s="4">
        <v>33</v>
      </c>
      <c r="F2062" s="4">
        <v>310.99</v>
      </c>
      <c r="G2062" s="4">
        <v>7.0000000000000007E-2</v>
      </c>
      <c r="H2062" s="4" t="s">
        <v>22</v>
      </c>
      <c r="I2062" s="6">
        <v>106.45</v>
      </c>
      <c r="J2062" s="4">
        <v>9.68</v>
      </c>
      <c r="K2062" s="4">
        <v>2.0299999999999998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spans="1:21" ht="12" customHeight="1">
      <c r="A2063" s="4">
        <v>5478</v>
      </c>
      <c r="B2063" s="4">
        <v>38912</v>
      </c>
      <c r="C2063" s="5">
        <f>DATE(2012,12,31)-64</f>
        <v>41210</v>
      </c>
      <c r="D2063" s="4" t="s">
        <v>21</v>
      </c>
      <c r="E2063" s="4">
        <v>26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65.989999999999995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0.56999999999999995</v>
      </c>
      <c r="U2063" s="5">
        <f>C2063+7</f>
        <v>41217</v>
      </c>
    </row>
    <row r="2064" spans="1:21" ht="12" customHeight="1">
      <c r="A2064" s="4">
        <v>5761</v>
      </c>
      <c r="B2064" s="4">
        <v>40896</v>
      </c>
      <c r="C2064" s="5">
        <f>DATE(2012,12,31)-486</f>
        <v>40788</v>
      </c>
      <c r="D2064" s="4" t="s">
        <v>45</v>
      </c>
      <c r="E2064" s="4">
        <v>21</v>
      </c>
      <c r="F2064" s="4">
        <v>155.72999999999999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spans="1:21" ht="12" customHeight="1">
      <c r="A2065" s="4">
        <v>5776</v>
      </c>
      <c r="B2065" s="4">
        <v>40994</v>
      </c>
      <c r="C2065" s="5">
        <f>DATE(2012,12,31)-83</f>
        <v>41191</v>
      </c>
      <c r="D2065" s="4" t="s">
        <v>30</v>
      </c>
      <c r="E2065" s="4">
        <v>42</v>
      </c>
      <c r="F2065" s="4">
        <v>793.04</v>
      </c>
      <c r="G2065" s="4">
        <v>0.1</v>
      </c>
      <c r="H2065" s="4" t="s">
        <v>22</v>
      </c>
      <c r="I2065" s="6">
        <v>323.07650000000001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spans="1:21" ht="12" customHeight="1">
      <c r="A2066" s="4">
        <v>5874</v>
      </c>
      <c r="B2066" s="4">
        <v>41666</v>
      </c>
      <c r="C2066" s="5">
        <f>DATE(2012,12,31)-303</f>
        <v>40971</v>
      </c>
      <c r="D2066" s="4" t="s">
        <v>63</v>
      </c>
      <c r="E2066" s="4">
        <v>26</v>
      </c>
      <c r="F2066" s="4">
        <v>596.15599999999995</v>
      </c>
      <c r="G2066" s="4">
        <v>0.1</v>
      </c>
      <c r="H2066" s="4" t="s">
        <v>56</v>
      </c>
      <c r="I2066" s="6">
        <v>-97.921999999999997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0.56000000000000005</v>
      </c>
      <c r="U2066" s="5">
        <f>C2066+1</f>
        <v>40972</v>
      </c>
    </row>
    <row r="2067" spans="1:21" ht="12" customHeight="1">
      <c r="A2067" s="4">
        <v>5961</v>
      </c>
      <c r="B2067" s="4">
        <v>42306</v>
      </c>
      <c r="C2067" s="5">
        <f>DATE(2012,12,31)-108</f>
        <v>41166</v>
      </c>
      <c r="D2067" s="4" t="s">
        <v>30</v>
      </c>
      <c r="E2067" s="4">
        <v>18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2.2799999999999998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spans="1:21" ht="12" customHeight="1">
      <c r="A2068" s="4">
        <v>5994</v>
      </c>
      <c r="B2068" s="4">
        <v>42469</v>
      </c>
      <c r="C2068" s="5">
        <f>DATE(2012,12,31)-53</f>
        <v>41221</v>
      </c>
      <c r="D2068" s="4" t="s">
        <v>45</v>
      </c>
      <c r="E2068" s="4">
        <v>31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spans="1:21" ht="12" customHeight="1">
      <c r="A2069" s="4">
        <v>6002</v>
      </c>
      <c r="B2069" s="4">
        <v>42528</v>
      </c>
      <c r="C2069" s="5">
        <f>DATE(2012,12,31)-1042</f>
        <v>40232</v>
      </c>
      <c r="D2069" s="4" t="s">
        <v>63</v>
      </c>
      <c r="E2069" s="4">
        <v>46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spans="1:21" ht="12" customHeight="1">
      <c r="A2070" s="4">
        <v>6049</v>
      </c>
      <c r="B2070" s="4">
        <v>42884</v>
      </c>
      <c r="C2070" s="5">
        <f>DATE(2012,12,31)-1025</f>
        <v>40249</v>
      </c>
      <c r="D2070" s="4" t="s">
        <v>45</v>
      </c>
      <c r="E2070" s="4">
        <v>29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spans="1:21" ht="12" customHeight="1">
      <c r="A2071" s="4">
        <v>6116</v>
      </c>
      <c r="B2071" s="4">
        <v>43302</v>
      </c>
      <c r="C2071" s="5">
        <f>DATE(2012,12,31)-496</f>
        <v>40778</v>
      </c>
      <c r="D2071" s="4" t="s">
        <v>21</v>
      </c>
      <c r="E2071" s="4">
        <v>4</v>
      </c>
      <c r="F2071" s="4">
        <v>8.8699999999999992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spans="1:21" ht="12" customHeight="1">
      <c r="A2072" s="4">
        <v>6137</v>
      </c>
      <c r="B2072" s="4">
        <v>43460</v>
      </c>
      <c r="C2072" s="5">
        <f>DATE(2012,12,31)-203</f>
        <v>41071</v>
      </c>
      <c r="D2072" s="4" t="s">
        <v>63</v>
      </c>
      <c r="E2072" s="4">
        <v>2</v>
      </c>
      <c r="F2072" s="4">
        <v>25.09</v>
      </c>
      <c r="G2072" s="4">
        <v>7.0000000000000007E-2</v>
      </c>
      <c r="H2072" s="4" t="s">
        <v>22</v>
      </c>
      <c r="I2072" s="6">
        <v>-17.594999999999999</v>
      </c>
      <c r="J2072" s="4">
        <v>8.0399999999999991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spans="1:21" ht="12" customHeight="1">
      <c r="A2073" s="4">
        <v>6206</v>
      </c>
      <c r="B2073" s="4">
        <v>43972</v>
      </c>
      <c r="C2073" s="5">
        <f>DATE(2012,12,31)-1021</f>
        <v>40253</v>
      </c>
      <c r="D2073" s="4" t="s">
        <v>21</v>
      </c>
      <c r="E2073" s="4">
        <v>12</v>
      </c>
      <c r="F2073" s="4">
        <v>714.39099999999996</v>
      </c>
      <c r="G2073" s="4">
        <v>0</v>
      </c>
      <c r="H2073" s="4" t="s">
        <v>22</v>
      </c>
      <c r="I2073" s="6">
        <v>-62.325999999999993</v>
      </c>
      <c r="J2073" s="4">
        <v>65.989999999999995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0.57999999999999996</v>
      </c>
      <c r="U2073" s="5">
        <f>C2073+2</f>
        <v>40255</v>
      </c>
    </row>
    <row r="2074" spans="1:21" ht="12" customHeight="1">
      <c r="A2074" s="4">
        <v>6211</v>
      </c>
      <c r="B2074" s="4">
        <v>44000</v>
      </c>
      <c r="C2074" s="5">
        <f>DATE(2012,12,31)-88</f>
        <v>41186</v>
      </c>
      <c r="D2074" s="4" t="s">
        <v>45</v>
      </c>
      <c r="E2074" s="4">
        <v>15</v>
      </c>
      <c r="F2074" s="4">
        <v>502.8</v>
      </c>
      <c r="G2074" s="4">
        <v>0</v>
      </c>
      <c r="H2074" s="4" t="s">
        <v>22</v>
      </c>
      <c r="I2074" s="6">
        <v>-19.100000000000001</v>
      </c>
      <c r="J2074" s="4">
        <v>30.98</v>
      </c>
      <c r="K2074" s="4">
        <v>19.510000000000002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4">C2074+0</f>
        <v>41186</v>
      </c>
    </row>
    <row r="2075" spans="1:21" ht="12" customHeight="1">
      <c r="A2075" s="4">
        <v>6488</v>
      </c>
      <c r="B2075" s="4">
        <v>46177</v>
      </c>
      <c r="C2075" s="5">
        <f>DATE(2012,12,31)-757</f>
        <v>40517</v>
      </c>
      <c r="D2075" s="4" t="s">
        <v>21</v>
      </c>
      <c r="E2075" s="4">
        <v>33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4"/>
        <v>40517</v>
      </c>
    </row>
    <row r="2076" spans="1:21" ht="12" customHeight="1">
      <c r="A2076" s="4">
        <v>6875</v>
      </c>
      <c r="B2076" s="4">
        <v>48994</v>
      </c>
      <c r="C2076" s="5">
        <f>DATE(2012,12,31)-801</f>
        <v>40473</v>
      </c>
      <c r="D2076" s="4" t="s">
        <v>45</v>
      </c>
      <c r="E2076" s="4">
        <v>6</v>
      </c>
      <c r="F2076" s="4">
        <v>1086.3900000000001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5">C2076+2</f>
        <v>40475</v>
      </c>
    </row>
    <row r="2077" spans="1:21" ht="12" customHeight="1">
      <c r="A2077" s="4">
        <v>7164</v>
      </c>
      <c r="B2077" s="4">
        <v>51111</v>
      </c>
      <c r="C2077" s="5">
        <f>DATE(2012,12,31)-326</f>
        <v>40948</v>
      </c>
      <c r="D2077" s="4" t="s">
        <v>45</v>
      </c>
      <c r="E2077" s="4">
        <v>1</v>
      </c>
      <c r="F2077" s="4">
        <v>61.097999999999992</v>
      </c>
      <c r="G2077" s="4">
        <v>0.02</v>
      </c>
      <c r="H2077" s="4" t="s">
        <v>22</v>
      </c>
      <c r="I2077" s="6">
        <v>-257.71899999999999</v>
      </c>
      <c r="J2077" s="4">
        <v>65.989999999999995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0.55000000000000004</v>
      </c>
      <c r="U2077" s="5">
        <f t="shared" si="905"/>
        <v>40950</v>
      </c>
    </row>
    <row r="2078" spans="1:21" ht="12" customHeight="1">
      <c r="A2078" s="4">
        <v>7740</v>
      </c>
      <c r="B2078" s="4">
        <v>55425</v>
      </c>
      <c r="C2078" s="5">
        <f>DATE(2012,12,31)-426</f>
        <v>40848</v>
      </c>
      <c r="D2078" s="4" t="s">
        <v>78</v>
      </c>
      <c r="E2078" s="4">
        <v>42</v>
      </c>
      <c r="F2078" s="4">
        <v>4373.8535000000002</v>
      </c>
      <c r="G2078" s="4">
        <v>0.04</v>
      </c>
      <c r="H2078" s="4" t="s">
        <v>56</v>
      </c>
      <c r="I2078" s="6">
        <v>963.67499999999995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6">C2078+1</f>
        <v>40849</v>
      </c>
    </row>
    <row r="2079" spans="1:21" ht="12" customHeight="1">
      <c r="A2079" s="4">
        <v>7803</v>
      </c>
      <c r="B2079" s="4">
        <v>55815</v>
      </c>
      <c r="C2079" s="5">
        <f>DATE(2012,12,31)-718</f>
        <v>40556</v>
      </c>
      <c r="D2079" s="4" t="s">
        <v>30</v>
      </c>
      <c r="E2079" s="4">
        <v>28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10.119999999999999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6"/>
        <v>40557</v>
      </c>
    </row>
    <row r="2080" spans="1:21" ht="12" customHeight="1">
      <c r="A2080" s="4">
        <v>7858</v>
      </c>
      <c r="B2080" s="4">
        <v>56166</v>
      </c>
      <c r="C2080" s="5">
        <f>DATE(2012,12,31)-880</f>
        <v>40394</v>
      </c>
      <c r="D2080" s="4" t="s">
        <v>78</v>
      </c>
      <c r="E2080" s="4">
        <v>1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6"/>
        <v>40395</v>
      </c>
    </row>
    <row r="2081" spans="1:21" ht="12" customHeight="1">
      <c r="A2081" s="4">
        <v>8080</v>
      </c>
      <c r="B2081" s="4">
        <v>57638</v>
      </c>
      <c r="C2081" s="5">
        <f t="shared" ref="C2081:C2082" si="907">DATE(2012,12,31)-253</f>
        <v>41021</v>
      </c>
      <c r="D2081" s="4" t="s">
        <v>21</v>
      </c>
      <c r="E2081" s="4">
        <v>49</v>
      </c>
      <c r="F2081" s="4">
        <v>570.42999999999995</v>
      </c>
      <c r="G2081" s="4">
        <v>7.0000000000000007E-2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8">C2081+2</f>
        <v>41023</v>
      </c>
    </row>
    <row r="2082" spans="1:21" ht="12" customHeight="1">
      <c r="A2082" s="4">
        <v>8081</v>
      </c>
      <c r="B2082" s="4">
        <v>57638</v>
      </c>
      <c r="C2082" s="5">
        <f t="shared" si="907"/>
        <v>41021</v>
      </c>
      <c r="D2082" s="4" t="s">
        <v>21</v>
      </c>
      <c r="E2082" s="4">
        <v>49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0.55000000000000004</v>
      </c>
      <c r="U2082" s="5">
        <f t="shared" si="908"/>
        <v>41023</v>
      </c>
    </row>
    <row r="2083" spans="1:21" ht="12" customHeight="1">
      <c r="A2083" s="4">
        <v>327</v>
      </c>
      <c r="B2083" s="4">
        <v>2244</v>
      </c>
      <c r="C2083" s="5">
        <f>DATE(2012,12,31)-1088</f>
        <v>40186</v>
      </c>
      <c r="D2083" s="4" t="s">
        <v>78</v>
      </c>
      <c r="E2083" s="4">
        <v>19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8"/>
        <v>40188</v>
      </c>
    </row>
    <row r="2084" spans="1:21" ht="12" customHeight="1">
      <c r="A2084" s="4">
        <v>455</v>
      </c>
      <c r="B2084" s="4">
        <v>3104</v>
      </c>
      <c r="C2084" s="5">
        <f t="shared" ref="C2084:C2085" si="909">DATE(2012,12,31)-838</f>
        <v>40436</v>
      </c>
      <c r="D2084" s="4" t="s">
        <v>63</v>
      </c>
      <c r="E2084" s="4">
        <v>50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8.8800000000000008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8"/>
        <v>40438</v>
      </c>
    </row>
    <row r="2085" spans="1:21" ht="12" customHeight="1">
      <c r="A2085" s="4">
        <v>456</v>
      </c>
      <c r="B2085" s="4">
        <v>3104</v>
      </c>
      <c r="C2085" s="5">
        <f t="shared" si="909"/>
        <v>40436</v>
      </c>
      <c r="D2085" s="4" t="s">
        <v>63</v>
      </c>
      <c r="E2085" s="4">
        <v>24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0.55000000000000004</v>
      </c>
      <c r="U2085" s="5">
        <f t="shared" ref="U2085:U2086" si="910">C2085+0</f>
        <v>40436</v>
      </c>
    </row>
    <row r="2086" spans="1:21" ht="12" customHeight="1">
      <c r="A2086" s="4">
        <v>1624</v>
      </c>
      <c r="B2086" s="4">
        <v>11747</v>
      </c>
      <c r="C2086" s="5">
        <f>DATE(2012,12,31)-1040</f>
        <v>40234</v>
      </c>
      <c r="D2086" s="4" t="s">
        <v>63</v>
      </c>
      <c r="E2086" s="4">
        <v>3</v>
      </c>
      <c r="F2086" s="4">
        <v>315.27999999999997</v>
      </c>
      <c r="G2086" s="4">
        <v>0.08</v>
      </c>
      <c r="H2086" s="4" t="s">
        <v>22</v>
      </c>
      <c r="I2086" s="6">
        <v>-261.54809999999998</v>
      </c>
      <c r="J2086" s="4">
        <v>99.99</v>
      </c>
      <c r="K2086" s="4">
        <v>19.989999999999998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0"/>
        <v>40234</v>
      </c>
    </row>
    <row r="2087" spans="1:21" ht="12" customHeight="1">
      <c r="A2087" s="4">
        <v>1646</v>
      </c>
      <c r="B2087" s="4">
        <v>11877</v>
      </c>
      <c r="C2087" s="5">
        <f t="shared" ref="C2087:C2088" si="911">DATE(2012,12,31)-953</f>
        <v>40321</v>
      </c>
      <c r="D2087" s="4" t="s">
        <v>45</v>
      </c>
      <c r="E2087" s="4">
        <v>19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spans="1:21" ht="12" customHeight="1">
      <c r="A2088" s="4">
        <v>1647</v>
      </c>
      <c r="B2088" s="4">
        <v>11877</v>
      </c>
      <c r="C2088" s="5">
        <f t="shared" si="911"/>
        <v>40321</v>
      </c>
      <c r="D2088" s="4" t="s">
        <v>45</v>
      </c>
      <c r="E2088" s="4">
        <v>31</v>
      </c>
      <c r="F2088" s="4">
        <v>142.96</v>
      </c>
      <c r="G2088" s="4">
        <v>0.09</v>
      </c>
      <c r="H2088" s="4" t="s">
        <v>22</v>
      </c>
      <c r="I2088" s="6">
        <v>33.590000000000003</v>
      </c>
      <c r="J2088" s="4">
        <v>4.7300000000000004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spans="1:21" ht="12" customHeight="1">
      <c r="A2089" s="4">
        <v>2139</v>
      </c>
      <c r="B2089" s="4">
        <v>15271</v>
      </c>
      <c r="C2089" s="5">
        <f t="shared" ref="C2089:C2090" si="912">DATE(2012,12,31)-890</f>
        <v>40384</v>
      </c>
      <c r="D2089" s="4" t="s">
        <v>78</v>
      </c>
      <c r="E2089" s="4">
        <v>18</v>
      </c>
      <c r="F2089" s="4">
        <v>2389.3000000000002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3">C2089+0</f>
        <v>40384</v>
      </c>
    </row>
    <row r="2090" spans="1:21" ht="12" customHeight="1">
      <c r="A2090" s="4">
        <v>2140</v>
      </c>
      <c r="B2090" s="4">
        <v>15271</v>
      </c>
      <c r="C2090" s="5">
        <f t="shared" si="912"/>
        <v>40384</v>
      </c>
      <c r="D2090" s="4" t="s">
        <v>78</v>
      </c>
      <c r="E2090" s="4">
        <v>7</v>
      </c>
      <c r="F2090" s="4">
        <v>222.25800000000001</v>
      </c>
      <c r="G2090" s="4">
        <v>0.03</v>
      </c>
      <c r="H2090" s="4" t="s">
        <v>22</v>
      </c>
      <c r="I2090" s="6">
        <v>-77.901999999999987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0.56999999999999995</v>
      </c>
      <c r="U2090" s="5">
        <f t="shared" si="913"/>
        <v>40384</v>
      </c>
    </row>
    <row r="2091" spans="1:21" ht="12" customHeight="1">
      <c r="A2091" s="4">
        <v>3142</v>
      </c>
      <c r="B2091" s="4">
        <v>22561</v>
      </c>
      <c r="C2091" s="5">
        <f t="shared" ref="C2091:C2093" si="914">DATE(2012,12,31)-711</f>
        <v>40563</v>
      </c>
      <c r="D2091" s="4" t="s">
        <v>78</v>
      </c>
      <c r="E2091" s="4">
        <v>7</v>
      </c>
      <c r="F2091" s="4">
        <v>128.62</v>
      </c>
      <c r="G2091" s="4">
        <v>7.0000000000000007E-2</v>
      </c>
      <c r="H2091" s="4" t="s">
        <v>22</v>
      </c>
      <c r="I2091" s="6">
        <v>-27.78</v>
      </c>
      <c r="J2091" s="4">
        <v>17.670000000000002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5">C2091+2</f>
        <v>40565</v>
      </c>
    </row>
    <row r="2092" spans="1:21" ht="12" customHeight="1">
      <c r="A2092" s="4">
        <v>3143</v>
      </c>
      <c r="B2092" s="4">
        <v>22561</v>
      </c>
      <c r="C2092" s="5">
        <f t="shared" si="914"/>
        <v>40563</v>
      </c>
      <c r="D2092" s="4" t="s">
        <v>78</v>
      </c>
      <c r="E2092" s="4">
        <v>50</v>
      </c>
      <c r="F2092" s="4">
        <v>424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0.57999999999999996</v>
      </c>
      <c r="U2092" s="5">
        <f t="shared" si="915"/>
        <v>40565</v>
      </c>
    </row>
    <row r="2093" spans="1:21" ht="12" customHeight="1">
      <c r="A2093" s="4">
        <v>3144</v>
      </c>
      <c r="B2093" s="4">
        <v>22561</v>
      </c>
      <c r="C2093" s="5">
        <f t="shared" si="914"/>
        <v>40563</v>
      </c>
      <c r="D2093" s="4" t="s">
        <v>78</v>
      </c>
      <c r="E2093" s="4">
        <v>5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19.989999999999998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5"/>
        <v>40565</v>
      </c>
    </row>
    <row r="2094" spans="1:21" ht="12" customHeight="1">
      <c r="A2094" s="4">
        <v>3621</v>
      </c>
      <c r="B2094" s="4">
        <v>25860</v>
      </c>
      <c r="C2094" s="5">
        <f t="shared" ref="C2094:C2095" si="916">DATE(2012,12,31)-1094</f>
        <v>40180</v>
      </c>
      <c r="D2094" s="4" t="s">
        <v>21</v>
      </c>
      <c r="E2094" s="4">
        <v>9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5"/>
        <v>40182</v>
      </c>
    </row>
    <row r="2095" spans="1:21" ht="12" customHeight="1">
      <c r="A2095" s="4">
        <v>3622</v>
      </c>
      <c r="B2095" s="4">
        <v>25860</v>
      </c>
      <c r="C2095" s="5">
        <f t="shared" si="916"/>
        <v>40180</v>
      </c>
      <c r="D2095" s="4" t="s">
        <v>21</v>
      </c>
      <c r="E2095" s="4">
        <v>23</v>
      </c>
      <c r="F2095" s="4">
        <v>1288.7784999999999</v>
      </c>
      <c r="G2095" s="4">
        <v>7.0000000000000007E-2</v>
      </c>
      <c r="H2095" s="4" t="s">
        <v>22</v>
      </c>
      <c r="I2095" s="6">
        <v>-185.88900000000001</v>
      </c>
      <c r="J2095" s="4">
        <v>65.989999999999995</v>
      </c>
      <c r="K2095" s="4">
        <v>19.989999999999998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spans="1:21" ht="12" customHeight="1">
      <c r="A2096" s="4">
        <v>121</v>
      </c>
      <c r="B2096" s="4">
        <v>775</v>
      </c>
      <c r="C2096" s="5">
        <f t="shared" ref="C2096:C2097" si="917">DATE(2012,12,31)-655</f>
        <v>40619</v>
      </c>
      <c r="D2096" s="4" t="s">
        <v>78</v>
      </c>
      <c r="E2096" s="4">
        <v>35</v>
      </c>
      <c r="F2096" s="4">
        <v>43.57</v>
      </c>
      <c r="G2096" s="4">
        <v>0.1</v>
      </c>
      <c r="H2096" s="4" t="s">
        <v>22</v>
      </c>
      <c r="I2096" s="6">
        <v>-19.170000000000002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spans="1:21" ht="12" customHeight="1">
      <c r="A2097" s="4">
        <v>122</v>
      </c>
      <c r="B2097" s="4">
        <v>775</v>
      </c>
      <c r="C2097" s="5">
        <f t="shared" si="917"/>
        <v>40619</v>
      </c>
      <c r="D2097" s="4" t="s">
        <v>78</v>
      </c>
      <c r="E2097" s="4">
        <v>8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8">C2097+2</f>
        <v>40621</v>
      </c>
    </row>
    <row r="2098" spans="1:21" ht="12" customHeight="1">
      <c r="A2098" s="4">
        <v>154</v>
      </c>
      <c r="B2098" s="4">
        <v>964</v>
      </c>
      <c r="C2098" s="5">
        <f>DATE(2012,12,31)-592</f>
        <v>40682</v>
      </c>
      <c r="D2098" s="4" t="s">
        <v>63</v>
      </c>
      <c r="E2098" s="4">
        <v>4</v>
      </c>
      <c r="F2098" s="4">
        <v>40.020000000000003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1.0900000000000001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8"/>
        <v>40684</v>
      </c>
    </row>
    <row r="2099" spans="1:21" ht="12" customHeight="1">
      <c r="A2099" s="4">
        <v>454</v>
      </c>
      <c r="B2099" s="4">
        <v>3078</v>
      </c>
      <c r="C2099" s="5">
        <f>DATE(2012,12,31)-1054</f>
        <v>40220</v>
      </c>
      <c r="D2099" s="4" t="s">
        <v>30</v>
      </c>
      <c r="E2099" s="4">
        <v>1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0.56000000000000005</v>
      </c>
      <c r="U2099" s="5">
        <f t="shared" si="918"/>
        <v>40222</v>
      </c>
    </row>
    <row r="2100" spans="1:21" ht="12" customHeight="1">
      <c r="A2100" s="4">
        <v>496</v>
      </c>
      <c r="B2100" s="4">
        <v>3456</v>
      </c>
      <c r="C2100" s="5">
        <f>DATE(2012,12,31)-945</f>
        <v>40329</v>
      </c>
      <c r="D2100" s="4" t="s">
        <v>21</v>
      </c>
      <c r="E2100" s="4">
        <v>20</v>
      </c>
      <c r="F2100" s="4">
        <v>5418.68</v>
      </c>
      <c r="G2100" s="4">
        <v>7.0000000000000007E-2</v>
      </c>
      <c r="H2100" s="4" t="s">
        <v>31</v>
      </c>
      <c r="I2100" s="6">
        <v>332.30070000000001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spans="1:21" ht="12" customHeight="1">
      <c r="A2101" s="4">
        <v>518</v>
      </c>
      <c r="B2101" s="4">
        <v>3556</v>
      </c>
      <c r="C2101" s="5">
        <f>DATE(2012,12,31)-100</f>
        <v>41174</v>
      </c>
      <c r="D2101" s="4" t="s">
        <v>45</v>
      </c>
      <c r="E2101" s="4">
        <v>48</v>
      </c>
      <c r="F2101" s="4">
        <v>269.37</v>
      </c>
      <c r="G2101" s="4">
        <v>0.05</v>
      </c>
      <c r="H2101" s="4" t="s">
        <v>22</v>
      </c>
      <c r="I2101" s="6">
        <v>-103.54600000000001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spans="1:21" ht="12" customHeight="1">
      <c r="A2102" s="4">
        <v>542</v>
      </c>
      <c r="B2102" s="4">
        <v>3654</v>
      </c>
      <c r="C2102" s="5">
        <f t="shared" ref="C2102:C2103" si="919">DATE(2012,12,31)-212</f>
        <v>41062</v>
      </c>
      <c r="D2102" s="4" t="s">
        <v>21</v>
      </c>
      <c r="E2102" s="4">
        <v>39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spans="1:21" ht="12" customHeight="1">
      <c r="A2103" s="4">
        <v>543</v>
      </c>
      <c r="B2103" s="4">
        <v>3654</v>
      </c>
      <c r="C2103" s="5">
        <f t="shared" si="919"/>
        <v>41062</v>
      </c>
      <c r="D2103" s="4" t="s">
        <v>21</v>
      </c>
      <c r="E2103" s="4">
        <v>47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spans="1:21" ht="12" customHeight="1">
      <c r="A2104" s="4">
        <v>546</v>
      </c>
      <c r="B2104" s="4">
        <v>3680</v>
      </c>
      <c r="C2104" s="5">
        <f>DATE(2012,12,31)-22</f>
        <v>41252</v>
      </c>
      <c r="D2104" s="4" t="s">
        <v>45</v>
      </c>
      <c r="E2104" s="4">
        <v>27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spans="1:21" ht="12" customHeight="1">
      <c r="A2105" s="4">
        <v>579</v>
      </c>
      <c r="B2105" s="4">
        <v>3942</v>
      </c>
      <c r="C2105" s="5">
        <f>DATE(2012,12,31)-918</f>
        <v>40356</v>
      </c>
      <c r="D2105" s="4" t="s">
        <v>45</v>
      </c>
      <c r="E2105" s="4">
        <v>11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20.149999999999999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0.57999999999999996</v>
      </c>
      <c r="U2105" s="5">
        <f>C2105+1</f>
        <v>40357</v>
      </c>
    </row>
    <row r="2106" spans="1:21" ht="12" customHeight="1">
      <c r="A2106" s="4">
        <v>609</v>
      </c>
      <c r="B2106" s="4">
        <v>4162</v>
      </c>
      <c r="C2106" s="5">
        <f>DATE(2012,12,31)-326</f>
        <v>40948</v>
      </c>
      <c r="D2106" s="4" t="s">
        <v>21</v>
      </c>
      <c r="E2106" s="4">
        <v>2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19.989999999999998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spans="1:21" ht="12" customHeight="1">
      <c r="A2107" s="4">
        <v>699</v>
      </c>
      <c r="B2107" s="4">
        <v>4896</v>
      </c>
      <c r="C2107" s="5">
        <f t="shared" ref="C2107:C2108" si="920">DATE(2012,12,31)-132</f>
        <v>41142</v>
      </c>
      <c r="D2107" s="4" t="s">
        <v>78</v>
      </c>
      <c r="E2107" s="4">
        <v>25</v>
      </c>
      <c r="F2107" s="4">
        <v>831.52</v>
      </c>
      <c r="G2107" s="4">
        <v>7.0000000000000007E-2</v>
      </c>
      <c r="H2107" s="4" t="s">
        <v>22</v>
      </c>
      <c r="I2107" s="6">
        <v>259.47000000000003</v>
      </c>
      <c r="J2107" s="4">
        <v>35.409999999999997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spans="1:21" ht="12" customHeight="1">
      <c r="A2108" s="4">
        <v>700</v>
      </c>
      <c r="B2108" s="4">
        <v>4896</v>
      </c>
      <c r="C2108" s="5">
        <f t="shared" si="920"/>
        <v>41142</v>
      </c>
      <c r="D2108" s="4" t="s">
        <v>78</v>
      </c>
      <c r="E2108" s="4">
        <v>10</v>
      </c>
      <c r="F2108" s="4">
        <v>1089.8699999999999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0.56000000000000005</v>
      </c>
      <c r="U2108" s="5">
        <f>C2108+2</f>
        <v>41144</v>
      </c>
    </row>
    <row r="2109" spans="1:21" ht="12" customHeight="1">
      <c r="A2109" s="4">
        <v>708</v>
      </c>
      <c r="B2109" s="4">
        <v>4965</v>
      </c>
      <c r="C2109" s="5">
        <f>DATE(2012,12,31)-803</f>
        <v>40471</v>
      </c>
      <c r="D2109" s="4" t="s">
        <v>21</v>
      </c>
      <c r="E2109" s="4">
        <v>14</v>
      </c>
      <c r="F2109" s="4">
        <v>1068.79</v>
      </c>
      <c r="G2109" s="4">
        <v>7.0000000000000007E-2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spans="1:21" ht="12" customHeight="1">
      <c r="A2110" s="4">
        <v>809</v>
      </c>
      <c r="B2110" s="4">
        <v>5830</v>
      </c>
      <c r="C2110" s="5">
        <f>DATE(2012,12,31)-1013</f>
        <v>40261</v>
      </c>
      <c r="D2110" s="4" t="s">
        <v>63</v>
      </c>
      <c r="E2110" s="4">
        <v>49</v>
      </c>
      <c r="F2110" s="4">
        <v>2012.14</v>
      </c>
      <c r="G2110" s="4">
        <v>7.0000000000000007E-2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0.56999999999999995</v>
      </c>
      <c r="U2110" s="5">
        <f>C2110+1</f>
        <v>40262</v>
      </c>
    </row>
    <row r="2111" spans="1:21" ht="12" customHeight="1">
      <c r="A2111" s="4">
        <v>926</v>
      </c>
      <c r="B2111" s="4">
        <v>6695</v>
      </c>
      <c r="C2111" s="5">
        <f>DATE(2012,12,31)-187</f>
        <v>41087</v>
      </c>
      <c r="D2111" s="4" t="s">
        <v>21</v>
      </c>
      <c r="E2111" s="4">
        <v>49</v>
      </c>
      <c r="F2111" s="4">
        <v>295.24</v>
      </c>
      <c r="G2111" s="4">
        <v>0.08</v>
      </c>
      <c r="H2111" s="4" t="s">
        <v>56</v>
      </c>
      <c r="I2111" s="6">
        <v>-279.93299999999999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spans="1:21" ht="12" customHeight="1">
      <c r="A2112" s="4">
        <v>952</v>
      </c>
      <c r="B2112" s="4">
        <v>6885</v>
      </c>
      <c r="C2112" s="5">
        <f>DATE(2012,12,31)-195</f>
        <v>41079</v>
      </c>
      <c r="D2112" s="4" t="s">
        <v>21</v>
      </c>
      <c r="E2112" s="4">
        <v>4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1">C2112+2</f>
        <v>41081</v>
      </c>
    </row>
    <row r="2113" spans="1:21" ht="12" customHeight="1">
      <c r="A2113" s="4">
        <v>1021</v>
      </c>
      <c r="B2113" s="4">
        <v>7458</v>
      </c>
      <c r="C2113" s="5">
        <f t="shared" ref="C2113:C2114" si="922">DATE(2012,12,31)-271</f>
        <v>41003</v>
      </c>
      <c r="D2113" s="4" t="s">
        <v>78</v>
      </c>
      <c r="E2113" s="4">
        <v>16</v>
      </c>
      <c r="F2113" s="4">
        <v>226.81</v>
      </c>
      <c r="G2113" s="4">
        <v>0.05</v>
      </c>
      <c r="H2113" s="4" t="s">
        <v>22</v>
      </c>
      <c r="I2113" s="6">
        <v>-5.3704999999999998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1"/>
        <v>41005</v>
      </c>
    </row>
    <row r="2114" spans="1:21" ht="12" customHeight="1">
      <c r="A2114" s="4">
        <v>1022</v>
      </c>
      <c r="B2114" s="4">
        <v>7458</v>
      </c>
      <c r="C2114" s="5">
        <f t="shared" si="922"/>
        <v>41003</v>
      </c>
      <c r="D2114" s="4" t="s">
        <v>78</v>
      </c>
      <c r="E2114" s="4">
        <v>46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spans="1:21" ht="12" customHeight="1">
      <c r="A2115" s="4">
        <v>1202</v>
      </c>
      <c r="B2115" s="4">
        <v>8807</v>
      </c>
      <c r="C2115" s="5">
        <f>DATE(2012,12,31)-1040</f>
        <v>40234</v>
      </c>
      <c r="D2115" s="4" t="s">
        <v>21</v>
      </c>
      <c r="E2115" s="4">
        <v>19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spans="1:21" ht="12" customHeight="1">
      <c r="A2116" s="4">
        <v>1239</v>
      </c>
      <c r="B2116" s="4">
        <v>9024</v>
      </c>
      <c r="C2116" s="5">
        <f>DATE(2012,12,31)-212</f>
        <v>41062</v>
      </c>
      <c r="D2116" s="4" t="s">
        <v>63</v>
      </c>
      <c r="E2116" s="4">
        <v>44</v>
      </c>
      <c r="F2116" s="4">
        <v>2318.2134999999998</v>
      </c>
      <c r="G2116" s="4">
        <v>7.0000000000000007E-2</v>
      </c>
      <c r="H2116" s="4" t="s">
        <v>22</v>
      </c>
      <c r="I2116" s="6">
        <v>583.74900000000002</v>
      </c>
      <c r="J2116" s="4">
        <v>65.989999999999995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0.56000000000000005</v>
      </c>
      <c r="U2116" s="5">
        <f>C2116+0</f>
        <v>41062</v>
      </c>
    </row>
    <row r="2117" spans="1:21" ht="12" customHeight="1">
      <c r="A2117" s="4">
        <v>1309</v>
      </c>
      <c r="B2117" s="4">
        <v>9602</v>
      </c>
      <c r="C2117" s="5">
        <f>DATE(2012,12,31)-51</f>
        <v>41223</v>
      </c>
      <c r="D2117" s="4" t="s">
        <v>78</v>
      </c>
      <c r="E2117" s="4">
        <v>16</v>
      </c>
      <c r="F2117" s="4">
        <v>36.229999999999997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0.55000000000000004</v>
      </c>
      <c r="U2117" s="5">
        <f t="shared" ref="U2117:U2118" si="923">C2117+2</f>
        <v>41225</v>
      </c>
    </row>
    <row r="2118" spans="1:21" ht="12" customHeight="1">
      <c r="A2118" s="4">
        <v>1426</v>
      </c>
      <c r="B2118" s="4">
        <v>10338</v>
      </c>
      <c r="C2118" s="5">
        <f>DATE(2012,12,31)-536</f>
        <v>40738</v>
      </c>
      <c r="D2118" s="4" t="s">
        <v>45</v>
      </c>
      <c r="E2118" s="4">
        <v>7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3"/>
        <v>40740</v>
      </c>
    </row>
    <row r="2119" spans="1:21" ht="12" customHeight="1">
      <c r="A2119" s="4">
        <v>1528</v>
      </c>
      <c r="B2119" s="4">
        <v>11011</v>
      </c>
      <c r="C2119" s="5">
        <f>DATE(2012,12,31)-232</f>
        <v>41042</v>
      </c>
      <c r="D2119" s="4" t="s">
        <v>30</v>
      </c>
      <c r="E2119" s="4">
        <v>36</v>
      </c>
      <c r="F2119" s="4">
        <v>305.62</v>
      </c>
      <c r="G2119" s="4">
        <v>0.1</v>
      </c>
      <c r="H2119" s="4" t="s">
        <v>22</v>
      </c>
      <c r="I2119" s="6">
        <v>-129.86000000000001</v>
      </c>
      <c r="J2119" s="4">
        <v>8.74</v>
      </c>
      <c r="K2119" s="4">
        <v>8.2899999999999991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spans="1:21" ht="12" customHeight="1">
      <c r="A2120" s="4">
        <v>1564</v>
      </c>
      <c r="B2120" s="4">
        <v>11271</v>
      </c>
      <c r="C2120" s="5">
        <f>DATE(2012,12,31)-440</f>
        <v>40834</v>
      </c>
      <c r="D2120" s="4" t="s">
        <v>30</v>
      </c>
      <c r="E2120" s="4">
        <v>46</v>
      </c>
      <c r="F2120" s="4">
        <v>157.87</v>
      </c>
      <c r="G2120" s="4">
        <v>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0.56000000000000005</v>
      </c>
      <c r="U2120" s="5">
        <f t="shared" ref="U2120:U2121" si="924">C2120+2</f>
        <v>40836</v>
      </c>
    </row>
    <row r="2121" spans="1:21" ht="12" customHeight="1">
      <c r="A2121" s="4">
        <v>1665</v>
      </c>
      <c r="B2121" s="4">
        <v>12005</v>
      </c>
      <c r="C2121" s="5">
        <f>DATE(2012,12,31)-190</f>
        <v>41084</v>
      </c>
      <c r="D2121" s="4" t="s">
        <v>45</v>
      </c>
      <c r="E2121" s="4">
        <v>4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0.56999999999999995</v>
      </c>
      <c r="U2121" s="5">
        <f t="shared" si="924"/>
        <v>41086</v>
      </c>
    </row>
    <row r="2122" spans="1:21" ht="12" customHeight="1">
      <c r="A2122" s="4">
        <v>1846</v>
      </c>
      <c r="B2122" s="4">
        <v>13284</v>
      </c>
      <c r="C2122" s="5">
        <f t="shared" ref="C2122:C2123" si="925">DATE(2012,12,31)-141</f>
        <v>41133</v>
      </c>
      <c r="D2122" s="4" t="s">
        <v>30</v>
      </c>
      <c r="E2122" s="4">
        <v>22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19.989999999999998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6">C2122+1</f>
        <v>41134</v>
      </c>
    </row>
    <row r="2123" spans="1:21" ht="12" customHeight="1">
      <c r="A2123" s="4">
        <v>1847</v>
      </c>
      <c r="B2123" s="4">
        <v>13284</v>
      </c>
      <c r="C2123" s="5">
        <f t="shared" si="925"/>
        <v>41133</v>
      </c>
      <c r="D2123" s="4" t="s">
        <v>30</v>
      </c>
      <c r="E2123" s="4">
        <v>49</v>
      </c>
      <c r="F2123" s="4">
        <v>1662.57</v>
      </c>
      <c r="G2123" s="4">
        <v>0.1</v>
      </c>
      <c r="H2123" s="4" t="s">
        <v>22</v>
      </c>
      <c r="I2123" s="6">
        <v>674.99350000000004</v>
      </c>
      <c r="J2123" s="4">
        <v>37.700000000000003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6"/>
        <v>41134</v>
      </c>
    </row>
    <row r="2124" spans="1:21" ht="12" customHeight="1">
      <c r="A2124" s="4">
        <v>1871</v>
      </c>
      <c r="B2124" s="4">
        <v>13476</v>
      </c>
      <c r="C2124" s="5">
        <f>DATE(2012,12,31)-807</f>
        <v>40467</v>
      </c>
      <c r="D2124" s="4" t="s">
        <v>45</v>
      </c>
      <c r="E2124" s="4">
        <v>3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19.989999999999998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6"/>
        <v>40468</v>
      </c>
    </row>
    <row r="2125" spans="1:21" ht="12" customHeight="1">
      <c r="A2125" s="4">
        <v>2015</v>
      </c>
      <c r="B2125" s="4">
        <v>14375</v>
      </c>
      <c r="C2125" s="5">
        <f>DATE(2012,12,31)-1065</f>
        <v>40209</v>
      </c>
      <c r="D2125" s="4" t="s">
        <v>63</v>
      </c>
      <c r="E2125" s="4">
        <v>50</v>
      </c>
      <c r="F2125" s="4">
        <v>3872.38</v>
      </c>
      <c r="G2125" s="4">
        <v>0.1</v>
      </c>
      <c r="H2125" s="4" t="s">
        <v>22</v>
      </c>
      <c r="I2125" s="6">
        <v>1110.3499999999999</v>
      </c>
      <c r="J2125" s="4">
        <v>83.93</v>
      </c>
      <c r="K2125" s="4">
        <v>19.989999999999998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6"/>
        <v>40210</v>
      </c>
    </row>
    <row r="2126" spans="1:21" ht="12" customHeight="1">
      <c r="A2126" s="4">
        <v>2052</v>
      </c>
      <c r="B2126" s="4">
        <v>14662</v>
      </c>
      <c r="C2126" s="5">
        <f t="shared" ref="C2126:C2127" si="927">DATE(2012,12,31)-411</f>
        <v>40863</v>
      </c>
      <c r="D2126" s="4" t="s">
        <v>30</v>
      </c>
      <c r="E2126" s="4">
        <v>48</v>
      </c>
      <c r="F2126" s="4">
        <v>257.75</v>
      </c>
      <c r="G2126" s="4">
        <v>0.02</v>
      </c>
      <c r="H2126" s="4" t="s">
        <v>22</v>
      </c>
      <c r="I2126" s="6">
        <v>-66.260000000000005</v>
      </c>
      <c r="J2126" s="4">
        <v>4.9800000000000004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6"/>
        <v>40864</v>
      </c>
    </row>
    <row r="2127" spans="1:21" ht="12" customHeight="1">
      <c r="A2127" s="4">
        <v>2054</v>
      </c>
      <c r="B2127" s="4">
        <v>14662</v>
      </c>
      <c r="C2127" s="5">
        <f t="shared" si="927"/>
        <v>40863</v>
      </c>
      <c r="D2127" s="4" t="s">
        <v>30</v>
      </c>
      <c r="E2127" s="4">
        <v>48</v>
      </c>
      <c r="F2127" s="4">
        <v>5139.8819999999996</v>
      </c>
      <c r="G2127" s="4">
        <v>0.01</v>
      </c>
      <c r="H2127" s="4" t="s">
        <v>22</v>
      </c>
      <c r="I2127" s="6">
        <v>1275.6690000000001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6"/>
        <v>40864</v>
      </c>
    </row>
    <row r="2128" spans="1:21" ht="12" customHeight="1">
      <c r="A2128" s="4">
        <v>2100</v>
      </c>
      <c r="B2128" s="4">
        <v>15009</v>
      </c>
      <c r="C2128" s="5">
        <f>DATE(2012,12,31)-376</f>
        <v>40898</v>
      </c>
      <c r="D2128" s="4" t="s">
        <v>45</v>
      </c>
      <c r="E2128" s="4">
        <v>28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6"/>
        <v>40899</v>
      </c>
    </row>
    <row r="2129" spans="1:21" ht="12" customHeight="1">
      <c r="A2129" s="4">
        <v>2167</v>
      </c>
      <c r="B2129" s="4">
        <v>15619</v>
      </c>
      <c r="C2129" s="5">
        <f>DATE(2012,12,31)-552</f>
        <v>40722</v>
      </c>
      <c r="D2129" s="4" t="s">
        <v>21</v>
      </c>
      <c r="E2129" s="4">
        <v>36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spans="1:21" ht="12" customHeight="1">
      <c r="A2130" s="4">
        <v>2217</v>
      </c>
      <c r="B2130" s="4">
        <v>16036</v>
      </c>
      <c r="C2130" s="5">
        <f>DATE(2012,12,31)-361</f>
        <v>40913</v>
      </c>
      <c r="D2130" s="4" t="s">
        <v>63</v>
      </c>
      <c r="E2130" s="4">
        <v>28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8">C2130+1</f>
        <v>40914</v>
      </c>
    </row>
    <row r="2131" spans="1:21" ht="12" customHeight="1">
      <c r="A2131" s="4">
        <v>2284</v>
      </c>
      <c r="B2131" s="4">
        <v>16452</v>
      </c>
      <c r="C2131" s="5">
        <f>DATE(2012,12,31)-130</f>
        <v>41144</v>
      </c>
      <c r="D2131" s="4" t="s">
        <v>63</v>
      </c>
      <c r="E2131" s="4">
        <v>46</v>
      </c>
      <c r="F2131" s="4">
        <v>134.41999999999999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0.55000000000000004</v>
      </c>
      <c r="U2131" s="5">
        <f t="shared" si="928"/>
        <v>41145</v>
      </c>
    </row>
    <row r="2132" spans="1:21" ht="12" customHeight="1">
      <c r="A2132" s="4">
        <v>2299</v>
      </c>
      <c r="B2132" s="4">
        <v>16548</v>
      </c>
      <c r="C2132" s="5">
        <f>DATE(2012,12,31)-330</f>
        <v>40944</v>
      </c>
      <c r="D2132" s="4" t="s">
        <v>45</v>
      </c>
      <c r="E2132" s="4">
        <v>40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spans="1:21" ht="12" customHeight="1">
      <c r="A2133" s="4">
        <v>2403</v>
      </c>
      <c r="B2133" s="4">
        <v>17410</v>
      </c>
      <c r="C2133" s="5">
        <f>DATE(2012,12,31)-852</f>
        <v>40422</v>
      </c>
      <c r="D2133" s="4" t="s">
        <v>21</v>
      </c>
      <c r="E2133" s="4">
        <v>5</v>
      </c>
      <c r="F2133" s="4">
        <v>284.67349999999999</v>
      </c>
      <c r="G2133" s="4">
        <v>0.04</v>
      </c>
      <c r="H2133" s="4" t="s">
        <v>56</v>
      </c>
      <c r="I2133" s="6">
        <v>-247.23599999999999</v>
      </c>
      <c r="J2133" s="4">
        <v>65.989999999999995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0.56000000000000005</v>
      </c>
      <c r="U2133" s="5">
        <f>C2133+5</f>
        <v>40427</v>
      </c>
    </row>
    <row r="2134" spans="1:21" ht="12" customHeight="1">
      <c r="A2134" s="4">
        <v>2606</v>
      </c>
      <c r="B2134" s="4">
        <v>18849</v>
      </c>
      <c r="C2134" s="5">
        <f>DATE(2012,12,31)-148</f>
        <v>41126</v>
      </c>
      <c r="D2134" s="4" t="s">
        <v>30</v>
      </c>
      <c r="E2134" s="4">
        <v>6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0.55000000000000004</v>
      </c>
      <c r="U2134" s="5">
        <f>C2134+0</f>
        <v>41126</v>
      </c>
    </row>
    <row r="2135" spans="1:21" ht="12" customHeight="1">
      <c r="A2135" s="4">
        <v>2649</v>
      </c>
      <c r="B2135" s="4">
        <v>19174</v>
      </c>
      <c r="C2135" s="5">
        <f t="shared" ref="C2135:C2137" si="929">DATE(2012,12,31)-899</f>
        <v>40375</v>
      </c>
      <c r="D2135" s="4" t="s">
        <v>63</v>
      </c>
      <c r="E2135" s="4">
        <v>35</v>
      </c>
      <c r="F2135" s="4">
        <v>5311.973</v>
      </c>
      <c r="G2135" s="4">
        <v>0.02</v>
      </c>
      <c r="H2135" s="4" t="s">
        <v>22</v>
      </c>
      <c r="I2135" s="6">
        <v>1142.0820000000001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0.56999999999999995</v>
      </c>
      <c r="U2135" s="5">
        <f>C2135+2</f>
        <v>40377</v>
      </c>
    </row>
    <row r="2136" spans="1:21" ht="12" customHeight="1">
      <c r="A2136" s="4">
        <v>2650</v>
      </c>
      <c r="B2136" s="4">
        <v>19174</v>
      </c>
      <c r="C2136" s="5">
        <f t="shared" si="929"/>
        <v>40375</v>
      </c>
      <c r="D2136" s="4" t="s">
        <v>63</v>
      </c>
      <c r="E2136" s="4">
        <v>19</v>
      </c>
      <c r="F2136" s="4">
        <v>1061.905</v>
      </c>
      <c r="G2136" s="4">
        <v>0.06</v>
      </c>
      <c r="H2136" s="4" t="s">
        <v>22</v>
      </c>
      <c r="I2136" s="6">
        <v>152.74799999999999</v>
      </c>
      <c r="J2136" s="4">
        <v>65.989999999999995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0.56000000000000005</v>
      </c>
      <c r="U2136" s="5">
        <f>C2136+1</f>
        <v>40376</v>
      </c>
    </row>
    <row r="2137" spans="1:21" ht="12" customHeight="1">
      <c r="A2137" s="4">
        <v>2651</v>
      </c>
      <c r="B2137" s="4">
        <v>19174</v>
      </c>
      <c r="C2137" s="5">
        <f t="shared" si="929"/>
        <v>40375</v>
      </c>
      <c r="D2137" s="4" t="s">
        <v>63</v>
      </c>
      <c r="E2137" s="4">
        <v>48</v>
      </c>
      <c r="F2137" s="4">
        <v>1631.04</v>
      </c>
      <c r="G2137" s="4">
        <v>0</v>
      </c>
      <c r="H2137" s="4" t="s">
        <v>22</v>
      </c>
      <c r="I2137" s="6">
        <v>665.63</v>
      </c>
      <c r="J2137" s="4">
        <v>33.979999999999997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0">C2137+2</f>
        <v>40377</v>
      </c>
    </row>
    <row r="2138" spans="1:21" ht="12" customHeight="1">
      <c r="A2138" s="4">
        <v>2784</v>
      </c>
      <c r="B2138" s="4">
        <v>20098</v>
      </c>
      <c r="C2138" s="5">
        <f>DATE(2012,12,31)-389</f>
        <v>40885</v>
      </c>
      <c r="D2138" s="4" t="s">
        <v>63</v>
      </c>
      <c r="E2138" s="4">
        <v>11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0"/>
        <v>40887</v>
      </c>
    </row>
    <row r="2139" spans="1:21" ht="12" customHeight="1">
      <c r="A2139" s="4">
        <v>2898</v>
      </c>
      <c r="B2139" s="4">
        <v>20932</v>
      </c>
      <c r="C2139" s="5">
        <f>DATE(2012,12,31)-155</f>
        <v>41119</v>
      </c>
      <c r="D2139" s="4" t="s">
        <v>30</v>
      </c>
      <c r="E2139" s="4">
        <v>38</v>
      </c>
      <c r="F2139" s="4">
        <v>123.26</v>
      </c>
      <c r="G2139" s="4">
        <v>0.02</v>
      </c>
      <c r="H2139" s="4" t="s">
        <v>22</v>
      </c>
      <c r="I2139" s="6">
        <v>-4.7300000000000004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0"/>
        <v>41121</v>
      </c>
    </row>
    <row r="2140" spans="1:21" ht="12" customHeight="1">
      <c r="A2140" s="4">
        <v>2943</v>
      </c>
      <c r="B2140" s="4">
        <v>21319</v>
      </c>
      <c r="C2140" s="5">
        <f>DATE(2012,12,31)-977</f>
        <v>40297</v>
      </c>
      <c r="D2140" s="4" t="s">
        <v>63</v>
      </c>
      <c r="E2140" s="4">
        <v>5</v>
      </c>
      <c r="F2140" s="4">
        <v>2361.1</v>
      </c>
      <c r="G2140" s="4">
        <v>0.01</v>
      </c>
      <c r="H2140" s="4" t="s">
        <v>31</v>
      </c>
      <c r="I2140" s="6">
        <v>-1042.7139999999999</v>
      </c>
      <c r="J2140" s="4">
        <v>449.99</v>
      </c>
      <c r="K2140" s="4">
        <v>49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spans="1:21" ht="12" customHeight="1">
      <c r="A2141" s="4">
        <v>2947</v>
      </c>
      <c r="B2141" s="4">
        <v>21344</v>
      </c>
      <c r="C2141" s="5">
        <f>DATE(2012,12,31)-22</f>
        <v>41252</v>
      </c>
      <c r="D2141" s="4" t="s">
        <v>21</v>
      </c>
      <c r="E2141" s="4">
        <v>48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spans="1:21" ht="12" customHeight="1">
      <c r="A2142" s="4">
        <v>2990</v>
      </c>
      <c r="B2142" s="4">
        <v>21574</v>
      </c>
      <c r="C2142" s="5">
        <f>DATE(2012,12,31)-1081</f>
        <v>40193</v>
      </c>
      <c r="D2142" s="4" t="s">
        <v>78</v>
      </c>
      <c r="E2142" s="4">
        <v>33</v>
      </c>
      <c r="F2142" s="4">
        <v>77.55</v>
      </c>
      <c r="G2142" s="4">
        <v>0</v>
      </c>
      <c r="H2142" s="4" t="s">
        <v>22</v>
      </c>
      <c r="I2142" s="6">
        <v>-37.200000000000003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0.55000000000000004</v>
      </c>
      <c r="U2142" s="5">
        <f>C2142+1</f>
        <v>40194</v>
      </c>
    </row>
    <row r="2143" spans="1:21" ht="12" customHeight="1">
      <c r="A2143" s="4">
        <v>3215</v>
      </c>
      <c r="B2143" s="4">
        <v>23078</v>
      </c>
      <c r="C2143" s="5">
        <f>DATE(2012,12,31)-473</f>
        <v>40801</v>
      </c>
      <c r="D2143" s="4" t="s">
        <v>63</v>
      </c>
      <c r="E2143" s="4">
        <v>8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19.989999999999998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spans="1:21" ht="12" customHeight="1">
      <c r="A2144" s="4">
        <v>3250</v>
      </c>
      <c r="B2144" s="4">
        <v>23271</v>
      </c>
      <c r="C2144" s="5">
        <f>DATE(2012,12,31)-789</f>
        <v>40485</v>
      </c>
      <c r="D2144" s="4" t="s">
        <v>30</v>
      </c>
      <c r="E2144" s="4">
        <v>1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spans="1:21" ht="12" customHeight="1">
      <c r="A2145" s="4">
        <v>3280</v>
      </c>
      <c r="B2145" s="4">
        <v>23428</v>
      </c>
      <c r="C2145" s="5">
        <f>DATE(2012,12,31)-64</f>
        <v>41210</v>
      </c>
      <c r="D2145" s="4" t="s">
        <v>30</v>
      </c>
      <c r="E2145" s="4">
        <v>41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1">C2145+2</f>
        <v>41212</v>
      </c>
    </row>
    <row r="2146" spans="1:21" ht="12" customHeight="1">
      <c r="A2146" s="4">
        <v>3307</v>
      </c>
      <c r="B2146" s="4">
        <v>23619</v>
      </c>
      <c r="C2146" s="5">
        <f t="shared" ref="C2146:C2147" si="932">DATE(2012,12,31)-10</f>
        <v>41264</v>
      </c>
      <c r="D2146" s="4" t="s">
        <v>63</v>
      </c>
      <c r="E2146" s="4">
        <v>45</v>
      </c>
      <c r="F2146" s="4">
        <v>285.91000000000003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1"/>
        <v>41266</v>
      </c>
    </row>
    <row r="2147" spans="1:21" ht="12" customHeight="1">
      <c r="A2147" s="4">
        <v>3308</v>
      </c>
      <c r="B2147" s="4">
        <v>23619</v>
      </c>
      <c r="C2147" s="5">
        <f t="shared" si="932"/>
        <v>41264</v>
      </c>
      <c r="D2147" s="4" t="s">
        <v>63</v>
      </c>
      <c r="E2147" s="4">
        <v>48</v>
      </c>
      <c r="F2147" s="4">
        <v>2611.8035</v>
      </c>
      <c r="G2147" s="4">
        <v>0.06</v>
      </c>
      <c r="H2147" s="4" t="s">
        <v>22</v>
      </c>
      <c r="I2147" s="6">
        <v>644.81400000000008</v>
      </c>
      <c r="J2147" s="4">
        <v>65.989999999999995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0.55000000000000004</v>
      </c>
      <c r="U2147" s="5">
        <f>C2147+3</f>
        <v>41267</v>
      </c>
    </row>
    <row r="2148" spans="1:21" ht="12" customHeight="1">
      <c r="A2148" s="4">
        <v>3364</v>
      </c>
      <c r="B2148" s="4">
        <v>24067</v>
      </c>
      <c r="C2148" s="5">
        <f>DATE(2012,12,31)-131</f>
        <v>41143</v>
      </c>
      <c r="D2148" s="4" t="s">
        <v>30</v>
      </c>
      <c r="E2148" s="4">
        <v>30</v>
      </c>
      <c r="F2148" s="4">
        <v>128.25</v>
      </c>
      <c r="G2148" s="4">
        <v>7.0000000000000007E-2</v>
      </c>
      <c r="H2148" s="4" t="s">
        <v>56</v>
      </c>
      <c r="I2148" s="6">
        <v>-95.311999999999998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3">C2148+2</f>
        <v>41145</v>
      </c>
    </row>
    <row r="2149" spans="1:21" ht="12" customHeight="1">
      <c r="A2149" s="4">
        <v>3524</v>
      </c>
      <c r="B2149" s="4">
        <v>25092</v>
      </c>
      <c r="C2149" s="5">
        <f t="shared" ref="C2149:C2150" si="934">DATE(2012,12,31)-761</f>
        <v>40513</v>
      </c>
      <c r="D2149" s="4" t="s">
        <v>30</v>
      </c>
      <c r="E2149" s="4">
        <v>6</v>
      </c>
      <c r="F2149" s="4">
        <v>141.27000000000001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3"/>
        <v>40515</v>
      </c>
    </row>
    <row r="2150" spans="1:21" ht="12" customHeight="1">
      <c r="A2150" s="4">
        <v>3525</v>
      </c>
      <c r="B2150" s="4">
        <v>25092</v>
      </c>
      <c r="C2150" s="5">
        <f t="shared" si="934"/>
        <v>40513</v>
      </c>
      <c r="D2150" s="4" t="s">
        <v>30</v>
      </c>
      <c r="E2150" s="4">
        <v>9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3"/>
        <v>40515</v>
      </c>
    </row>
    <row r="2151" spans="1:21" ht="12" customHeight="1">
      <c r="A2151" s="4">
        <v>3546</v>
      </c>
      <c r="B2151" s="4">
        <v>25280</v>
      </c>
      <c r="C2151" s="5">
        <f>DATE(2012,12,31)-590</f>
        <v>40684</v>
      </c>
      <c r="D2151" s="4" t="s">
        <v>45</v>
      </c>
      <c r="E2151" s="4">
        <v>47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0.56999999999999995</v>
      </c>
      <c r="U2151" s="5">
        <f>C2151+1</f>
        <v>40685</v>
      </c>
    </row>
    <row r="2152" spans="1:21" ht="12" customHeight="1">
      <c r="A2152" s="4">
        <v>3565</v>
      </c>
      <c r="B2152" s="4">
        <v>25442</v>
      </c>
      <c r="C2152" s="5">
        <f>DATE(2012,12,31)-361</f>
        <v>40913</v>
      </c>
      <c r="D2152" s="4" t="s">
        <v>30</v>
      </c>
      <c r="E2152" s="4">
        <v>40</v>
      </c>
      <c r="F2152" s="4">
        <v>453.98</v>
      </c>
      <c r="G2152" s="4">
        <v>0.02</v>
      </c>
      <c r="H2152" s="4" t="s">
        <v>22</v>
      </c>
      <c r="I2152" s="6">
        <v>67.599999999999994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spans="1:21" ht="12" customHeight="1">
      <c r="A2153" s="4">
        <v>3599</v>
      </c>
      <c r="B2153" s="4">
        <v>25666</v>
      </c>
      <c r="C2153" s="5">
        <f>DATE(2012,12,31)-120</f>
        <v>41154</v>
      </c>
      <c r="D2153" s="4" t="s">
        <v>78</v>
      </c>
      <c r="E2153" s="4">
        <v>36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19.989999999999998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spans="1:21" ht="12" customHeight="1">
      <c r="A2154" s="4">
        <v>3600</v>
      </c>
      <c r="B2154" s="4">
        <v>25669</v>
      </c>
      <c r="C2154" s="5">
        <f>DATE(2012,12,31)-715</f>
        <v>40559</v>
      </c>
      <c r="D2154" s="4" t="s">
        <v>78</v>
      </c>
      <c r="E2154" s="4">
        <v>12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spans="1:21" ht="12" customHeight="1">
      <c r="A2155" s="4">
        <v>3669</v>
      </c>
      <c r="B2155" s="4">
        <v>26276</v>
      </c>
      <c r="C2155" s="5">
        <f>DATE(2012,12,31)-841</f>
        <v>40433</v>
      </c>
      <c r="D2155" s="4" t="s">
        <v>21</v>
      </c>
      <c r="E2155" s="4">
        <v>21</v>
      </c>
      <c r="F2155" s="4">
        <v>3685.38</v>
      </c>
      <c r="G2155" s="4">
        <v>0</v>
      </c>
      <c r="H2155" s="4" t="s">
        <v>56</v>
      </c>
      <c r="I2155" s="6">
        <v>1040.6199999999999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spans="1:21" ht="12" customHeight="1">
      <c r="A2156" s="4">
        <v>3766</v>
      </c>
      <c r="B2156" s="4">
        <v>26912</v>
      </c>
      <c r="C2156" s="5">
        <f>DATE(2012,12,31)-248</f>
        <v>41026</v>
      </c>
      <c r="D2156" s="4" t="s">
        <v>21</v>
      </c>
      <c r="E2156" s="4">
        <v>21</v>
      </c>
      <c r="F2156" s="4">
        <v>1090.1099999999999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spans="1:21" ht="12" customHeight="1">
      <c r="A2157" s="4">
        <v>3809</v>
      </c>
      <c r="B2157" s="4">
        <v>27137</v>
      </c>
      <c r="C2157" s="5">
        <f>DATE(2012,12,31)-366</f>
        <v>40908</v>
      </c>
      <c r="D2157" s="4" t="s">
        <v>30</v>
      </c>
      <c r="E2157" s="4">
        <v>2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1.1000000000000001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0.55000000000000004</v>
      </c>
      <c r="U2157" s="5">
        <f>C2157+2</f>
        <v>40910</v>
      </c>
    </row>
    <row r="2158" spans="1:21" ht="12" customHeight="1">
      <c r="A2158" s="4">
        <v>3836</v>
      </c>
      <c r="B2158" s="4">
        <v>27335</v>
      </c>
      <c r="C2158" s="5">
        <f>DATE(2012,12,31)-786</f>
        <v>40488</v>
      </c>
      <c r="D2158" s="4" t="s">
        <v>21</v>
      </c>
      <c r="E2158" s="4">
        <v>23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spans="1:21" ht="12" customHeight="1">
      <c r="A2159" s="4">
        <v>3846</v>
      </c>
      <c r="B2159" s="4">
        <v>27430</v>
      </c>
      <c r="C2159" s="5">
        <f>DATE(2012,12,31)-700</f>
        <v>40574</v>
      </c>
      <c r="D2159" s="4" t="s">
        <v>30</v>
      </c>
      <c r="E2159" s="4">
        <v>3</v>
      </c>
      <c r="F2159" s="4">
        <v>315.27</v>
      </c>
      <c r="G2159" s="4">
        <v>0.08</v>
      </c>
      <c r="H2159" s="4" t="s">
        <v>22</v>
      </c>
      <c r="I2159" s="6">
        <v>278.60000000000002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5">C2159+1</f>
        <v>40575</v>
      </c>
    </row>
    <row r="2160" spans="1:21" ht="12" customHeight="1">
      <c r="A2160" s="4">
        <v>3866</v>
      </c>
      <c r="B2160" s="4">
        <v>27559</v>
      </c>
      <c r="C2160" s="5">
        <f>DATE(2012,12,31)-428</f>
        <v>40846</v>
      </c>
      <c r="D2160" s="4" t="s">
        <v>30</v>
      </c>
      <c r="E2160" s="4">
        <v>38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4.8600000000000003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5"/>
        <v>40847</v>
      </c>
    </row>
    <row r="2161" spans="1:21" ht="12" customHeight="1">
      <c r="A2161" s="4">
        <v>4195</v>
      </c>
      <c r="B2161" s="4">
        <v>29797</v>
      </c>
      <c r="C2161" s="5">
        <f>DATE(2012,12,31)-919</f>
        <v>40355</v>
      </c>
      <c r="D2161" s="4" t="s">
        <v>30</v>
      </c>
      <c r="E2161" s="4">
        <v>50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0.57999999999999996</v>
      </c>
      <c r="U2161" s="5">
        <f t="shared" ref="U2161:U2162" si="936">C2161+2</f>
        <v>40357</v>
      </c>
    </row>
    <row r="2162" spans="1:21" ht="12" customHeight="1">
      <c r="A2162" s="4">
        <v>4227</v>
      </c>
      <c r="B2162" s="4">
        <v>30023</v>
      </c>
      <c r="C2162" s="5">
        <f>DATE(2012,12,31)-808</f>
        <v>40466</v>
      </c>
      <c r="D2162" s="4" t="s">
        <v>21</v>
      </c>
      <c r="E2162" s="4">
        <v>28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6"/>
        <v>40468</v>
      </c>
    </row>
    <row r="2163" spans="1:21" ht="12" customHeight="1">
      <c r="A2163" s="4">
        <v>4445</v>
      </c>
      <c r="B2163" s="4">
        <v>31682</v>
      </c>
      <c r="C2163" s="5">
        <f>DATE(2012,12,31)-1028</f>
        <v>40246</v>
      </c>
      <c r="D2163" s="4" t="s">
        <v>21</v>
      </c>
      <c r="E2163" s="4">
        <v>42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spans="1:21" ht="12" customHeight="1">
      <c r="A2164" s="4">
        <v>4467</v>
      </c>
      <c r="B2164" s="4">
        <v>31845</v>
      </c>
      <c r="C2164" s="5">
        <f>DATE(2012,12,31)-70</f>
        <v>41204</v>
      </c>
      <c r="D2164" s="4" t="s">
        <v>21</v>
      </c>
      <c r="E2164" s="4">
        <v>36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0.56999999999999995</v>
      </c>
      <c r="U2164" s="5">
        <f>C2164+0</f>
        <v>41204</v>
      </c>
    </row>
    <row r="2165" spans="1:21" ht="12" customHeight="1">
      <c r="A2165" s="4">
        <v>4553</v>
      </c>
      <c r="B2165" s="4">
        <v>32389</v>
      </c>
      <c r="C2165" s="5">
        <f>DATE(2012,12,31)-792</f>
        <v>40482</v>
      </c>
      <c r="D2165" s="4" t="s">
        <v>63</v>
      </c>
      <c r="E2165" s="4">
        <v>23</v>
      </c>
      <c r="F2165" s="4">
        <v>934.07</v>
      </c>
      <c r="G2165" s="4">
        <v>7.0000000000000007E-2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0.55000000000000004</v>
      </c>
      <c r="U2165" s="5">
        <f t="shared" ref="U2165:U2167" si="937">C2165+2</f>
        <v>40484</v>
      </c>
    </row>
    <row r="2166" spans="1:21" ht="12" customHeight="1">
      <c r="A2166" s="4">
        <v>4782</v>
      </c>
      <c r="B2166" s="4">
        <v>33958</v>
      </c>
      <c r="C2166" s="5">
        <f t="shared" ref="C2166:C2167" si="938">DATE(2012,12,31)-698</f>
        <v>40576</v>
      </c>
      <c r="D2166" s="4" t="s">
        <v>78</v>
      </c>
      <c r="E2166" s="4">
        <v>27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7"/>
        <v>40578</v>
      </c>
    </row>
    <row r="2167" spans="1:21" ht="12" customHeight="1">
      <c r="A2167" s="4">
        <v>4783</v>
      </c>
      <c r="B2167" s="4">
        <v>33958</v>
      </c>
      <c r="C2167" s="5">
        <f t="shared" si="938"/>
        <v>40576</v>
      </c>
      <c r="D2167" s="4" t="s">
        <v>78</v>
      </c>
      <c r="E2167" s="4">
        <v>14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0.56000000000000005</v>
      </c>
      <c r="U2167" s="5">
        <f t="shared" si="937"/>
        <v>40578</v>
      </c>
    </row>
    <row r="2168" spans="1:21" ht="12" customHeight="1">
      <c r="A2168" s="4">
        <v>5119</v>
      </c>
      <c r="B2168" s="4">
        <v>36454</v>
      </c>
      <c r="C2168" s="5">
        <f>DATE(2012,12,31)-682</f>
        <v>40592</v>
      </c>
      <c r="D2168" s="4" t="s">
        <v>78</v>
      </c>
      <c r="E2168" s="4">
        <v>8</v>
      </c>
      <c r="F2168" s="4">
        <v>69.569999999999993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spans="1:21" ht="12" customHeight="1">
      <c r="A2169" s="4">
        <v>5170</v>
      </c>
      <c r="B2169" s="4">
        <v>36800</v>
      </c>
      <c r="C2169" s="5">
        <f>DATE(2012,12,31)-843</f>
        <v>40431</v>
      </c>
      <c r="D2169" s="4" t="s">
        <v>30</v>
      </c>
      <c r="E2169" s="4">
        <v>4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spans="1:21" ht="12" customHeight="1">
      <c r="A2170" s="4">
        <v>5239</v>
      </c>
      <c r="B2170" s="4">
        <v>37287</v>
      </c>
      <c r="C2170" s="5">
        <f>DATE(2012,12,31)-60</f>
        <v>41214</v>
      </c>
      <c r="D2170" s="4" t="s">
        <v>21</v>
      </c>
      <c r="E2170" s="4">
        <v>18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spans="1:21" ht="12" customHeight="1">
      <c r="A2171" s="4">
        <v>5262</v>
      </c>
      <c r="B2171" s="4">
        <v>37443</v>
      </c>
      <c r="C2171" s="5">
        <f>DATE(2012,12,31)-991</f>
        <v>40283</v>
      </c>
      <c r="D2171" s="4" t="s">
        <v>45</v>
      </c>
      <c r="E2171" s="4">
        <v>50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0.56999999999999995</v>
      </c>
      <c r="U2171" s="5">
        <f>C2171+0</f>
        <v>40283</v>
      </c>
    </row>
    <row r="2172" spans="1:21" ht="12" customHeight="1">
      <c r="A2172" s="4">
        <v>5311</v>
      </c>
      <c r="B2172" s="4">
        <v>37792</v>
      </c>
      <c r="C2172" s="5">
        <f>DATE(2012,12,31)-368</f>
        <v>40906</v>
      </c>
      <c r="D2172" s="4" t="s">
        <v>30</v>
      </c>
      <c r="E2172" s="4">
        <v>49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39">C2172+2</f>
        <v>40908</v>
      </c>
    </row>
    <row r="2173" spans="1:21" ht="12" customHeight="1">
      <c r="A2173" s="4">
        <v>5321</v>
      </c>
      <c r="B2173" s="4">
        <v>37829</v>
      </c>
      <c r="C2173" s="5">
        <f>DATE(2012,12,31)-824</f>
        <v>40450</v>
      </c>
      <c r="D2173" s="4" t="s">
        <v>45</v>
      </c>
      <c r="E2173" s="4">
        <v>28</v>
      </c>
      <c r="F2173" s="4">
        <v>257.89999999999998</v>
      </c>
      <c r="G2173" s="4">
        <v>0</v>
      </c>
      <c r="H2173" s="4" t="s">
        <v>22</v>
      </c>
      <c r="I2173" s="6">
        <v>-84.69</v>
      </c>
      <c r="J2173" s="4">
        <v>8.74</v>
      </c>
      <c r="K2173" s="4">
        <v>8.2899999999999991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39"/>
        <v>40452</v>
      </c>
    </row>
    <row r="2174" spans="1:21" ht="12" customHeight="1">
      <c r="A2174" s="4">
        <v>5494</v>
      </c>
      <c r="B2174" s="4">
        <v>38976</v>
      </c>
      <c r="C2174" s="5">
        <f>DATE(2012,12,31)-737</f>
        <v>40537</v>
      </c>
      <c r="D2174" s="4" t="s">
        <v>78</v>
      </c>
      <c r="E2174" s="4">
        <v>16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spans="1:21" ht="12" customHeight="1">
      <c r="A2175" s="4">
        <v>5549</v>
      </c>
      <c r="B2175" s="4">
        <v>39300</v>
      </c>
      <c r="C2175" s="5">
        <f>DATE(2012,12,31)-253</f>
        <v>41021</v>
      </c>
      <c r="D2175" s="4" t="s">
        <v>30</v>
      </c>
      <c r="E2175" s="4">
        <v>9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4.0599999999999996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0">C2175+2</f>
        <v>41023</v>
      </c>
    </row>
    <row r="2176" spans="1:21" ht="12" customHeight="1">
      <c r="A2176" s="4">
        <v>5564</v>
      </c>
      <c r="B2176" s="4">
        <v>39393</v>
      </c>
      <c r="C2176" s="5">
        <f>DATE(2012,12,31)-775</f>
        <v>40499</v>
      </c>
      <c r="D2176" s="4" t="s">
        <v>45</v>
      </c>
      <c r="E2176" s="4">
        <v>23</v>
      </c>
      <c r="F2176" s="4">
        <v>218.29</v>
      </c>
      <c r="G2176" s="4">
        <v>0.09</v>
      </c>
      <c r="H2176" s="4" t="s">
        <v>22</v>
      </c>
      <c r="I2176" s="6">
        <v>-32.433599999999998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0"/>
        <v>40501</v>
      </c>
    </row>
    <row r="2177" spans="1:21" ht="12" customHeight="1">
      <c r="A2177" s="4">
        <v>5624</v>
      </c>
      <c r="B2177" s="4">
        <v>39842</v>
      </c>
      <c r="C2177" s="5">
        <f>DATE(2012,12,31)-743</f>
        <v>40531</v>
      </c>
      <c r="D2177" s="4" t="s">
        <v>63</v>
      </c>
      <c r="E2177" s="4">
        <v>38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spans="1:21" ht="12" customHeight="1">
      <c r="A2178" s="4">
        <v>5888</v>
      </c>
      <c r="B2178" s="4">
        <v>41766</v>
      </c>
      <c r="C2178" s="5">
        <f>DATE(2012,12,31)-111</f>
        <v>41163</v>
      </c>
      <c r="D2178" s="4" t="s">
        <v>78</v>
      </c>
      <c r="E2178" s="4">
        <v>7</v>
      </c>
      <c r="F2178" s="4">
        <v>273.42</v>
      </c>
      <c r="G2178" s="4">
        <v>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spans="1:21" ht="12" customHeight="1">
      <c r="A2179" s="4">
        <v>5960</v>
      </c>
      <c r="B2179" s="4">
        <v>42306</v>
      </c>
      <c r="C2179" s="5">
        <f>DATE(2012,12,31)-108</f>
        <v>41166</v>
      </c>
      <c r="D2179" s="4" t="s">
        <v>30</v>
      </c>
      <c r="E2179" s="4">
        <v>19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0.56999999999999995</v>
      </c>
      <c r="U2179" s="5">
        <f t="shared" ref="U2179:U2180" si="941">C2179+2</f>
        <v>41168</v>
      </c>
    </row>
    <row r="2180" spans="1:21" ht="12" customHeight="1">
      <c r="A2180" s="4">
        <v>5999</v>
      </c>
      <c r="B2180" s="4">
        <v>42528</v>
      </c>
      <c r="C2180" s="5">
        <f t="shared" ref="C2180:C2182" si="942">DATE(2012,12,31)-1042</f>
        <v>40232</v>
      </c>
      <c r="D2180" s="4" t="s">
        <v>63</v>
      </c>
      <c r="E2180" s="4">
        <v>37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19.989999999999998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1"/>
        <v>40234</v>
      </c>
    </row>
    <row r="2181" spans="1:21" ht="12" customHeight="1">
      <c r="A2181" s="4">
        <v>6000</v>
      </c>
      <c r="B2181" s="4">
        <v>42528</v>
      </c>
      <c r="C2181" s="5">
        <f t="shared" si="942"/>
        <v>40232</v>
      </c>
      <c r="D2181" s="4" t="s">
        <v>63</v>
      </c>
      <c r="E2181" s="4">
        <v>13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9.4700000000000006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3">C2181+1</f>
        <v>40233</v>
      </c>
    </row>
    <row r="2182" spans="1:21" ht="12" customHeight="1">
      <c r="A2182" s="4">
        <v>6001</v>
      </c>
      <c r="B2182" s="4">
        <v>42528</v>
      </c>
      <c r="C2182" s="5">
        <f t="shared" si="942"/>
        <v>40232</v>
      </c>
      <c r="D2182" s="4" t="s">
        <v>63</v>
      </c>
      <c r="E2182" s="4">
        <v>31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9.7799999999999994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3"/>
        <v>40233</v>
      </c>
    </row>
    <row r="2183" spans="1:21" ht="12" customHeight="1">
      <c r="A2183" s="4">
        <v>6115</v>
      </c>
      <c r="B2183" s="4">
        <v>43302</v>
      </c>
      <c r="C2183" s="5">
        <f>DATE(2012,12,31)-496</f>
        <v>40778</v>
      </c>
      <c r="D2183" s="4" t="s">
        <v>21</v>
      </c>
      <c r="E2183" s="4">
        <v>39</v>
      </c>
      <c r="F2183" s="4">
        <v>6888.6635000000006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spans="1:21" ht="12" customHeight="1">
      <c r="A2184" s="4">
        <v>6256</v>
      </c>
      <c r="B2184" s="4">
        <v>44292</v>
      </c>
      <c r="C2184" s="5">
        <f>DATE(2012,12,31)-566</f>
        <v>40708</v>
      </c>
      <c r="D2184" s="4" t="s">
        <v>45</v>
      </c>
      <c r="E2184" s="4">
        <v>1</v>
      </c>
      <c r="F2184" s="4">
        <v>10.48</v>
      </c>
      <c r="G2184" s="4">
        <v>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spans="1:21" ht="12" customHeight="1">
      <c r="A2185" s="4">
        <v>6391</v>
      </c>
      <c r="B2185" s="4">
        <v>45381</v>
      </c>
      <c r="C2185" s="5">
        <f t="shared" ref="C2185:C2186" si="944">DATE(2012,12,31)-498</f>
        <v>40776</v>
      </c>
      <c r="D2185" s="4" t="s">
        <v>63</v>
      </c>
      <c r="E2185" s="4">
        <v>1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spans="1:21" ht="12" customHeight="1">
      <c r="A2186" s="4">
        <v>6543</v>
      </c>
      <c r="B2186" s="4">
        <v>46531</v>
      </c>
      <c r="C2186" s="5">
        <f t="shared" si="944"/>
        <v>40776</v>
      </c>
      <c r="D2186" s="4" t="s">
        <v>21</v>
      </c>
      <c r="E2186" s="4">
        <v>39</v>
      </c>
      <c r="F2186" s="4">
        <v>4211</v>
      </c>
      <c r="G2186" s="4">
        <v>7.0000000000000007E-2</v>
      </c>
      <c r="H2186" s="4" t="s">
        <v>22</v>
      </c>
      <c r="I2186" s="6">
        <v>-270.57373200000001</v>
      </c>
      <c r="J2186" s="4">
        <v>111.96</v>
      </c>
      <c r="K2186" s="4">
        <v>69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spans="1:21" ht="12" customHeight="1">
      <c r="A2187" s="4">
        <v>6626</v>
      </c>
      <c r="B2187" s="4">
        <v>47136</v>
      </c>
      <c r="C2187" s="5">
        <f>DATE(2012,12,31)-707</f>
        <v>40567</v>
      </c>
      <c r="D2187" s="4" t="s">
        <v>63</v>
      </c>
      <c r="E2187" s="4">
        <v>18</v>
      </c>
      <c r="F2187" s="4">
        <v>89.99</v>
      </c>
      <c r="G2187" s="4">
        <v>0</v>
      </c>
      <c r="H2187" s="4" t="s">
        <v>22</v>
      </c>
      <c r="I2187" s="6">
        <v>18.954999999999998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spans="1:21" ht="12" customHeight="1">
      <c r="A2188" s="4">
        <v>6778</v>
      </c>
      <c r="B2188" s="4">
        <v>48263</v>
      </c>
      <c r="C2188" s="5">
        <f>DATE(2012,12,31)-1028</f>
        <v>40246</v>
      </c>
      <c r="D2188" s="4" t="s">
        <v>63</v>
      </c>
      <c r="E2188" s="4">
        <v>28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spans="1:21" ht="12" customHeight="1">
      <c r="A2189" s="4">
        <v>6840</v>
      </c>
      <c r="B2189" s="4">
        <v>48706</v>
      </c>
      <c r="C2189" s="5">
        <f>DATE(2012,12,31)-62</f>
        <v>41212</v>
      </c>
      <c r="D2189" s="4" t="s">
        <v>21</v>
      </c>
      <c r="E2189" s="4">
        <v>18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spans="1:21" ht="12" customHeight="1">
      <c r="A2190" s="4">
        <v>6873</v>
      </c>
      <c r="B2190" s="4">
        <v>48963</v>
      </c>
      <c r="C2190" s="5">
        <f>DATE(2012,12,31)-804</f>
        <v>40470</v>
      </c>
      <c r="D2190" s="4" t="s">
        <v>45</v>
      </c>
      <c r="E2190" s="4">
        <v>12</v>
      </c>
      <c r="F2190" s="4">
        <v>81.87</v>
      </c>
      <c r="G2190" s="4">
        <v>7.0000000000000007E-2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spans="1:21" ht="12" customHeight="1">
      <c r="A2191" s="4">
        <v>6909</v>
      </c>
      <c r="B2191" s="4">
        <v>49312</v>
      </c>
      <c r="C2191" s="5">
        <f>DATE(2012,12,31)-679</f>
        <v>40595</v>
      </c>
      <c r="D2191" s="4" t="s">
        <v>78</v>
      </c>
      <c r="E2191" s="4">
        <v>30</v>
      </c>
      <c r="F2191" s="4">
        <v>164.41</v>
      </c>
      <c r="G2191" s="4">
        <v>0</v>
      </c>
      <c r="H2191" s="4" t="s">
        <v>22</v>
      </c>
      <c r="I2191" s="6">
        <v>-128.52000000000001</v>
      </c>
      <c r="J2191" s="4">
        <v>4.9800000000000004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spans="1:21" ht="12" customHeight="1">
      <c r="A2192" s="4">
        <v>6931</v>
      </c>
      <c r="B2192" s="4">
        <v>49472</v>
      </c>
      <c r="C2192" s="5">
        <f t="shared" ref="C2192:C2193" si="945">DATE(2012,12,31)-899</f>
        <v>40375</v>
      </c>
      <c r="D2192" s="4" t="s">
        <v>21</v>
      </c>
      <c r="E2192" s="4">
        <v>15</v>
      </c>
      <c r="F2192" s="4">
        <v>144.13999999999999</v>
      </c>
      <c r="G2192" s="4">
        <v>0.05</v>
      </c>
      <c r="H2192" s="4" t="s">
        <v>22</v>
      </c>
      <c r="I2192" s="6">
        <v>12.09</v>
      </c>
      <c r="J2192" s="4">
        <v>9.7799999999999994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spans="1:21" ht="12" customHeight="1">
      <c r="A2193" s="4">
        <v>6932</v>
      </c>
      <c r="B2193" s="4">
        <v>49472</v>
      </c>
      <c r="C2193" s="5">
        <f t="shared" si="945"/>
        <v>40375</v>
      </c>
      <c r="D2193" s="4" t="s">
        <v>21</v>
      </c>
      <c r="E2193" s="4">
        <v>9</v>
      </c>
      <c r="F2193" s="4">
        <v>30.65</v>
      </c>
      <c r="G2193" s="4">
        <v>0.03</v>
      </c>
      <c r="H2193" s="4" t="s">
        <v>22</v>
      </c>
      <c r="I2193" s="6">
        <v>8.0000000000000071E-2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spans="1:21" ht="12" customHeight="1">
      <c r="A2194" s="4">
        <v>7074</v>
      </c>
      <c r="B2194" s="4">
        <v>50471</v>
      </c>
      <c r="C2194" s="5">
        <f>DATE(2012,12,31)-363</f>
        <v>40911</v>
      </c>
      <c r="D2194" s="4" t="s">
        <v>21</v>
      </c>
      <c r="E2194" s="4">
        <v>25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spans="1:21" ht="12" customHeight="1">
      <c r="A2195" s="4">
        <v>7176</v>
      </c>
      <c r="B2195" s="4">
        <v>51203</v>
      </c>
      <c r="C2195" s="5">
        <f>DATE(2012,12,31)-376</f>
        <v>40898</v>
      </c>
      <c r="D2195" s="4" t="s">
        <v>30</v>
      </c>
      <c r="E2195" s="4">
        <v>49</v>
      </c>
      <c r="F2195" s="4">
        <v>26622.55</v>
      </c>
      <c r="G2195" s="4">
        <v>0.08</v>
      </c>
      <c r="H2195" s="4" t="s">
        <v>31</v>
      </c>
      <c r="I2195" s="6">
        <v>3146.2154999999998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6">C2195+1</f>
        <v>40899</v>
      </c>
    </row>
    <row r="2196" spans="1:21" ht="12" customHeight="1">
      <c r="A2196" s="4">
        <v>7322</v>
      </c>
      <c r="B2196" s="4">
        <v>52195</v>
      </c>
      <c r="C2196" s="5">
        <f>DATE(2012,12,31)-432</f>
        <v>40842</v>
      </c>
      <c r="D2196" s="4" t="s">
        <v>45</v>
      </c>
      <c r="E2196" s="4">
        <v>19</v>
      </c>
      <c r="F2196" s="4">
        <v>267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6"/>
        <v>40843</v>
      </c>
    </row>
    <row r="2197" spans="1:21" ht="12" customHeight="1">
      <c r="A2197" s="4">
        <v>7622</v>
      </c>
      <c r="B2197" s="4">
        <v>54533</v>
      </c>
      <c r="C2197" s="5">
        <f>DATE(2012,12,31)-379</f>
        <v>40895</v>
      </c>
      <c r="D2197" s="4" t="s">
        <v>63</v>
      </c>
      <c r="E2197" s="4">
        <v>21</v>
      </c>
      <c r="F2197" s="4">
        <v>162.25</v>
      </c>
      <c r="G2197" s="4">
        <v>0.03</v>
      </c>
      <c r="H2197" s="4" t="s">
        <v>22</v>
      </c>
      <c r="I2197" s="6">
        <v>-42.722499999999997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6"/>
        <v>40896</v>
      </c>
    </row>
    <row r="2198" spans="1:21" ht="12" customHeight="1">
      <c r="A2198" s="4">
        <v>7691</v>
      </c>
      <c r="B2198" s="4">
        <v>55139</v>
      </c>
      <c r="C2198" s="5">
        <f>DATE(2012,12,31)-1079</f>
        <v>40195</v>
      </c>
      <c r="D2198" s="4" t="s">
        <v>45</v>
      </c>
      <c r="E2198" s="4">
        <v>26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6"/>
        <v>40196</v>
      </c>
    </row>
    <row r="2199" spans="1:21" ht="12" customHeight="1">
      <c r="A2199" s="4">
        <v>7768</v>
      </c>
      <c r="B2199" s="4">
        <v>55616</v>
      </c>
      <c r="C2199" s="5">
        <f>DATE(2012,12,31)-603</f>
        <v>40671</v>
      </c>
      <c r="D2199" s="4" t="s">
        <v>30</v>
      </c>
      <c r="E2199" s="4">
        <v>29</v>
      </c>
      <c r="F2199" s="4">
        <v>184.74</v>
      </c>
      <c r="G2199" s="4">
        <v>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6"/>
        <v>40672</v>
      </c>
    </row>
    <row r="2200" spans="1:21" ht="12" customHeight="1">
      <c r="A2200" s="4">
        <v>7826</v>
      </c>
      <c r="B2200" s="4">
        <v>55938</v>
      </c>
      <c r="C2200" s="5">
        <f>DATE(2012,12,31)-182</f>
        <v>41092</v>
      </c>
      <c r="D2200" s="4" t="s">
        <v>45</v>
      </c>
      <c r="E2200" s="4">
        <v>18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6"/>
        <v>41093</v>
      </c>
    </row>
    <row r="2201" spans="1:21" ht="12" customHeight="1">
      <c r="A2201" s="4">
        <v>7857</v>
      </c>
      <c r="B2201" s="4">
        <v>56166</v>
      </c>
      <c r="C2201" s="5">
        <f>DATE(2012,12,31)-880</f>
        <v>40394</v>
      </c>
      <c r="D2201" s="4" t="s">
        <v>78</v>
      </c>
      <c r="E2201" s="4">
        <v>45</v>
      </c>
      <c r="F2201" s="4">
        <v>615.67999999999995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spans="1:21" ht="12" customHeight="1">
      <c r="A2202" s="4">
        <v>7902</v>
      </c>
      <c r="B2202" s="4">
        <v>56515</v>
      </c>
      <c r="C2202" s="5">
        <f>DATE(2012,12,31)-584</f>
        <v>40690</v>
      </c>
      <c r="D2202" s="4" t="s">
        <v>63</v>
      </c>
      <c r="E2202" s="4">
        <v>18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spans="1:21" ht="12" customHeight="1">
      <c r="A2203" s="4">
        <v>7945</v>
      </c>
      <c r="B2203" s="4">
        <v>56768</v>
      </c>
      <c r="C2203" s="5">
        <f>DATE(2012,12,31)-523</f>
        <v>40751</v>
      </c>
      <c r="D2203" s="4" t="s">
        <v>78</v>
      </c>
      <c r="E2203" s="4">
        <v>37</v>
      </c>
      <c r="F2203" s="4">
        <v>111.39</v>
      </c>
      <c r="G2203" s="4">
        <v>0.02</v>
      </c>
      <c r="H2203" s="4" t="s">
        <v>22</v>
      </c>
      <c r="I2203" s="6">
        <v>20.059999999999999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0.56000000000000005</v>
      </c>
      <c r="U2203" s="5">
        <f t="shared" ref="U2203:U2204" si="947">C2203+2</f>
        <v>40753</v>
      </c>
    </row>
    <row r="2204" spans="1:21" ht="12" customHeight="1">
      <c r="A2204" s="4">
        <v>7961</v>
      </c>
      <c r="B2204" s="4">
        <v>56900</v>
      </c>
      <c r="C2204" s="5">
        <f>DATE(2012,12,31)-401</f>
        <v>40873</v>
      </c>
      <c r="D2204" s="4" t="s">
        <v>45</v>
      </c>
      <c r="E2204" s="4">
        <v>16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7"/>
        <v>40875</v>
      </c>
    </row>
    <row r="2205" spans="1:21" ht="12" customHeight="1">
      <c r="A2205" s="4">
        <v>7974</v>
      </c>
      <c r="B2205" s="4">
        <v>57056</v>
      </c>
      <c r="C2205" s="5">
        <f>DATE(2012,12,31)-53</f>
        <v>41221</v>
      </c>
      <c r="D2205" s="4" t="s">
        <v>21</v>
      </c>
      <c r="E2205" s="4">
        <v>29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spans="1:21" ht="12" customHeight="1">
      <c r="A2206" s="4">
        <v>8170</v>
      </c>
      <c r="B2206" s="4">
        <v>58372</v>
      </c>
      <c r="C2206" s="5">
        <f>DATE(2012,12,31)-639</f>
        <v>40635</v>
      </c>
      <c r="D2206" s="4" t="s">
        <v>21</v>
      </c>
      <c r="E2206" s="4">
        <v>48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spans="1:21" ht="12" customHeight="1">
      <c r="A2207" s="4">
        <v>8297</v>
      </c>
      <c r="B2207" s="4">
        <v>59270</v>
      </c>
      <c r="C2207" s="5">
        <f t="shared" ref="C2207:C2208" si="948">DATE(2012,12,31)-1085</f>
        <v>40189</v>
      </c>
      <c r="D2207" s="4" t="s">
        <v>30</v>
      </c>
      <c r="E2207" s="4">
        <v>48</v>
      </c>
      <c r="F2207" s="4">
        <v>25312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spans="1:21" ht="12" customHeight="1">
      <c r="A2208" s="4">
        <v>8298</v>
      </c>
      <c r="B2208" s="4">
        <v>59270</v>
      </c>
      <c r="C2208" s="5">
        <f t="shared" si="948"/>
        <v>40189</v>
      </c>
      <c r="D2208" s="4" t="s">
        <v>30</v>
      </c>
      <c r="E2208" s="4">
        <v>14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142.86000000000001</v>
      </c>
      <c r="K2208" s="4">
        <v>19.989999999999998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0.56000000000000005</v>
      </c>
      <c r="U2208" s="5">
        <f>C2208+1</f>
        <v>40190</v>
      </c>
    </row>
    <row r="2209" spans="1:21" ht="12" customHeight="1">
      <c r="A2209" s="4">
        <v>8343</v>
      </c>
      <c r="B2209" s="4">
        <v>59619</v>
      </c>
      <c r="C2209" s="5">
        <f>DATE(2012,12,31)-1052</f>
        <v>40222</v>
      </c>
      <c r="D2209" s="4" t="s">
        <v>45</v>
      </c>
      <c r="E2209" s="4">
        <v>12</v>
      </c>
      <c r="F2209" s="4">
        <v>76.040000000000006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spans="1:21" ht="12" customHeight="1">
      <c r="A2210" s="4">
        <v>8367</v>
      </c>
      <c r="B2210" s="4">
        <v>59781</v>
      </c>
      <c r="C2210" s="5">
        <f>DATE(2012,12,31)-19</f>
        <v>41255</v>
      </c>
      <c r="D2210" s="4" t="s">
        <v>45</v>
      </c>
      <c r="E2210" s="4">
        <v>24</v>
      </c>
      <c r="F2210" s="4">
        <v>4408.2700000000004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spans="1:21" ht="12" customHeight="1">
      <c r="A2211" s="4">
        <v>23</v>
      </c>
      <c r="B2211" s="4">
        <v>132</v>
      </c>
      <c r="C2211" s="5">
        <f>DATE(2012,12,31)-935</f>
        <v>40339</v>
      </c>
      <c r="D2211" s="4" t="s">
        <v>63</v>
      </c>
      <c r="E2211" s="4">
        <v>30</v>
      </c>
      <c r="F2211" s="4">
        <v>4011.65</v>
      </c>
      <c r="G2211" s="4">
        <v>0.05</v>
      </c>
      <c r="H2211" s="4" t="s">
        <v>31</v>
      </c>
      <c r="I2211" s="6">
        <v>-603.79999999999995</v>
      </c>
      <c r="J2211" s="4">
        <v>130.97999999999999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spans="1:21" ht="12" customHeight="1">
      <c r="A2212" s="4">
        <v>42</v>
      </c>
      <c r="B2212" s="4">
        <v>258</v>
      </c>
      <c r="C2212" s="5">
        <f t="shared" ref="C2212:C2213" si="949">DATE(2012,12,31)-734</f>
        <v>40540</v>
      </c>
      <c r="D2212" s="4" t="s">
        <v>78</v>
      </c>
      <c r="E2212" s="4">
        <v>21</v>
      </c>
      <c r="F2212" s="4">
        <v>154.35</v>
      </c>
      <c r="G2212" s="4">
        <v>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spans="1:21" ht="12" customHeight="1">
      <c r="A2213" s="4">
        <v>43</v>
      </c>
      <c r="B2213" s="4">
        <v>258</v>
      </c>
      <c r="C2213" s="5">
        <f t="shared" si="949"/>
        <v>40540</v>
      </c>
      <c r="D2213" s="4" t="s">
        <v>78</v>
      </c>
      <c r="E2213" s="4">
        <v>7</v>
      </c>
      <c r="F2213" s="4">
        <v>201.36</v>
      </c>
      <c r="G2213" s="4">
        <v>0</v>
      </c>
      <c r="H2213" s="4" t="s">
        <v>31</v>
      </c>
      <c r="I2213" s="6">
        <v>-284.39999999999998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spans="1:21" ht="12" customHeight="1">
      <c r="A2214" s="4">
        <v>57</v>
      </c>
      <c r="B2214" s="4">
        <v>325</v>
      </c>
      <c r="C2214" s="5">
        <f>DATE(2012,12,31)-807</f>
        <v>40467</v>
      </c>
      <c r="D2214" s="4" t="s">
        <v>21</v>
      </c>
      <c r="E2214" s="4">
        <v>9</v>
      </c>
      <c r="F2214" s="4">
        <v>884.12750000000005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4.2300000000000004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0.56000000000000005</v>
      </c>
      <c r="U2214" s="5">
        <f>C2214+4</f>
        <v>40471</v>
      </c>
    </row>
    <row r="2215" spans="1:21" ht="12" customHeight="1">
      <c r="A2215" s="4">
        <v>302</v>
      </c>
      <c r="B2215" s="4">
        <v>2084</v>
      </c>
      <c r="C2215" s="5">
        <f>DATE(2012,12,31)-1021</f>
        <v>40253</v>
      </c>
      <c r="D2215" s="4" t="s">
        <v>30</v>
      </c>
      <c r="E2215" s="4">
        <v>16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spans="1:21" ht="12" customHeight="1">
      <c r="A2216" s="4">
        <v>519</v>
      </c>
      <c r="B2216" s="4">
        <v>3556</v>
      </c>
      <c r="C2216" s="5">
        <f>DATE(2012,12,31)-100</f>
        <v>41174</v>
      </c>
      <c r="D2216" s="4" t="s">
        <v>45</v>
      </c>
      <c r="E2216" s="4">
        <v>41</v>
      </c>
      <c r="F2216" s="4">
        <v>4933.99</v>
      </c>
      <c r="G2216" s="4">
        <v>0.1</v>
      </c>
      <c r="H2216" s="4" t="s">
        <v>22</v>
      </c>
      <c r="I2216" s="6">
        <v>1161.8900000000001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spans="1:21" ht="12" customHeight="1">
      <c r="A2217" s="4">
        <v>573</v>
      </c>
      <c r="B2217" s="4">
        <v>3905</v>
      </c>
      <c r="C2217" s="5">
        <f>DATE(2012,12,31)-742</f>
        <v>40532</v>
      </c>
      <c r="D2217" s="4" t="s">
        <v>45</v>
      </c>
      <c r="E2217" s="4">
        <v>42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32.409999999999997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0.56000000000000005</v>
      </c>
      <c r="U2217" s="5">
        <f>C2217+1</f>
        <v>40533</v>
      </c>
    </row>
    <row r="2218" spans="1:21" ht="12" customHeight="1">
      <c r="A2218" s="4">
        <v>590</v>
      </c>
      <c r="B2218" s="4">
        <v>4033</v>
      </c>
      <c r="C2218" s="5">
        <f>DATE(2012,12,31)-944</f>
        <v>40330</v>
      </c>
      <c r="D2218" s="4" t="s">
        <v>21</v>
      </c>
      <c r="E2218" s="4">
        <v>38</v>
      </c>
      <c r="F2218" s="4">
        <v>19269.05</v>
      </c>
      <c r="G2218" s="4">
        <v>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spans="1:21" ht="12" customHeight="1">
      <c r="A2219" s="4">
        <v>686</v>
      </c>
      <c r="B2219" s="4">
        <v>4773</v>
      </c>
      <c r="C2219" s="5">
        <f>DATE(2012,12,31)-375</f>
        <v>40899</v>
      </c>
      <c r="D2219" s="4" t="s">
        <v>78</v>
      </c>
      <c r="E2219" s="4">
        <v>26</v>
      </c>
      <c r="F2219" s="4">
        <v>311.38</v>
      </c>
      <c r="G2219" s="4">
        <v>0.06</v>
      </c>
      <c r="H2219" s="4" t="s">
        <v>22</v>
      </c>
      <c r="I2219" s="6">
        <v>34.119999999999997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spans="1:21" ht="12" customHeight="1">
      <c r="A2220" s="4">
        <v>724</v>
      </c>
      <c r="B2220" s="4">
        <v>5189</v>
      </c>
      <c r="C2220" s="5">
        <f>DATE(2012,12,31)-767</f>
        <v>40507</v>
      </c>
      <c r="D2220" s="4" t="s">
        <v>21</v>
      </c>
      <c r="E2220" s="4">
        <v>8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0.57999999999999996</v>
      </c>
      <c r="U2220" s="5">
        <f>C2220+2</f>
        <v>40509</v>
      </c>
    </row>
    <row r="2221" spans="1:21" ht="12" customHeight="1">
      <c r="A2221" s="4">
        <v>772</v>
      </c>
      <c r="B2221" s="4">
        <v>5510</v>
      </c>
      <c r="C2221" s="5">
        <f>DATE(2012,12,31)-1089</f>
        <v>40185</v>
      </c>
      <c r="D2221" s="4" t="s">
        <v>63</v>
      </c>
      <c r="E2221" s="4">
        <v>12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2.0299999999999998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spans="1:21" ht="12" customHeight="1">
      <c r="A2222" s="4">
        <v>887</v>
      </c>
      <c r="B2222" s="4">
        <v>6373</v>
      </c>
      <c r="C2222" s="5">
        <f>DATE(2012,12,31)-343</f>
        <v>40931</v>
      </c>
      <c r="D2222" s="4" t="s">
        <v>45</v>
      </c>
      <c r="E2222" s="4">
        <v>1</v>
      </c>
      <c r="F2222" s="4">
        <v>62.77</v>
      </c>
      <c r="G2222" s="4">
        <v>0.01</v>
      </c>
      <c r="H2222" s="4" t="s">
        <v>22</v>
      </c>
      <c r="I2222" s="6">
        <v>-36.840000000000003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0.56000000000000005</v>
      </c>
      <c r="U2222" s="5">
        <f>C2222+1</f>
        <v>40932</v>
      </c>
    </row>
    <row r="2223" spans="1:21" ht="12" customHeight="1">
      <c r="A2223" s="4">
        <v>900</v>
      </c>
      <c r="B2223" s="4">
        <v>6465</v>
      </c>
      <c r="C2223" s="5">
        <f>DATE(2012,12,31)-507</f>
        <v>40767</v>
      </c>
      <c r="D2223" s="4" t="s">
        <v>21</v>
      </c>
      <c r="E2223" s="4">
        <v>36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spans="1:21" ht="12" customHeight="1">
      <c r="A2224" s="4">
        <v>953</v>
      </c>
      <c r="B2224" s="4">
        <v>6885</v>
      </c>
      <c r="C2224" s="5">
        <f>DATE(2012,12,31)-195</f>
        <v>41079</v>
      </c>
      <c r="D2224" s="4" t="s">
        <v>21</v>
      </c>
      <c r="E2224" s="4">
        <v>40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spans="1:21" ht="12" customHeight="1">
      <c r="A2225" s="4">
        <v>1009</v>
      </c>
      <c r="B2225" s="4">
        <v>7367</v>
      </c>
      <c r="C2225" s="5">
        <f>DATE(2012,12,31)-575</f>
        <v>40699</v>
      </c>
      <c r="D2225" s="4" t="s">
        <v>21</v>
      </c>
      <c r="E2225" s="4">
        <v>48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spans="1:21" ht="12" customHeight="1">
      <c r="A2226" s="4">
        <v>1051</v>
      </c>
      <c r="B2226" s="4">
        <v>7751</v>
      </c>
      <c r="C2226" s="5">
        <f>DATE(2012,12,31)-8</f>
        <v>41266</v>
      </c>
      <c r="D2226" s="4" t="s">
        <v>45</v>
      </c>
      <c r="E2226" s="4">
        <v>45</v>
      </c>
      <c r="F2226" s="4">
        <v>4547.8999999999996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0.57999999999999996</v>
      </c>
      <c r="U2226" s="5">
        <f t="shared" ref="U2226:U2227" si="950">C2226+1</f>
        <v>41267</v>
      </c>
    </row>
    <row r="2227" spans="1:21" ht="12" customHeight="1">
      <c r="A2227" s="4">
        <v>1244</v>
      </c>
      <c r="B2227" s="4">
        <v>9062</v>
      </c>
      <c r="C2227" s="5">
        <f>DATE(2012,12,31)-652</f>
        <v>40622</v>
      </c>
      <c r="D2227" s="4" t="s">
        <v>30</v>
      </c>
      <c r="E2227" s="4">
        <v>32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0"/>
        <v>40623</v>
      </c>
    </row>
    <row r="2228" spans="1:21" ht="12" customHeight="1">
      <c r="A2228" s="4">
        <v>1403</v>
      </c>
      <c r="B2228" s="4">
        <v>10209</v>
      </c>
      <c r="C2228" s="5">
        <f>DATE(2012,12,31)-763</f>
        <v>40511</v>
      </c>
      <c r="D2228" s="4" t="s">
        <v>63</v>
      </c>
      <c r="E2228" s="4">
        <v>48</v>
      </c>
      <c r="F2228" s="4">
        <v>418.82</v>
      </c>
      <c r="G2228" s="4">
        <v>0.02</v>
      </c>
      <c r="H2228" s="4" t="s">
        <v>22</v>
      </c>
      <c r="I2228" s="6">
        <v>-60.213999999999999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1">C2228+2</f>
        <v>40513</v>
      </c>
    </row>
    <row r="2229" spans="1:21" ht="12" customHeight="1">
      <c r="A2229" s="4">
        <v>1412</v>
      </c>
      <c r="B2229" s="4">
        <v>10245</v>
      </c>
      <c r="C2229" s="5">
        <f>DATE(2012,12,31)-687</f>
        <v>40587</v>
      </c>
      <c r="D2229" s="4" t="s">
        <v>63</v>
      </c>
      <c r="E2229" s="4">
        <v>23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1"/>
        <v>40589</v>
      </c>
    </row>
    <row r="2230" spans="1:21" ht="12" customHeight="1">
      <c r="A2230" s="4">
        <v>1870</v>
      </c>
      <c r="B2230" s="4">
        <v>13472</v>
      </c>
      <c r="C2230" s="5">
        <f>DATE(2012,12,31)-432</f>
        <v>40842</v>
      </c>
      <c r="D2230" s="4" t="s">
        <v>78</v>
      </c>
      <c r="E2230" s="4">
        <v>26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2">C2230+1</f>
        <v>40843</v>
      </c>
    </row>
    <row r="2231" spans="1:21" ht="12" customHeight="1">
      <c r="A2231" s="4">
        <v>2060</v>
      </c>
      <c r="B2231" s="4">
        <v>14727</v>
      </c>
      <c r="C2231" s="5">
        <f>DATE(2012,12,31)-165</f>
        <v>41109</v>
      </c>
      <c r="D2231" s="4" t="s">
        <v>63</v>
      </c>
      <c r="E2231" s="4">
        <v>33</v>
      </c>
      <c r="F2231" s="4">
        <v>2269.41</v>
      </c>
      <c r="G2231" s="4">
        <v>0.05</v>
      </c>
      <c r="H2231" s="4" t="s">
        <v>22</v>
      </c>
      <c r="I2231" s="6">
        <v>630.17999999999995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2"/>
        <v>41110</v>
      </c>
    </row>
    <row r="2232" spans="1:21" ht="12" customHeight="1">
      <c r="A2232" s="4">
        <v>2153</v>
      </c>
      <c r="B2232" s="4">
        <v>15399</v>
      </c>
      <c r="C2232" s="5">
        <f>DATE(2012,12,31)-232</f>
        <v>41042</v>
      </c>
      <c r="D2232" s="4" t="s">
        <v>78</v>
      </c>
      <c r="E2232" s="4">
        <v>46</v>
      </c>
      <c r="F2232" s="4">
        <v>2514.5124999999998</v>
      </c>
      <c r="G2232" s="4">
        <v>0.04</v>
      </c>
      <c r="H2232" s="4" t="s">
        <v>56</v>
      </c>
      <c r="I2232" s="6">
        <v>601.65</v>
      </c>
      <c r="J2232" s="4">
        <v>65.989999999999995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0.56999999999999995</v>
      </c>
      <c r="U2232" s="5">
        <f t="shared" si="952"/>
        <v>41043</v>
      </c>
    </row>
    <row r="2233" spans="1:21" ht="12" customHeight="1">
      <c r="A2233" s="4">
        <v>2168</v>
      </c>
      <c r="B2233" s="4">
        <v>15619</v>
      </c>
      <c r="C2233" s="5">
        <f>DATE(2012,12,31)-552</f>
        <v>40722</v>
      </c>
      <c r="D2233" s="4" t="s">
        <v>21</v>
      </c>
      <c r="E2233" s="4">
        <v>9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160.97999999999999</v>
      </c>
      <c r="K2233" s="4">
        <v>30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spans="1:21" ht="12" customHeight="1">
      <c r="A2234" s="4">
        <v>2248</v>
      </c>
      <c r="B2234" s="4">
        <v>16194</v>
      </c>
      <c r="C2234" s="5">
        <f>DATE(2012,12,31)-816</f>
        <v>40458</v>
      </c>
      <c r="D2234" s="4" t="s">
        <v>45</v>
      </c>
      <c r="E2234" s="4">
        <v>24</v>
      </c>
      <c r="F2234" s="4">
        <v>2435.5135</v>
      </c>
      <c r="G2234" s="4">
        <v>0.08</v>
      </c>
      <c r="H2234" s="4" t="s">
        <v>22</v>
      </c>
      <c r="I2234" s="6">
        <v>315.48599999999999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spans="1:21" ht="12" customHeight="1">
      <c r="A2235" s="4">
        <v>2260</v>
      </c>
      <c r="B2235" s="4">
        <v>16231</v>
      </c>
      <c r="C2235" s="5">
        <f>DATE(2012,12,31)-118</f>
        <v>41156</v>
      </c>
      <c r="D2235" s="4" t="s">
        <v>21</v>
      </c>
      <c r="E2235" s="4">
        <v>20</v>
      </c>
      <c r="F2235" s="4">
        <v>2506.38</v>
      </c>
      <c r="G2235" s="4">
        <v>7.0000000000000007E-2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spans="1:21" ht="12" customHeight="1">
      <c r="A2236" s="4">
        <v>2312</v>
      </c>
      <c r="B2236" s="4">
        <v>16674</v>
      </c>
      <c r="C2236" s="5">
        <f t="shared" ref="C2236:C2237" si="953">DATE(2012,12,31)-612</f>
        <v>40662</v>
      </c>
      <c r="D2236" s="4" t="s">
        <v>21</v>
      </c>
      <c r="E2236" s="4">
        <v>49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0.56000000000000005</v>
      </c>
      <c r="U2236" s="5">
        <f>C2236+7</f>
        <v>40669</v>
      </c>
    </row>
    <row r="2237" spans="1:21" ht="12" customHeight="1">
      <c r="A2237" s="4">
        <v>2313</v>
      </c>
      <c r="B2237" s="4">
        <v>16674</v>
      </c>
      <c r="C2237" s="5">
        <f t="shared" si="953"/>
        <v>40662</v>
      </c>
      <c r="D2237" s="4" t="s">
        <v>21</v>
      </c>
      <c r="E2237" s="4">
        <v>39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spans="1:21" ht="12" customHeight="1">
      <c r="A2238" s="4">
        <v>2320</v>
      </c>
      <c r="B2238" s="4">
        <v>16710</v>
      </c>
      <c r="C2238" s="5">
        <f>DATE(2012,12,31)-617</f>
        <v>40657</v>
      </c>
      <c r="D2238" s="4" t="s">
        <v>30</v>
      </c>
      <c r="E2238" s="4">
        <v>47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145.44999999999999</v>
      </c>
      <c r="K2238" s="4">
        <v>17.850000000000001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0.56000000000000005</v>
      </c>
      <c r="U2238" s="5">
        <f t="shared" ref="U2238:U2239" si="954">C2238+2</f>
        <v>40659</v>
      </c>
    </row>
    <row r="2239" spans="1:21" ht="12" customHeight="1">
      <c r="A2239" s="4">
        <v>2437</v>
      </c>
      <c r="B2239" s="4">
        <v>17698</v>
      </c>
      <c r="C2239" s="5">
        <f t="shared" ref="C2239:C2240" si="955">DATE(2012,12,31)-232</f>
        <v>41042</v>
      </c>
      <c r="D2239" s="4" t="s">
        <v>30</v>
      </c>
      <c r="E2239" s="4">
        <v>22</v>
      </c>
      <c r="F2239" s="4">
        <v>1118.2514999999999</v>
      </c>
      <c r="G2239" s="4">
        <v>0.1</v>
      </c>
      <c r="H2239" s="4" t="s">
        <v>22</v>
      </c>
      <c r="I2239" s="6">
        <v>-59.587000000000003</v>
      </c>
      <c r="J2239" s="4">
        <v>65.989999999999995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0.57999999999999996</v>
      </c>
      <c r="U2239" s="5">
        <f t="shared" si="954"/>
        <v>41044</v>
      </c>
    </row>
    <row r="2240" spans="1:21" ht="12" customHeight="1">
      <c r="A2240" s="4">
        <v>2438</v>
      </c>
      <c r="B2240" s="4">
        <v>17698</v>
      </c>
      <c r="C2240" s="5">
        <f t="shared" si="955"/>
        <v>41042</v>
      </c>
      <c r="D2240" s="4" t="s">
        <v>30</v>
      </c>
      <c r="E2240" s="4">
        <v>40</v>
      </c>
      <c r="F2240" s="4">
        <v>609.4</v>
      </c>
      <c r="G2240" s="4">
        <v>0.04</v>
      </c>
      <c r="H2240" s="4" t="s">
        <v>22</v>
      </c>
      <c r="I2240" s="6">
        <v>-89.228499999999997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spans="1:21" ht="12" customHeight="1">
      <c r="A2241" s="4">
        <v>2570</v>
      </c>
      <c r="B2241" s="4">
        <v>18534</v>
      </c>
      <c r="C2241" s="5">
        <f>DATE(2012,12,31)-367</f>
        <v>40907</v>
      </c>
      <c r="D2241" s="4" t="s">
        <v>21</v>
      </c>
      <c r="E2241" s="4">
        <v>36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spans="1:21" ht="12" customHeight="1">
      <c r="A2242" s="4">
        <v>2622</v>
      </c>
      <c r="B2242" s="4">
        <v>18951</v>
      </c>
      <c r="C2242" s="5">
        <f t="shared" ref="C2242:C2243" si="956">DATE(2012,12,31)-551</f>
        <v>40723</v>
      </c>
      <c r="D2242" s="4" t="s">
        <v>78</v>
      </c>
      <c r="E2242" s="4">
        <v>16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spans="1:21" ht="12" customHeight="1">
      <c r="A2243" s="4">
        <v>2623</v>
      </c>
      <c r="B2243" s="4">
        <v>18951</v>
      </c>
      <c r="C2243" s="5">
        <f t="shared" si="956"/>
        <v>40723</v>
      </c>
      <c r="D2243" s="4" t="s">
        <v>78</v>
      </c>
      <c r="E2243" s="4">
        <v>10</v>
      </c>
      <c r="F2243" s="4">
        <v>324.3175</v>
      </c>
      <c r="G2243" s="4">
        <v>0.03</v>
      </c>
      <c r="H2243" s="4" t="s">
        <v>56</v>
      </c>
      <c r="I2243" s="6">
        <v>-169.74100000000001</v>
      </c>
      <c r="J2243" s="4">
        <v>35.99</v>
      </c>
      <c r="K2243" s="4">
        <v>5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7">C2243+2</f>
        <v>40725</v>
      </c>
    </row>
    <row r="2244" spans="1:21" ht="12" customHeight="1">
      <c r="A2244" s="4">
        <v>2648</v>
      </c>
      <c r="B2244" s="4">
        <v>19174</v>
      </c>
      <c r="C2244" s="5">
        <f>DATE(2012,12,31)-899</f>
        <v>40375</v>
      </c>
      <c r="D2244" s="4" t="s">
        <v>63</v>
      </c>
      <c r="E2244" s="4">
        <v>49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7"/>
        <v>40377</v>
      </c>
    </row>
    <row r="2245" spans="1:21" ht="12" customHeight="1">
      <c r="A2245" s="4">
        <v>2785</v>
      </c>
      <c r="B2245" s="4">
        <v>20098</v>
      </c>
      <c r="C2245" s="5">
        <f>DATE(2012,12,31)-389</f>
        <v>40885</v>
      </c>
      <c r="D2245" s="4" t="s">
        <v>63</v>
      </c>
      <c r="E2245" s="4">
        <v>8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spans="1:21" ht="12" customHeight="1">
      <c r="A2246" s="4">
        <v>2942</v>
      </c>
      <c r="B2246" s="4">
        <v>21319</v>
      </c>
      <c r="C2246" s="5">
        <f t="shared" ref="C2246:C2247" si="958">DATE(2012,12,31)-977</f>
        <v>40297</v>
      </c>
      <c r="D2246" s="4" t="s">
        <v>63</v>
      </c>
      <c r="E2246" s="4">
        <v>11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0.56999999999999995</v>
      </c>
      <c r="U2246" s="5">
        <f>C2246+3</f>
        <v>40300</v>
      </c>
    </row>
    <row r="2247" spans="1:21" ht="12" customHeight="1">
      <c r="A2247" s="4">
        <v>2944</v>
      </c>
      <c r="B2247" s="4">
        <v>21319</v>
      </c>
      <c r="C2247" s="5">
        <f t="shared" si="958"/>
        <v>40297</v>
      </c>
      <c r="D2247" s="4" t="s">
        <v>63</v>
      </c>
      <c r="E2247" s="4">
        <v>42</v>
      </c>
      <c r="F2247" s="4">
        <v>1060.3399999999999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spans="1:21" ht="12" customHeight="1">
      <c r="A2248" s="4">
        <v>3081</v>
      </c>
      <c r="B2248" s="4">
        <v>22115</v>
      </c>
      <c r="C2248" s="5">
        <f>DATE(2012,12,31)-930</f>
        <v>40344</v>
      </c>
      <c r="D2248" s="4" t="s">
        <v>21</v>
      </c>
      <c r="E2248" s="4">
        <v>5</v>
      </c>
      <c r="F2248" s="4">
        <v>751.94</v>
      </c>
      <c r="G2248" s="4">
        <v>0.02</v>
      </c>
      <c r="H2248" s="4" t="s">
        <v>31</v>
      </c>
      <c r="I2248" s="6">
        <v>-283.94189999999998</v>
      </c>
      <c r="J2248" s="4">
        <v>145.44999999999999</v>
      </c>
      <c r="K2248" s="4">
        <v>17.850000000000001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0.56000000000000005</v>
      </c>
      <c r="U2248" s="5">
        <f>C2248+0</f>
        <v>40344</v>
      </c>
    </row>
    <row r="2249" spans="1:21" ht="12" customHeight="1">
      <c r="A2249" s="4">
        <v>3088</v>
      </c>
      <c r="B2249" s="4">
        <v>22149</v>
      </c>
      <c r="C2249" s="5">
        <f>DATE(2012,12,31)-465</f>
        <v>40809</v>
      </c>
      <c r="D2249" s="4" t="s">
        <v>21</v>
      </c>
      <c r="E2249" s="4">
        <v>17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0.55000000000000004</v>
      </c>
      <c r="U2249" s="5">
        <f>C2249+5</f>
        <v>40814</v>
      </c>
    </row>
    <row r="2250" spans="1:21" ht="12" customHeight="1">
      <c r="A2250" s="4">
        <v>3108</v>
      </c>
      <c r="B2250" s="4">
        <v>22338</v>
      </c>
      <c r="C2250" s="5">
        <f>DATE(2012,12,31)-962</f>
        <v>40312</v>
      </c>
      <c r="D2250" s="4" t="s">
        <v>63</v>
      </c>
      <c r="E2250" s="4">
        <v>36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5.0599999999999996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spans="1:21" ht="12" customHeight="1">
      <c r="A2251" s="4">
        <v>3151</v>
      </c>
      <c r="B2251" s="4">
        <v>22627</v>
      </c>
      <c r="C2251" s="5">
        <f>DATE(2012,12,31)-1003</f>
        <v>40271</v>
      </c>
      <c r="D2251" s="4" t="s">
        <v>21</v>
      </c>
      <c r="E2251" s="4">
        <v>33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spans="1:21" ht="12" customHeight="1">
      <c r="A2252" s="4">
        <v>3175</v>
      </c>
      <c r="B2252" s="4">
        <v>22820</v>
      </c>
      <c r="C2252" s="5">
        <f>DATE(2012,12,31)-867</f>
        <v>40407</v>
      </c>
      <c r="D2252" s="4" t="s">
        <v>30</v>
      </c>
      <c r="E2252" s="4">
        <v>18</v>
      </c>
      <c r="F2252" s="4">
        <v>144.84</v>
      </c>
      <c r="G2252" s="4">
        <v>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59">C2252+3</f>
        <v>40410</v>
      </c>
    </row>
    <row r="2253" spans="1:21" ht="12" customHeight="1">
      <c r="A2253" s="4">
        <v>3187</v>
      </c>
      <c r="B2253" s="4">
        <v>22880</v>
      </c>
      <c r="C2253" s="5">
        <f>DATE(2012,12,31)-946</f>
        <v>40328</v>
      </c>
      <c r="D2253" s="4" t="s">
        <v>63</v>
      </c>
      <c r="E2253" s="4">
        <v>13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59"/>
        <v>40331</v>
      </c>
    </row>
    <row r="2254" spans="1:21" ht="12" customHeight="1">
      <c r="A2254" s="4">
        <v>3217</v>
      </c>
      <c r="B2254" s="4">
        <v>23078</v>
      </c>
      <c r="C2254" s="5">
        <f>DATE(2012,12,31)-473</f>
        <v>40801</v>
      </c>
      <c r="D2254" s="4" t="s">
        <v>63</v>
      </c>
      <c r="E2254" s="4">
        <v>39</v>
      </c>
      <c r="F2254" s="4">
        <v>577.95000000000005</v>
      </c>
      <c r="G2254" s="4">
        <v>7.0000000000000007E-2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0.56000000000000005</v>
      </c>
      <c r="U2254" s="5">
        <f t="shared" ref="U2254:U2255" si="960">C2254+2</f>
        <v>40803</v>
      </c>
    </row>
    <row r="2255" spans="1:21" ht="12" customHeight="1">
      <c r="A2255" s="4">
        <v>3246</v>
      </c>
      <c r="B2255" s="4">
        <v>23268</v>
      </c>
      <c r="C2255" s="5">
        <f>DATE(2012,12,31)-350</f>
        <v>40924</v>
      </c>
      <c r="D2255" s="4" t="s">
        <v>30</v>
      </c>
      <c r="E2255" s="4">
        <v>5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0"/>
        <v>40926</v>
      </c>
    </row>
    <row r="2256" spans="1:21" ht="12" customHeight="1">
      <c r="A2256" s="4">
        <v>3379</v>
      </c>
      <c r="B2256" s="4">
        <v>24102</v>
      </c>
      <c r="C2256" s="5">
        <f>DATE(2012,12,31)-762</f>
        <v>40512</v>
      </c>
      <c r="D2256" s="4" t="s">
        <v>78</v>
      </c>
      <c r="E2256" s="4">
        <v>50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0.56999999999999995</v>
      </c>
      <c r="U2256" s="5">
        <f>C2256+1</f>
        <v>40513</v>
      </c>
    </row>
    <row r="2257" spans="1:21" ht="12" customHeight="1">
      <c r="A2257" s="4">
        <v>3423</v>
      </c>
      <c r="B2257" s="4">
        <v>24422</v>
      </c>
      <c r="C2257" s="5">
        <f>DATE(2012,12,31)-368</f>
        <v>40906</v>
      </c>
      <c r="D2257" s="4" t="s">
        <v>78</v>
      </c>
      <c r="E2257" s="4">
        <v>20</v>
      </c>
      <c r="F2257" s="4">
        <v>3467.28</v>
      </c>
      <c r="G2257" s="4">
        <v>0.06</v>
      </c>
      <c r="H2257" s="4" t="s">
        <v>31</v>
      </c>
      <c r="I2257" s="6">
        <v>-433.29014300000011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1">C2257+2</f>
        <v>40908</v>
      </c>
    </row>
    <row r="2258" spans="1:21" ht="12" customHeight="1">
      <c r="A2258" s="4">
        <v>3693</v>
      </c>
      <c r="B2258" s="4">
        <v>26401</v>
      </c>
      <c r="C2258" s="5">
        <f>DATE(2012,12,31)-810</f>
        <v>40464</v>
      </c>
      <c r="D2258" s="4" t="s">
        <v>63</v>
      </c>
      <c r="E2258" s="4">
        <v>1</v>
      </c>
      <c r="F2258" s="4">
        <v>415</v>
      </c>
      <c r="G2258" s="4">
        <v>7.0000000000000007E-2</v>
      </c>
      <c r="H2258" s="4" t="s">
        <v>22</v>
      </c>
      <c r="I2258" s="6">
        <v>-199.3065</v>
      </c>
      <c r="J2258" s="4">
        <v>420.98</v>
      </c>
      <c r="K2258" s="4">
        <v>19.989999999999998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1"/>
        <v>40466</v>
      </c>
    </row>
    <row r="2259" spans="1:21" ht="12" customHeight="1">
      <c r="A2259" s="4">
        <v>3996</v>
      </c>
      <c r="B2259" s="4">
        <v>28515</v>
      </c>
      <c r="C2259" s="5">
        <f>DATE(2012,12,31)-915</f>
        <v>40359</v>
      </c>
      <c r="D2259" s="4" t="s">
        <v>30</v>
      </c>
      <c r="E2259" s="4">
        <v>48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1"/>
        <v>40361</v>
      </c>
    </row>
    <row r="2260" spans="1:21" ht="12" customHeight="1">
      <c r="A2260" s="4">
        <v>4114</v>
      </c>
      <c r="B2260" s="4">
        <v>29280</v>
      </c>
      <c r="C2260" s="5">
        <f>DATE(2012,12,31)-278</f>
        <v>40996</v>
      </c>
      <c r="D2260" s="4" t="s">
        <v>63</v>
      </c>
      <c r="E2260" s="4">
        <v>30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spans="1:21" ht="12" customHeight="1">
      <c r="A2261" s="4">
        <v>4129</v>
      </c>
      <c r="B2261" s="4">
        <v>29349</v>
      </c>
      <c r="C2261" s="5">
        <f>DATE(2012,12,31)-935</f>
        <v>40339</v>
      </c>
      <c r="D2261" s="4" t="s">
        <v>30</v>
      </c>
      <c r="E2261" s="4">
        <v>46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65.989999999999995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0.55000000000000004</v>
      </c>
      <c r="U2261" s="5">
        <f t="shared" ref="U2261:U2262" si="962">C2261+2</f>
        <v>40341</v>
      </c>
    </row>
    <row r="2262" spans="1:21" ht="12" customHeight="1">
      <c r="A2262" s="4">
        <v>4153</v>
      </c>
      <c r="B2262" s="4">
        <v>29473</v>
      </c>
      <c r="C2262" s="5">
        <f>DATE(2012,12,31)-320</f>
        <v>40954</v>
      </c>
      <c r="D2262" s="4" t="s">
        <v>63</v>
      </c>
      <c r="E2262" s="4">
        <v>31</v>
      </c>
      <c r="F2262" s="4">
        <v>206.28649999999999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2"/>
        <v>40956</v>
      </c>
    </row>
    <row r="2263" spans="1:21" ht="12" customHeight="1">
      <c r="A2263" s="4">
        <v>4205</v>
      </c>
      <c r="B2263" s="4">
        <v>29893</v>
      </c>
      <c r="C2263" s="5">
        <f>DATE(2012,12,31)-198</f>
        <v>41076</v>
      </c>
      <c r="D2263" s="4" t="s">
        <v>63</v>
      </c>
      <c r="E2263" s="4">
        <v>24</v>
      </c>
      <c r="F2263" s="4">
        <v>5452.9</v>
      </c>
      <c r="G2263" s="4">
        <v>7.0000000000000007E-2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spans="1:21" ht="12" customHeight="1">
      <c r="A2264" s="4">
        <v>4228</v>
      </c>
      <c r="B2264" s="4">
        <v>30023</v>
      </c>
      <c r="C2264" s="5">
        <f>DATE(2012,12,31)-808</f>
        <v>40466</v>
      </c>
      <c r="D2264" s="4" t="s">
        <v>21</v>
      </c>
      <c r="E2264" s="4">
        <v>36</v>
      </c>
      <c r="F2264" s="4">
        <v>840.24</v>
      </c>
      <c r="G2264" s="4">
        <v>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spans="1:21" ht="12" customHeight="1">
      <c r="A2265" s="4">
        <v>4311</v>
      </c>
      <c r="B2265" s="4">
        <v>30720</v>
      </c>
      <c r="C2265" s="5">
        <f>DATE(2012,12,31)-95</f>
        <v>41179</v>
      </c>
      <c r="D2265" s="4" t="s">
        <v>21</v>
      </c>
      <c r="E2265" s="4">
        <v>27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0.56000000000000005</v>
      </c>
      <c r="U2265" s="5">
        <f t="shared" ref="U2265:U2266" si="963">C2265+5</f>
        <v>41184</v>
      </c>
    </row>
    <row r="2266" spans="1:21" ht="12" customHeight="1">
      <c r="A2266" s="4">
        <v>4333</v>
      </c>
      <c r="B2266" s="4">
        <v>30884</v>
      </c>
      <c r="C2266" s="5">
        <f>DATE(2012,12,31)-827</f>
        <v>40447</v>
      </c>
      <c r="D2266" s="4" t="s">
        <v>21</v>
      </c>
      <c r="E2266" s="4">
        <v>6</v>
      </c>
      <c r="F2266" s="4">
        <v>763.44799999999998</v>
      </c>
      <c r="G2266" s="4">
        <v>0.05</v>
      </c>
      <c r="H2266" s="4" t="s">
        <v>31</v>
      </c>
      <c r="I2266" s="6">
        <v>-352.95903500000009</v>
      </c>
      <c r="J2266" s="4">
        <v>146.05000000000001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3"/>
        <v>40452</v>
      </c>
    </row>
    <row r="2267" spans="1:21" ht="12" customHeight="1">
      <c r="A2267" s="4">
        <v>4398</v>
      </c>
      <c r="B2267" s="4">
        <v>31303</v>
      </c>
      <c r="C2267" s="5">
        <f>DATE(2012,12,31)-652</f>
        <v>40622</v>
      </c>
      <c r="D2267" s="4" t="s">
        <v>21</v>
      </c>
      <c r="E2267" s="4">
        <v>50</v>
      </c>
      <c r="F2267" s="4">
        <v>306.13</v>
      </c>
      <c r="G2267" s="4">
        <v>0.09</v>
      </c>
      <c r="H2267" s="4" t="s">
        <v>56</v>
      </c>
      <c r="I2267" s="6">
        <v>87.600999999999999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spans="1:21" ht="12" customHeight="1">
      <c r="A2268" s="4">
        <v>4402</v>
      </c>
      <c r="B2268" s="4">
        <v>31392</v>
      </c>
      <c r="C2268" s="5">
        <f>DATE(2012,12,31)-970</f>
        <v>40304</v>
      </c>
      <c r="D2268" s="4" t="s">
        <v>21</v>
      </c>
      <c r="E2268" s="4">
        <v>21</v>
      </c>
      <c r="F2268" s="4">
        <v>128.86000000000001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spans="1:21" ht="12" customHeight="1">
      <c r="A2269" s="4">
        <v>4630</v>
      </c>
      <c r="B2269" s="4">
        <v>32965</v>
      </c>
      <c r="C2269" s="5">
        <f>DATE(2012,12,31)-676</f>
        <v>40598</v>
      </c>
      <c r="D2269" s="4" t="s">
        <v>30</v>
      </c>
      <c r="E2269" s="4">
        <v>2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spans="1:21" ht="12" customHeight="1">
      <c r="A2270" s="4">
        <v>4674</v>
      </c>
      <c r="B2270" s="4">
        <v>33253</v>
      </c>
      <c r="C2270" s="5">
        <f>DATE(2012,12,31)-397</f>
        <v>40877</v>
      </c>
      <c r="D2270" s="4" t="s">
        <v>45</v>
      </c>
      <c r="E2270" s="4">
        <v>17</v>
      </c>
      <c r="F2270" s="4">
        <v>524.21199999999999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spans="1:21" ht="12" customHeight="1">
      <c r="A2271" s="4">
        <v>4959</v>
      </c>
      <c r="B2271" s="4">
        <v>35271</v>
      </c>
      <c r="C2271" s="5">
        <f>DATE(2012,12,31)-889</f>
        <v>40385</v>
      </c>
      <c r="D2271" s="4" t="s">
        <v>30</v>
      </c>
      <c r="E2271" s="4">
        <v>19</v>
      </c>
      <c r="F2271" s="4">
        <v>1083.4014999999999</v>
      </c>
      <c r="G2271" s="4">
        <v>0.02</v>
      </c>
      <c r="H2271" s="4" t="s">
        <v>22</v>
      </c>
      <c r="I2271" s="6">
        <v>64.53</v>
      </c>
      <c r="J2271" s="4">
        <v>65.989999999999995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0.56000000000000005</v>
      </c>
      <c r="U2271" s="5">
        <f>C2271+1</f>
        <v>40386</v>
      </c>
    </row>
    <row r="2272" spans="1:21" ht="12" customHeight="1">
      <c r="A2272" s="4">
        <v>5108</v>
      </c>
      <c r="B2272" s="4">
        <v>36390</v>
      </c>
      <c r="C2272" s="5">
        <f>DATE(2012,12,31)-80</f>
        <v>41194</v>
      </c>
      <c r="D2272" s="4" t="s">
        <v>30</v>
      </c>
      <c r="E2272" s="4">
        <v>3</v>
      </c>
      <c r="F2272" s="4">
        <v>329.63</v>
      </c>
      <c r="G2272" s="4">
        <v>0.05</v>
      </c>
      <c r="H2272" s="4" t="s">
        <v>22</v>
      </c>
      <c r="I2272" s="6">
        <v>-541.33199999999999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4">C2272+2</f>
        <v>41196</v>
      </c>
    </row>
    <row r="2273" spans="1:21" ht="12" customHeight="1">
      <c r="A2273" s="4">
        <v>5453</v>
      </c>
      <c r="B2273" s="4">
        <v>38723</v>
      </c>
      <c r="C2273" s="5">
        <f>DATE(2012,12,31)-102</f>
        <v>41172</v>
      </c>
      <c r="D2273" s="4" t="s">
        <v>78</v>
      </c>
      <c r="E2273" s="4">
        <v>39</v>
      </c>
      <c r="F2273" s="4">
        <v>2617.13</v>
      </c>
      <c r="G2273" s="4">
        <v>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4"/>
        <v>41174</v>
      </c>
    </row>
    <row r="2274" spans="1:21" ht="12" customHeight="1">
      <c r="A2274" s="4">
        <v>5467</v>
      </c>
      <c r="B2274" s="4">
        <v>38851</v>
      </c>
      <c r="C2274" s="5">
        <f>DATE(2012,12,31)-204</f>
        <v>41070</v>
      </c>
      <c r="D2274" s="4" t="s">
        <v>78</v>
      </c>
      <c r="E2274" s="4">
        <v>1</v>
      </c>
      <c r="F2274" s="4">
        <v>8.49</v>
      </c>
      <c r="G2274" s="4">
        <v>0.06</v>
      </c>
      <c r="H2274" s="4" t="s">
        <v>22</v>
      </c>
      <c r="I2274" s="6">
        <v>-5.7385000000000002</v>
      </c>
      <c r="J2274" s="4">
        <v>3.74</v>
      </c>
      <c r="K2274" s="4">
        <v>4.6900000000000004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5">C2274+1</f>
        <v>41071</v>
      </c>
    </row>
    <row r="2275" spans="1:21" ht="12" customHeight="1">
      <c r="A2275" s="4">
        <v>5540</v>
      </c>
      <c r="B2275" s="4">
        <v>39266</v>
      </c>
      <c r="C2275" s="5">
        <f>DATE(2012,12,31)-126</f>
        <v>41148</v>
      </c>
      <c r="D2275" s="4" t="s">
        <v>30</v>
      </c>
      <c r="E2275" s="4">
        <v>4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5"/>
        <v>41149</v>
      </c>
    </row>
    <row r="2276" spans="1:21" ht="12" customHeight="1">
      <c r="A2276" s="4">
        <v>5625</v>
      </c>
      <c r="B2276" s="4">
        <v>39842</v>
      </c>
      <c r="C2276" s="5">
        <f>DATE(2012,12,31)-743</f>
        <v>40531</v>
      </c>
      <c r="D2276" s="4" t="s">
        <v>63</v>
      </c>
      <c r="E2276" s="4">
        <v>22</v>
      </c>
      <c r="F2276" s="4">
        <v>1295.502</v>
      </c>
      <c r="G2276" s="4">
        <v>0.01</v>
      </c>
      <c r="H2276" s="4" t="s">
        <v>56</v>
      </c>
      <c r="I2276" s="6">
        <v>224.85599999999999</v>
      </c>
      <c r="J2276" s="4">
        <v>65.989999999999995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5"/>
        <v>40532</v>
      </c>
    </row>
    <row r="2277" spans="1:21" ht="12" customHeight="1">
      <c r="A2277" s="4">
        <v>5652</v>
      </c>
      <c r="B2277" s="4">
        <v>40005</v>
      </c>
      <c r="C2277" s="5">
        <f>DATE(2012,12,31)-890</f>
        <v>40384</v>
      </c>
      <c r="D2277" s="4" t="s">
        <v>30</v>
      </c>
      <c r="E2277" s="4">
        <v>20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spans="1:21" ht="12" customHeight="1">
      <c r="A2278" s="4">
        <v>5833</v>
      </c>
      <c r="B2278" s="4">
        <v>41383</v>
      </c>
      <c r="C2278" s="5">
        <f>DATE(2012,12,31)-964</f>
        <v>40310</v>
      </c>
      <c r="D2278" s="4" t="s">
        <v>21</v>
      </c>
      <c r="E2278" s="4">
        <v>36</v>
      </c>
      <c r="F2278" s="4">
        <v>1449.45</v>
      </c>
      <c r="G2278" s="4">
        <v>0.04</v>
      </c>
      <c r="H2278" s="4" t="s">
        <v>22</v>
      </c>
      <c r="I2278" s="6">
        <v>620.06650000000002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spans="1:21" ht="12" customHeight="1">
      <c r="A2279" s="4">
        <v>5899</v>
      </c>
      <c r="B2279" s="4">
        <v>41826</v>
      </c>
      <c r="C2279" s="5">
        <f>DATE(2012,12,31)-807</f>
        <v>40467</v>
      </c>
      <c r="D2279" s="4" t="s">
        <v>63</v>
      </c>
      <c r="E2279" s="4">
        <v>4</v>
      </c>
      <c r="F2279" s="4">
        <v>63.93</v>
      </c>
      <c r="G2279" s="4">
        <v>0.03</v>
      </c>
      <c r="H2279" s="4" t="s">
        <v>56</v>
      </c>
      <c r="I2279" s="6">
        <v>40.630000000000003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6">C2279+2</f>
        <v>40469</v>
      </c>
    </row>
    <row r="2280" spans="1:21" ht="12" customHeight="1">
      <c r="A2280" s="4">
        <v>5946</v>
      </c>
      <c r="B2280" s="4">
        <v>42213</v>
      </c>
      <c r="C2280" s="5">
        <f>DATE(2012,12,31)-651</f>
        <v>40623</v>
      </c>
      <c r="D2280" s="4" t="s">
        <v>78</v>
      </c>
      <c r="E2280" s="4">
        <v>46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6"/>
        <v>40625</v>
      </c>
    </row>
    <row r="2281" spans="1:21" ht="12" customHeight="1">
      <c r="A2281" s="4">
        <v>5995</v>
      </c>
      <c r="B2281" s="4">
        <v>42469</v>
      </c>
      <c r="C2281" s="5">
        <f>DATE(2012,12,31)-53</f>
        <v>41221</v>
      </c>
      <c r="D2281" s="4" t="s">
        <v>45</v>
      </c>
      <c r="E2281" s="4">
        <v>18</v>
      </c>
      <c r="F2281" s="4">
        <v>2130.8200000000002</v>
      </c>
      <c r="G2281" s="4">
        <v>0.05</v>
      </c>
      <c r="H2281" s="4" t="s">
        <v>22</v>
      </c>
      <c r="I2281" s="6">
        <v>818.91549999999995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spans="1:21" ht="12" customHeight="1">
      <c r="A2282" s="4">
        <v>6117</v>
      </c>
      <c r="B2282" s="4">
        <v>43302</v>
      </c>
      <c r="C2282" s="5">
        <f>DATE(2012,12,31)-496</f>
        <v>40778</v>
      </c>
      <c r="D2282" s="4" t="s">
        <v>21</v>
      </c>
      <c r="E2282" s="4">
        <v>43</v>
      </c>
      <c r="F2282" s="4">
        <v>720.61299999999994</v>
      </c>
      <c r="G2282" s="4">
        <v>7.0000000000000007E-2</v>
      </c>
      <c r="H2282" s="4" t="s">
        <v>22</v>
      </c>
      <c r="I2282" s="6">
        <v>329.67899999999997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spans="1:21" ht="12" customHeight="1">
      <c r="A2283" s="4">
        <v>6156</v>
      </c>
      <c r="B2283" s="4">
        <v>43588</v>
      </c>
      <c r="C2283" s="5">
        <f>DATE(2012,12,31)-121</f>
        <v>41153</v>
      </c>
      <c r="D2283" s="4" t="s">
        <v>63</v>
      </c>
      <c r="E2283" s="4">
        <v>16</v>
      </c>
      <c r="F2283" s="4">
        <v>3075.7520000000004</v>
      </c>
      <c r="G2283" s="4">
        <v>0.04</v>
      </c>
      <c r="H2283" s="4" t="s">
        <v>31</v>
      </c>
      <c r="I2283" s="6">
        <v>-572.68539900000019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spans="1:21" ht="12" customHeight="1">
      <c r="A2284" s="4">
        <v>6208</v>
      </c>
      <c r="B2284" s="4">
        <v>44000</v>
      </c>
      <c r="C2284" s="5">
        <f>DATE(2012,12,31)-88</f>
        <v>41186</v>
      </c>
      <c r="D2284" s="4" t="s">
        <v>45</v>
      </c>
      <c r="E2284" s="4">
        <v>18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spans="1:21" ht="12" customHeight="1">
      <c r="A2285" s="4">
        <v>6389</v>
      </c>
      <c r="B2285" s="4">
        <v>45381</v>
      </c>
      <c r="C2285" s="5">
        <f t="shared" ref="C2285:C2286" si="967">DATE(2012,12,31)-498</f>
        <v>40776</v>
      </c>
      <c r="D2285" s="4" t="s">
        <v>63</v>
      </c>
      <c r="E2285" s="4">
        <v>26</v>
      </c>
      <c r="F2285" s="4">
        <v>164.1</v>
      </c>
      <c r="G2285" s="4">
        <v>0.03</v>
      </c>
      <c r="H2285" s="4" t="s">
        <v>56</v>
      </c>
      <c r="I2285" s="6">
        <v>-41.216000000000001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spans="1:21" ht="12" customHeight="1">
      <c r="A2286" s="4">
        <v>6390</v>
      </c>
      <c r="B2286" s="4">
        <v>45381</v>
      </c>
      <c r="C2286" s="5">
        <f t="shared" si="967"/>
        <v>40776</v>
      </c>
      <c r="D2286" s="4" t="s">
        <v>63</v>
      </c>
      <c r="E2286" s="4">
        <v>23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spans="1:21" ht="12" customHeight="1">
      <c r="A2287" s="4">
        <v>6431</v>
      </c>
      <c r="B2287" s="4">
        <v>45728</v>
      </c>
      <c r="C2287" s="5">
        <f>DATE(2012,12,31)-924</f>
        <v>40350</v>
      </c>
      <c r="D2287" s="4" t="s">
        <v>30</v>
      </c>
      <c r="E2287" s="4">
        <v>11</v>
      </c>
      <c r="F2287" s="4">
        <v>38.24</v>
      </c>
      <c r="G2287" s="4">
        <v>0.02</v>
      </c>
      <c r="H2287" s="4" t="s">
        <v>22</v>
      </c>
      <c r="I2287" s="6">
        <v>-37.549999999999997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spans="1:21" ht="12" customHeight="1">
      <c r="A2288" s="4">
        <v>6456</v>
      </c>
      <c r="B2288" s="4">
        <v>45984</v>
      </c>
      <c r="C2288" s="5">
        <f>DATE(2012,12,31)-339</f>
        <v>40935</v>
      </c>
      <c r="D2288" s="4" t="s">
        <v>63</v>
      </c>
      <c r="E2288" s="4">
        <v>27</v>
      </c>
      <c r="F2288" s="4">
        <v>80.33</v>
      </c>
      <c r="G2288" s="4">
        <v>0.01</v>
      </c>
      <c r="H2288" s="4" t="s">
        <v>22</v>
      </c>
      <c r="I2288" s="6">
        <v>2.4900000000000002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0.57999999999999996</v>
      </c>
      <c r="U2288" s="5">
        <f t="shared" ref="U2288:U2290" si="968">C2288+2</f>
        <v>40937</v>
      </c>
    </row>
    <row r="2289" spans="1:21" ht="12" customHeight="1">
      <c r="A2289" s="4">
        <v>6489</v>
      </c>
      <c r="B2289" s="4">
        <v>46177</v>
      </c>
      <c r="C2289" s="5">
        <f>DATE(2012,12,31)-757</f>
        <v>40517</v>
      </c>
      <c r="D2289" s="4" t="s">
        <v>21</v>
      </c>
      <c r="E2289" s="4">
        <v>48</v>
      </c>
      <c r="F2289" s="4">
        <v>9708.64</v>
      </c>
      <c r="G2289" s="4">
        <v>0.1</v>
      </c>
      <c r="H2289" s="4" t="s">
        <v>31</v>
      </c>
      <c r="I2289" s="6">
        <v>-528.65312500000005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8"/>
        <v>40519</v>
      </c>
    </row>
    <row r="2290" spans="1:21" ht="12" customHeight="1">
      <c r="A2290" s="4">
        <v>6620</v>
      </c>
      <c r="B2290" s="4">
        <v>47106</v>
      </c>
      <c r="C2290" s="5">
        <f>DATE(2012,12,31)-433</f>
        <v>40841</v>
      </c>
      <c r="D2290" s="4" t="s">
        <v>63</v>
      </c>
      <c r="E2290" s="4">
        <v>40</v>
      </c>
      <c r="F2290" s="4">
        <v>6618.4570000000003</v>
      </c>
      <c r="G2290" s="4">
        <v>0.1</v>
      </c>
      <c r="H2290" s="4" t="s">
        <v>22</v>
      </c>
      <c r="I2290" s="6">
        <v>1489.9590000000001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8"/>
        <v>40843</v>
      </c>
    </row>
    <row r="2291" spans="1:21" ht="12" customHeight="1">
      <c r="A2291" s="4">
        <v>6630</v>
      </c>
      <c r="B2291" s="4">
        <v>47169</v>
      </c>
      <c r="C2291" s="5">
        <f>DATE(2012,12,31)-1034</f>
        <v>40240</v>
      </c>
      <c r="D2291" s="4" t="s">
        <v>63</v>
      </c>
      <c r="E2291" s="4">
        <v>15</v>
      </c>
      <c r="F2291" s="4">
        <v>803.26699999999994</v>
      </c>
      <c r="G2291" s="4">
        <v>0.06</v>
      </c>
      <c r="H2291" s="4" t="s">
        <v>22</v>
      </c>
      <c r="I2291" s="6">
        <v>-19.965</v>
      </c>
      <c r="J2291" s="4">
        <v>65.989999999999995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0.56000000000000005</v>
      </c>
      <c r="U2291" s="5">
        <f>C2291+1</f>
        <v>40241</v>
      </c>
    </row>
    <row r="2292" spans="1:21" ht="12" customHeight="1">
      <c r="A2292" s="4">
        <v>6751</v>
      </c>
      <c r="B2292" s="4">
        <v>48071</v>
      </c>
      <c r="C2292" s="5">
        <f>DATE(2012,12,31)-669</f>
        <v>40605</v>
      </c>
      <c r="D2292" s="4" t="s">
        <v>21</v>
      </c>
      <c r="E2292" s="4">
        <v>1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4.9800000000000004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spans="1:21" ht="12" customHeight="1">
      <c r="A2293" s="4">
        <v>6910</v>
      </c>
      <c r="B2293" s="4">
        <v>49312</v>
      </c>
      <c r="C2293" s="5">
        <f>DATE(2012,12,31)-679</f>
        <v>40595</v>
      </c>
      <c r="D2293" s="4" t="s">
        <v>78</v>
      </c>
      <c r="E2293" s="4">
        <v>19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spans="1:21" ht="12" customHeight="1">
      <c r="A2294" s="4">
        <v>6930</v>
      </c>
      <c r="B2294" s="4">
        <v>49472</v>
      </c>
      <c r="C2294" s="5">
        <f>DATE(2012,12,31)-899</f>
        <v>40375</v>
      </c>
      <c r="D2294" s="4" t="s">
        <v>21</v>
      </c>
      <c r="E2294" s="4">
        <v>23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0.56000000000000005</v>
      </c>
      <c r="U2294" s="5">
        <f>C2294+5</f>
        <v>40380</v>
      </c>
    </row>
    <row r="2295" spans="1:21" ht="12" customHeight="1">
      <c r="A2295" s="4">
        <v>7041</v>
      </c>
      <c r="B2295" s="4">
        <v>50276</v>
      </c>
      <c r="C2295" s="5">
        <f>DATE(2012,12,31)-686</f>
        <v>40588</v>
      </c>
      <c r="D2295" s="4" t="s">
        <v>45</v>
      </c>
      <c r="E2295" s="4">
        <v>34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0.55000000000000004</v>
      </c>
      <c r="U2295" s="5">
        <f t="shared" ref="U2295:U2296" si="969">C2295+1</f>
        <v>40589</v>
      </c>
    </row>
    <row r="2296" spans="1:21" ht="12" customHeight="1">
      <c r="A2296" s="4">
        <v>7162</v>
      </c>
      <c r="B2296" s="4">
        <v>51107</v>
      </c>
      <c r="C2296" s="5">
        <f>DATE(2012,12,31)-97</f>
        <v>41177</v>
      </c>
      <c r="D2296" s="4" t="s">
        <v>45</v>
      </c>
      <c r="E2296" s="4">
        <v>36</v>
      </c>
      <c r="F2296" s="4">
        <v>772.67</v>
      </c>
      <c r="G2296" s="4">
        <v>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69"/>
        <v>41178</v>
      </c>
    </row>
    <row r="2297" spans="1:21" ht="12" customHeight="1">
      <c r="A2297" s="4">
        <v>7260</v>
      </c>
      <c r="B2297" s="4">
        <v>51783</v>
      </c>
      <c r="C2297" s="5">
        <f>DATE(2012,12,31)-416</f>
        <v>40858</v>
      </c>
      <c r="D2297" s="4" t="s">
        <v>63</v>
      </c>
      <c r="E2297" s="4">
        <v>10</v>
      </c>
      <c r="F2297" s="4">
        <v>1875.18</v>
      </c>
      <c r="G2297" s="4">
        <v>0.01</v>
      </c>
      <c r="H2297" s="4" t="s">
        <v>31</v>
      </c>
      <c r="I2297" s="6">
        <v>-433.29014300000011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spans="1:21" ht="12" customHeight="1">
      <c r="A2298" s="4">
        <v>7429</v>
      </c>
      <c r="B2298" s="4">
        <v>52934</v>
      </c>
      <c r="C2298" s="5">
        <f>DATE(2012,12,31)-523</f>
        <v>40751</v>
      </c>
      <c r="D2298" s="4" t="s">
        <v>78</v>
      </c>
      <c r="E2298" s="4">
        <v>20</v>
      </c>
      <c r="F2298" s="4">
        <v>92.15</v>
      </c>
      <c r="G2298" s="4">
        <v>0.08</v>
      </c>
      <c r="H2298" s="4" t="s">
        <v>22</v>
      </c>
      <c r="I2298" s="6">
        <v>36.979999999999997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0">C2298+1</f>
        <v>40752</v>
      </c>
    </row>
    <row r="2299" spans="1:21" ht="12" customHeight="1">
      <c r="A2299" s="4">
        <v>7555</v>
      </c>
      <c r="B2299" s="4">
        <v>54053</v>
      </c>
      <c r="C2299" s="5">
        <f>DATE(2012,12,31)-321</f>
        <v>40953</v>
      </c>
      <c r="D2299" s="4" t="s">
        <v>30</v>
      </c>
      <c r="E2299" s="4">
        <v>18</v>
      </c>
      <c r="F2299" s="4">
        <v>821.78849999999989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0"/>
        <v>40954</v>
      </c>
    </row>
    <row r="2300" spans="1:21" ht="12" customHeight="1">
      <c r="A2300" s="4">
        <v>7708</v>
      </c>
      <c r="B2300" s="4">
        <v>55239</v>
      </c>
      <c r="C2300" s="5">
        <f>DATE(2012,12,31)-28</f>
        <v>41246</v>
      </c>
      <c r="D2300" s="4" t="s">
        <v>78</v>
      </c>
      <c r="E2300" s="4">
        <v>13</v>
      </c>
      <c r="F2300" s="4">
        <v>95.68</v>
      </c>
      <c r="G2300" s="4">
        <v>7.0000000000000007E-2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0"/>
        <v>41247</v>
      </c>
    </row>
    <row r="2301" spans="1:21" ht="12" customHeight="1">
      <c r="A2301" s="4">
        <v>7739</v>
      </c>
      <c r="B2301" s="4">
        <v>55425</v>
      </c>
      <c r="C2301" s="5">
        <f>DATE(2012,12,31)-426</f>
        <v>40848</v>
      </c>
      <c r="D2301" s="4" t="s">
        <v>78</v>
      </c>
      <c r="E2301" s="4">
        <v>7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9.7100000000000009</v>
      </c>
      <c r="K2301" s="4">
        <v>9.4499999999999993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0"/>
        <v>40849</v>
      </c>
    </row>
    <row r="2302" spans="1:21" ht="12" customHeight="1">
      <c r="A2302" s="4">
        <v>7901</v>
      </c>
      <c r="B2302" s="4">
        <v>56515</v>
      </c>
      <c r="C2302" s="5">
        <f>DATE(2012,12,31)-584</f>
        <v>40690</v>
      </c>
      <c r="D2302" s="4" t="s">
        <v>63</v>
      </c>
      <c r="E2302" s="4">
        <v>17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spans="1:21" ht="12" customHeight="1">
      <c r="A2303" s="4">
        <v>8079</v>
      </c>
      <c r="B2303" s="4">
        <v>57638</v>
      </c>
      <c r="C2303" s="5">
        <f>DATE(2012,12,31)-253</f>
        <v>41021</v>
      </c>
      <c r="D2303" s="4" t="s">
        <v>21</v>
      </c>
      <c r="E2303" s="4">
        <v>35</v>
      </c>
      <c r="F2303" s="4">
        <v>5740.6239999999998</v>
      </c>
      <c r="G2303" s="4">
        <v>0.09</v>
      </c>
      <c r="H2303" s="4" t="s">
        <v>31</v>
      </c>
      <c r="I2303" s="6">
        <v>-526.47809500000005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spans="1:21" ht="12" customHeight="1">
      <c r="A2304" s="4">
        <v>8195</v>
      </c>
      <c r="B2304" s="4">
        <v>58599</v>
      </c>
      <c r="C2304" s="5">
        <f>DATE(2012,12,31)-1082</f>
        <v>40192</v>
      </c>
      <c r="D2304" s="4" t="s">
        <v>78</v>
      </c>
      <c r="E2304" s="4">
        <v>49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spans="1:21" ht="12" customHeight="1">
      <c r="A2305" s="4">
        <v>8265</v>
      </c>
      <c r="B2305" s="4">
        <v>59075</v>
      </c>
      <c r="C2305" s="5">
        <f>DATE(2012,12,31)-309</f>
        <v>40965</v>
      </c>
      <c r="D2305" s="4" t="s">
        <v>21</v>
      </c>
      <c r="E2305" s="4">
        <v>4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4.7699999999999996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spans="1:21" ht="12" customHeight="1">
      <c r="A2306" s="4">
        <v>8300</v>
      </c>
      <c r="B2306" s="4">
        <v>59270</v>
      </c>
      <c r="C2306" s="5">
        <f>DATE(2012,12,31)-1085</f>
        <v>40189</v>
      </c>
      <c r="D2306" s="4" t="s">
        <v>30</v>
      </c>
      <c r="E2306" s="4">
        <v>47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spans="1:21" ht="12" customHeight="1">
      <c r="A2307" s="4">
        <v>58</v>
      </c>
      <c r="B2307" s="4">
        <v>326</v>
      </c>
      <c r="C2307" s="5">
        <f t="shared" ref="C2307:C2308" si="971">DATE(2012,12,31)-577</f>
        <v>40697</v>
      </c>
      <c r="D2307" s="4" t="s">
        <v>30</v>
      </c>
      <c r="E2307" s="4">
        <v>34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2">C2307+1</f>
        <v>40698</v>
      </c>
    </row>
    <row r="2308" spans="1:21" ht="12" customHeight="1">
      <c r="A2308" s="4">
        <v>59</v>
      </c>
      <c r="B2308" s="4">
        <v>326</v>
      </c>
      <c r="C2308" s="5">
        <f t="shared" si="971"/>
        <v>40697</v>
      </c>
      <c r="D2308" s="4" t="s">
        <v>30</v>
      </c>
      <c r="E2308" s="4">
        <v>17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2"/>
        <v>40698</v>
      </c>
    </row>
    <row r="2309" spans="1:21" ht="12" customHeight="1">
      <c r="A2309" s="4">
        <v>99</v>
      </c>
      <c r="B2309" s="4">
        <v>614</v>
      </c>
      <c r="C2309" s="5">
        <f t="shared" ref="C2309:C2310" si="973">DATE(2012,12,31)-31</f>
        <v>41243</v>
      </c>
      <c r="D2309" s="4" t="s">
        <v>30</v>
      </c>
      <c r="E2309" s="4">
        <v>41</v>
      </c>
      <c r="F2309" s="4">
        <v>628.22</v>
      </c>
      <c r="G2309" s="4">
        <v>0</v>
      </c>
      <c r="H2309" s="4" t="s">
        <v>22</v>
      </c>
      <c r="I2309" s="6">
        <v>163.81</v>
      </c>
      <c r="J2309" s="4">
        <v>14.34</v>
      </c>
      <c r="K2309" s="4">
        <v>5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spans="1:21" ht="12" customHeight="1">
      <c r="A2310" s="4">
        <v>100</v>
      </c>
      <c r="B2310" s="4">
        <v>614</v>
      </c>
      <c r="C2310" s="5">
        <f t="shared" si="973"/>
        <v>41243</v>
      </c>
      <c r="D2310" s="4" t="s">
        <v>30</v>
      </c>
      <c r="E2310" s="4">
        <v>24</v>
      </c>
      <c r="F2310" s="4">
        <v>3366.1</v>
      </c>
      <c r="G2310" s="4">
        <v>7.0000000000000007E-2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spans="1:21" ht="12" customHeight="1">
      <c r="A2311" s="4">
        <v>139</v>
      </c>
      <c r="B2311" s="4">
        <v>898</v>
      </c>
      <c r="C2311" s="5">
        <f t="shared" ref="C2311:C2312" si="974">DATE(2012,12,31)-943</f>
        <v>40331</v>
      </c>
      <c r="D2311" s="4" t="s">
        <v>30</v>
      </c>
      <c r="E2311" s="4">
        <v>40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spans="1:21" ht="12" customHeight="1">
      <c r="A2312" s="4">
        <v>140</v>
      </c>
      <c r="B2312" s="4">
        <v>898</v>
      </c>
      <c r="C2312" s="5">
        <f t="shared" si="974"/>
        <v>40331</v>
      </c>
      <c r="D2312" s="4" t="s">
        <v>30</v>
      </c>
      <c r="E2312" s="4">
        <v>26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spans="1:21" ht="12" customHeight="1">
      <c r="A2313" s="4">
        <v>224</v>
      </c>
      <c r="B2313" s="4">
        <v>1447</v>
      </c>
      <c r="C2313" s="5">
        <f>DATE(2012,12,31)-78</f>
        <v>41196</v>
      </c>
      <c r="D2313" s="4" t="s">
        <v>30</v>
      </c>
      <c r="E2313" s="4">
        <v>40</v>
      </c>
      <c r="F2313" s="4">
        <v>2135.9734999999996</v>
      </c>
      <c r="G2313" s="4">
        <v>7.0000000000000007E-2</v>
      </c>
      <c r="H2313" s="4" t="s">
        <v>22</v>
      </c>
      <c r="I2313" s="6">
        <v>239.4</v>
      </c>
      <c r="J2313" s="4">
        <v>65.989999999999995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spans="1:21" ht="12" customHeight="1">
      <c r="A2314" s="4">
        <v>339</v>
      </c>
      <c r="B2314" s="4">
        <v>2307</v>
      </c>
      <c r="C2314" s="5">
        <f>DATE(2012,12,31)-917</f>
        <v>40357</v>
      </c>
      <c r="D2314" s="4" t="s">
        <v>21</v>
      </c>
      <c r="E2314" s="4">
        <v>32</v>
      </c>
      <c r="F2314" s="4">
        <v>182.33</v>
      </c>
      <c r="G2314" s="4">
        <v>0.1</v>
      </c>
      <c r="H2314" s="4" t="s">
        <v>22</v>
      </c>
      <c r="I2314" s="6">
        <v>40.850999999999999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spans="1:21" ht="12" customHeight="1">
      <c r="A2315" s="4">
        <v>348</v>
      </c>
      <c r="B2315" s="4">
        <v>2374</v>
      </c>
      <c r="C2315" s="5">
        <f>DATE(2012,12,31)-795</f>
        <v>40479</v>
      </c>
      <c r="D2315" s="4" t="s">
        <v>45</v>
      </c>
      <c r="E2315" s="4">
        <v>21</v>
      </c>
      <c r="F2315" s="4">
        <v>78.17</v>
      </c>
      <c r="G2315" s="4">
        <v>0.01</v>
      </c>
      <c r="H2315" s="4" t="s">
        <v>56</v>
      </c>
      <c r="I2315" s="6">
        <v>-72.703000000000003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5">C2315+2</f>
        <v>40481</v>
      </c>
    </row>
    <row r="2316" spans="1:21" ht="12" customHeight="1">
      <c r="A2316" s="4">
        <v>463</v>
      </c>
      <c r="B2316" s="4">
        <v>3141</v>
      </c>
      <c r="C2316" s="5">
        <f>DATE(2012,12,31)-418</f>
        <v>40856</v>
      </c>
      <c r="D2316" s="4" t="s">
        <v>78</v>
      </c>
      <c r="E2316" s="4">
        <v>30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5"/>
        <v>40858</v>
      </c>
    </row>
    <row r="2317" spans="1:21" ht="12" customHeight="1">
      <c r="A2317" s="4">
        <v>641</v>
      </c>
      <c r="B2317" s="4">
        <v>4515</v>
      </c>
      <c r="C2317" s="5">
        <f>DATE(2012,12,31)-290</f>
        <v>40984</v>
      </c>
      <c r="D2317" s="4" t="s">
        <v>78</v>
      </c>
      <c r="E2317" s="4">
        <v>7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spans="1:21" ht="12" customHeight="1">
      <c r="A2318" s="4">
        <v>752</v>
      </c>
      <c r="B2318" s="4">
        <v>5382</v>
      </c>
      <c r="C2318" s="5">
        <f>DATE(2012,12,31)-354</f>
        <v>40920</v>
      </c>
      <c r="D2318" s="4" t="s">
        <v>21</v>
      </c>
      <c r="E2318" s="4">
        <v>30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4.1900000000000004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spans="1:21" ht="12" customHeight="1">
      <c r="A2319" s="4">
        <v>756</v>
      </c>
      <c r="B2319" s="4">
        <v>5414</v>
      </c>
      <c r="C2319" s="5">
        <f>DATE(2012,12,31)-1013</f>
        <v>40261</v>
      </c>
      <c r="D2319" s="4" t="s">
        <v>45</v>
      </c>
      <c r="E2319" s="4">
        <v>14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6">C2319+1</f>
        <v>40262</v>
      </c>
    </row>
    <row r="2320" spans="1:21" ht="12" customHeight="1">
      <c r="A2320" s="4">
        <v>894</v>
      </c>
      <c r="B2320" s="4">
        <v>6433</v>
      </c>
      <c r="C2320" s="5">
        <f>DATE(2012,12,31)-405</f>
        <v>40869</v>
      </c>
      <c r="D2320" s="4" t="s">
        <v>63</v>
      </c>
      <c r="E2320" s="4">
        <v>41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6"/>
        <v>40870</v>
      </c>
    </row>
    <row r="2321" spans="1:21" ht="12" customHeight="1">
      <c r="A2321" s="4">
        <v>1064</v>
      </c>
      <c r="B2321" s="4">
        <v>7846</v>
      </c>
      <c r="C2321" s="5">
        <f t="shared" ref="C2321:C2324" si="977">DATE(2012,12,31)-555</f>
        <v>40719</v>
      </c>
      <c r="D2321" s="4" t="s">
        <v>21</v>
      </c>
      <c r="E2321" s="4">
        <v>47</v>
      </c>
      <c r="F2321" s="4">
        <v>2926.33</v>
      </c>
      <c r="G2321" s="4">
        <v>0.09</v>
      </c>
      <c r="H2321" s="4" t="s">
        <v>22</v>
      </c>
      <c r="I2321" s="6">
        <v>499.27300000000002</v>
      </c>
      <c r="J2321" s="4">
        <v>67.28</v>
      </c>
      <c r="K2321" s="4">
        <v>19.989999999999998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8">C2321+5</f>
        <v>40724</v>
      </c>
    </row>
    <row r="2322" spans="1:21" ht="12" customHeight="1">
      <c r="A2322" s="4">
        <v>1065</v>
      </c>
      <c r="B2322" s="4">
        <v>7846</v>
      </c>
      <c r="C2322" s="5">
        <f t="shared" si="977"/>
        <v>40719</v>
      </c>
      <c r="D2322" s="4" t="s">
        <v>21</v>
      </c>
      <c r="E2322" s="4">
        <v>20</v>
      </c>
      <c r="F2322" s="4">
        <v>40.049999999999997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8"/>
        <v>40724</v>
      </c>
    </row>
    <row r="2323" spans="1:21" ht="12" customHeight="1">
      <c r="A2323" s="4">
        <v>1066</v>
      </c>
      <c r="B2323" s="4">
        <v>7846</v>
      </c>
      <c r="C2323" s="5">
        <f t="shared" si="977"/>
        <v>40719</v>
      </c>
      <c r="D2323" s="4" t="s">
        <v>21</v>
      </c>
      <c r="E2323" s="4">
        <v>20</v>
      </c>
      <c r="F2323" s="4">
        <v>552.87</v>
      </c>
      <c r="G2323" s="4">
        <v>0.01</v>
      </c>
      <c r="H2323" s="4" t="s">
        <v>22</v>
      </c>
      <c r="I2323" s="6">
        <v>-64.819999999999993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spans="1:21" ht="12" customHeight="1">
      <c r="A2324" s="4">
        <v>1067</v>
      </c>
      <c r="B2324" s="4">
        <v>7846</v>
      </c>
      <c r="C2324" s="5">
        <f t="shared" si="977"/>
        <v>40719</v>
      </c>
      <c r="D2324" s="4" t="s">
        <v>21</v>
      </c>
      <c r="E2324" s="4">
        <v>12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4.8600000000000003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79">C2324+0</f>
        <v>40719</v>
      </c>
    </row>
    <row r="2325" spans="1:21" ht="12" customHeight="1">
      <c r="A2325" s="4">
        <v>1077</v>
      </c>
      <c r="B2325" s="4">
        <v>7936</v>
      </c>
      <c r="C2325" s="5">
        <f t="shared" ref="C2325:C2326" si="980">DATE(2012,12,31)-1001</f>
        <v>40273</v>
      </c>
      <c r="D2325" s="4" t="s">
        <v>21</v>
      </c>
      <c r="E2325" s="4">
        <v>50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79"/>
        <v>40273</v>
      </c>
    </row>
    <row r="2326" spans="1:21" ht="12" customHeight="1">
      <c r="A2326" s="4">
        <v>1078</v>
      </c>
      <c r="B2326" s="4">
        <v>7936</v>
      </c>
      <c r="C2326" s="5">
        <f t="shared" si="980"/>
        <v>40273</v>
      </c>
      <c r="D2326" s="4" t="s">
        <v>21</v>
      </c>
      <c r="E2326" s="4">
        <v>15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0.56999999999999995</v>
      </c>
      <c r="U2326" s="5">
        <f>C2326+5</f>
        <v>40278</v>
      </c>
    </row>
    <row r="2327" spans="1:21" ht="12" customHeight="1">
      <c r="A2327" s="4">
        <v>1118</v>
      </c>
      <c r="B2327" s="4">
        <v>8195</v>
      </c>
      <c r="C2327" s="5">
        <f t="shared" ref="C2327:C2329" si="981">DATE(2012,12,31)-725</f>
        <v>40549</v>
      </c>
      <c r="D2327" s="4" t="s">
        <v>63</v>
      </c>
      <c r="E2327" s="4">
        <v>5</v>
      </c>
      <c r="F2327" s="4">
        <v>51.3</v>
      </c>
      <c r="G2327" s="4">
        <v>0.05</v>
      </c>
      <c r="H2327" s="4" t="s">
        <v>56</v>
      </c>
      <c r="I2327" s="6">
        <v>-32.479999999999997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spans="1:21" ht="12" customHeight="1">
      <c r="A2328" s="4">
        <v>1119</v>
      </c>
      <c r="B2328" s="4">
        <v>8195</v>
      </c>
      <c r="C2328" s="5">
        <f t="shared" si="981"/>
        <v>40549</v>
      </c>
      <c r="D2328" s="4" t="s">
        <v>63</v>
      </c>
      <c r="E2328" s="4">
        <v>1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spans="1:21" ht="12" customHeight="1">
      <c r="A2329" s="4">
        <v>1120</v>
      </c>
      <c r="B2329" s="4">
        <v>8195</v>
      </c>
      <c r="C2329" s="5">
        <f t="shared" si="981"/>
        <v>40549</v>
      </c>
      <c r="D2329" s="4" t="s">
        <v>63</v>
      </c>
      <c r="E2329" s="4">
        <v>26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0.56000000000000005</v>
      </c>
      <c r="U2329" s="5">
        <f>C2329+1</f>
        <v>40550</v>
      </c>
    </row>
    <row r="2330" spans="1:21" ht="12" customHeight="1">
      <c r="A2330" s="4">
        <v>1137</v>
      </c>
      <c r="B2330" s="4">
        <v>8293</v>
      </c>
      <c r="C2330" s="5">
        <f>DATE(2012,12,31)-143</f>
        <v>41131</v>
      </c>
      <c r="D2330" s="4" t="s">
        <v>21</v>
      </c>
      <c r="E2330" s="4">
        <v>50</v>
      </c>
      <c r="F2330" s="4">
        <v>1497.7594999999999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1.1000000000000001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0.55000000000000004</v>
      </c>
      <c r="U2330" s="5">
        <f>C2330+5</f>
        <v>41136</v>
      </c>
    </row>
    <row r="2331" spans="1:21" ht="12" customHeight="1">
      <c r="A2331" s="4">
        <v>1284</v>
      </c>
      <c r="B2331" s="4">
        <v>9347</v>
      </c>
      <c r="C2331" s="5">
        <f>DATE(2012,12,31)-144</f>
        <v>41130</v>
      </c>
      <c r="D2331" s="4" t="s">
        <v>21</v>
      </c>
      <c r="E2331" s="4">
        <v>31</v>
      </c>
      <c r="F2331" s="4">
        <v>131.19999999999999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spans="1:21" ht="12" customHeight="1">
      <c r="A2332" s="4">
        <v>1289</v>
      </c>
      <c r="B2332" s="4">
        <v>9472</v>
      </c>
      <c r="C2332" s="5">
        <f>DATE(2012,12,31)-564</f>
        <v>40710</v>
      </c>
      <c r="D2332" s="4" t="s">
        <v>78</v>
      </c>
      <c r="E2332" s="4">
        <v>17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spans="1:21" ht="12" customHeight="1">
      <c r="A2333" s="4">
        <v>1388</v>
      </c>
      <c r="B2333" s="4">
        <v>10054</v>
      </c>
      <c r="C2333" s="5">
        <f t="shared" ref="C2333:C2334" si="982">DATE(2012,12,31)-613</f>
        <v>40661</v>
      </c>
      <c r="D2333" s="4" t="s">
        <v>30</v>
      </c>
      <c r="E2333" s="4">
        <v>2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spans="1:21" ht="12" customHeight="1">
      <c r="A2334" s="4">
        <v>1389</v>
      </c>
      <c r="B2334" s="4">
        <v>10054</v>
      </c>
      <c r="C2334" s="5">
        <f t="shared" si="982"/>
        <v>40661</v>
      </c>
      <c r="D2334" s="4" t="s">
        <v>30</v>
      </c>
      <c r="E2334" s="4">
        <v>2</v>
      </c>
      <c r="F2334" s="4">
        <v>196.85149999999999</v>
      </c>
      <c r="G2334" s="4">
        <v>0.09</v>
      </c>
      <c r="H2334" s="4" t="s">
        <v>22</v>
      </c>
      <c r="I2334" s="6">
        <v>-606.59500000000003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0.56000000000000005</v>
      </c>
      <c r="U2334" s="5">
        <f>C2334+0</f>
        <v>40661</v>
      </c>
    </row>
    <row r="2335" spans="1:21" ht="12" customHeight="1">
      <c r="A2335" s="4">
        <v>1471</v>
      </c>
      <c r="B2335" s="4">
        <v>10627</v>
      </c>
      <c r="C2335" s="5">
        <f>DATE(2012,12,31)-1041</f>
        <v>40233</v>
      </c>
      <c r="D2335" s="4" t="s">
        <v>21</v>
      </c>
      <c r="E2335" s="4">
        <v>4</v>
      </c>
      <c r="F2335" s="4">
        <v>40.229999999999997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0.57999999999999996</v>
      </c>
      <c r="U2335" s="5">
        <f>C2335+5</f>
        <v>40238</v>
      </c>
    </row>
    <row r="2336" spans="1:21" ht="12" customHeight="1">
      <c r="A2336" s="4">
        <v>1493</v>
      </c>
      <c r="B2336" s="4">
        <v>10784</v>
      </c>
      <c r="C2336" s="5">
        <f t="shared" ref="C2336:C2337" si="983">DATE(2012,12,31)-910</f>
        <v>40364</v>
      </c>
      <c r="D2336" s="4" t="s">
        <v>45</v>
      </c>
      <c r="E2336" s="4">
        <v>2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spans="1:21" ht="12" customHeight="1">
      <c r="A2337" s="4">
        <v>1494</v>
      </c>
      <c r="B2337" s="4">
        <v>10784</v>
      </c>
      <c r="C2337" s="5">
        <f t="shared" si="983"/>
        <v>40364</v>
      </c>
      <c r="D2337" s="4" t="s">
        <v>45</v>
      </c>
      <c r="E2337" s="4">
        <v>30</v>
      </c>
      <c r="F2337" s="4">
        <v>206.27</v>
      </c>
      <c r="G2337" s="4">
        <v>0.09</v>
      </c>
      <c r="H2337" s="4" t="s">
        <v>22</v>
      </c>
      <c r="I2337" s="6">
        <v>-54.441000000000003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spans="1:21" ht="12" customHeight="1">
      <c r="A2338" s="4">
        <v>1500</v>
      </c>
      <c r="B2338" s="4">
        <v>10823</v>
      </c>
      <c r="C2338" s="5">
        <f>DATE(2012,12,31)-202</f>
        <v>41072</v>
      </c>
      <c r="D2338" s="4" t="s">
        <v>21</v>
      </c>
      <c r="E2338" s="4">
        <v>3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4">C2338+0</f>
        <v>41072</v>
      </c>
    </row>
    <row r="2339" spans="1:21" ht="12" customHeight="1">
      <c r="A2339" s="4">
        <v>1511</v>
      </c>
      <c r="B2339" s="4">
        <v>10919</v>
      </c>
      <c r="C2339" s="5">
        <f>DATE(2012,12,31)-1010</f>
        <v>40264</v>
      </c>
      <c r="D2339" s="4" t="s">
        <v>30</v>
      </c>
      <c r="E2339" s="4">
        <v>42</v>
      </c>
      <c r="F2339" s="4">
        <v>2040.95</v>
      </c>
      <c r="G2339" s="4">
        <v>7.0000000000000007E-2</v>
      </c>
      <c r="H2339" s="4" t="s">
        <v>22</v>
      </c>
      <c r="I2339" s="6">
        <v>-1231.8699999999999</v>
      </c>
      <c r="J2339" s="4">
        <v>48.91</v>
      </c>
      <c r="K2339" s="4">
        <v>35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4"/>
        <v>40264</v>
      </c>
    </row>
    <row r="2340" spans="1:21" ht="12" customHeight="1">
      <c r="A2340" s="4">
        <v>1585</v>
      </c>
      <c r="B2340" s="4">
        <v>11429</v>
      </c>
      <c r="C2340" s="5">
        <f t="shared" ref="C2340:C2341" si="985">DATE(2012,12,31)-1034</f>
        <v>40240</v>
      </c>
      <c r="D2340" s="4" t="s">
        <v>21</v>
      </c>
      <c r="E2340" s="4">
        <v>39</v>
      </c>
      <c r="F2340" s="4">
        <v>446.04</v>
      </c>
      <c r="G2340" s="4">
        <v>0.01</v>
      </c>
      <c r="H2340" s="4" t="s">
        <v>22</v>
      </c>
      <c r="I2340" s="6">
        <v>59.040999999999997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spans="1:21" ht="12" customHeight="1">
      <c r="A2341" s="4">
        <v>1586</v>
      </c>
      <c r="B2341" s="4">
        <v>11429</v>
      </c>
      <c r="C2341" s="5">
        <f t="shared" si="985"/>
        <v>40240</v>
      </c>
      <c r="D2341" s="4" t="s">
        <v>21</v>
      </c>
      <c r="E2341" s="4">
        <v>46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6">C2341+2</f>
        <v>40242</v>
      </c>
    </row>
    <row r="2342" spans="1:21" ht="12" customHeight="1">
      <c r="A2342" s="4">
        <v>1605</v>
      </c>
      <c r="B2342" s="4">
        <v>11650</v>
      </c>
      <c r="C2342" s="5">
        <f>DATE(2012,12,31)-98</f>
        <v>41176</v>
      </c>
      <c r="D2342" s="4" t="s">
        <v>45</v>
      </c>
      <c r="E2342" s="4">
        <v>26</v>
      </c>
      <c r="F2342" s="4">
        <v>1090.4000000000001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6"/>
        <v>41178</v>
      </c>
    </row>
    <row r="2343" spans="1:21" ht="12" customHeight="1">
      <c r="A2343" s="4">
        <v>1793</v>
      </c>
      <c r="B2343" s="4">
        <v>12837</v>
      </c>
      <c r="C2343" s="5">
        <f>DATE(2012,12,31)-29</f>
        <v>41245</v>
      </c>
      <c r="D2343" s="4" t="s">
        <v>63</v>
      </c>
      <c r="E2343" s="4">
        <v>50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spans="1:21" ht="12" customHeight="1">
      <c r="A2344" s="4">
        <v>1856</v>
      </c>
      <c r="B2344" s="4">
        <v>13347</v>
      </c>
      <c r="C2344" s="5">
        <f>DATE(2012,12,31)-983</f>
        <v>40291</v>
      </c>
      <c r="D2344" s="4" t="s">
        <v>45</v>
      </c>
      <c r="E2344" s="4">
        <v>24</v>
      </c>
      <c r="F2344" s="4">
        <v>104.89</v>
      </c>
      <c r="G2344" s="4">
        <v>7.0000000000000007E-2</v>
      </c>
      <c r="H2344" s="4" t="s">
        <v>56</v>
      </c>
      <c r="I2344" s="6">
        <v>22.839500000000001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spans="1:21" ht="12" customHeight="1">
      <c r="A2345" s="4">
        <v>1861</v>
      </c>
      <c r="B2345" s="4">
        <v>13381</v>
      </c>
      <c r="C2345" s="5">
        <f>DATE(2012,12,31)-502</f>
        <v>40772</v>
      </c>
      <c r="D2345" s="4" t="s">
        <v>63</v>
      </c>
      <c r="E2345" s="4">
        <v>41</v>
      </c>
      <c r="F2345" s="4">
        <v>10714.78</v>
      </c>
      <c r="G2345" s="4">
        <v>0</v>
      </c>
      <c r="H2345" s="4" t="s">
        <v>31</v>
      </c>
      <c r="I2345" s="6">
        <v>-627.64115700000002</v>
      </c>
      <c r="J2345" s="4">
        <v>259.70999999999998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7">C2345+0</f>
        <v>40772</v>
      </c>
    </row>
    <row r="2346" spans="1:21" ht="12" customHeight="1">
      <c r="A2346" s="4">
        <v>1905</v>
      </c>
      <c r="B2346" s="4">
        <v>13634</v>
      </c>
      <c r="C2346" s="5">
        <f t="shared" ref="C2346:C2347" si="988">DATE(2012,12,31)-623</f>
        <v>40651</v>
      </c>
      <c r="D2346" s="4" t="s">
        <v>30</v>
      </c>
      <c r="E2346" s="4">
        <v>46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39.979999999999997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7"/>
        <v>40651</v>
      </c>
    </row>
    <row r="2347" spans="1:21" ht="12" customHeight="1">
      <c r="A2347" s="4">
        <v>1906</v>
      </c>
      <c r="B2347" s="4">
        <v>13634</v>
      </c>
      <c r="C2347" s="5">
        <f t="shared" si="988"/>
        <v>40651</v>
      </c>
      <c r="D2347" s="4" t="s">
        <v>30</v>
      </c>
      <c r="E2347" s="4">
        <v>27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spans="1:21" ht="12" customHeight="1">
      <c r="A2348" s="4">
        <v>1915</v>
      </c>
      <c r="B2348" s="4">
        <v>13730</v>
      </c>
      <c r="C2348" s="5">
        <f>DATE(2012,12,31)-602</f>
        <v>40672</v>
      </c>
      <c r="D2348" s="4" t="s">
        <v>30</v>
      </c>
      <c r="E2348" s="4">
        <v>26</v>
      </c>
      <c r="F2348" s="4">
        <v>3617.64</v>
      </c>
      <c r="G2348" s="4">
        <v>7.0000000000000007E-2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89">C2348+2</f>
        <v>40674</v>
      </c>
    </row>
    <row r="2349" spans="1:21" ht="12" customHeight="1">
      <c r="A2349" s="4">
        <v>1972</v>
      </c>
      <c r="B2349" s="4">
        <v>14113</v>
      </c>
      <c r="C2349" s="5">
        <f>DATE(2012,12,31)-515</f>
        <v>40759</v>
      </c>
      <c r="D2349" s="4" t="s">
        <v>30</v>
      </c>
      <c r="E2349" s="4">
        <v>22</v>
      </c>
      <c r="F2349" s="4">
        <v>8218.16</v>
      </c>
      <c r="G2349" s="4">
        <v>0.09</v>
      </c>
      <c r="H2349" s="4" t="s">
        <v>31</v>
      </c>
      <c r="I2349" s="6">
        <v>-774.14480000000015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89"/>
        <v>40761</v>
      </c>
    </row>
    <row r="2350" spans="1:21" ht="12" customHeight="1">
      <c r="A2350" s="4">
        <v>1989</v>
      </c>
      <c r="B2350" s="4">
        <v>14210</v>
      </c>
      <c r="C2350" s="5">
        <f>DATE(2012,12,31)-188</f>
        <v>41086</v>
      </c>
      <c r="D2350" s="4" t="s">
        <v>45</v>
      </c>
      <c r="E2350" s="4">
        <v>19</v>
      </c>
      <c r="F2350" s="4">
        <v>676.79</v>
      </c>
      <c r="G2350" s="4">
        <v>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89"/>
        <v>41088</v>
      </c>
    </row>
    <row r="2351" spans="1:21" ht="12" customHeight="1">
      <c r="A2351" s="4">
        <v>2000</v>
      </c>
      <c r="B2351" s="4">
        <v>14272</v>
      </c>
      <c r="C2351" s="5">
        <f>DATE(2012,12,31)-323</f>
        <v>40951</v>
      </c>
      <c r="D2351" s="4" t="s">
        <v>63</v>
      </c>
      <c r="E2351" s="4">
        <v>32</v>
      </c>
      <c r="F2351" s="4">
        <v>2409.96</v>
      </c>
      <c r="G2351" s="4">
        <v>7.0000000000000007E-2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89"/>
        <v>40953</v>
      </c>
    </row>
    <row r="2352" spans="1:21" ht="12" customHeight="1">
      <c r="A2352" s="4">
        <v>2019</v>
      </c>
      <c r="B2352" s="4">
        <v>14401</v>
      </c>
      <c r="C2352" s="5">
        <f>DATE(2012,12,31)-515</f>
        <v>40759</v>
      </c>
      <c r="D2352" s="4" t="s">
        <v>45</v>
      </c>
      <c r="E2352" s="4">
        <v>10</v>
      </c>
      <c r="F2352" s="4">
        <v>931.14949999999999</v>
      </c>
      <c r="G2352" s="4">
        <v>0.06</v>
      </c>
      <c r="H2352" s="4" t="s">
        <v>22</v>
      </c>
      <c r="I2352" s="6">
        <v>-128.83199999999999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0.56999999999999995</v>
      </c>
      <c r="U2352" s="5">
        <f t="shared" si="989"/>
        <v>40761</v>
      </c>
    </row>
    <row r="2353" spans="1:21" ht="12" customHeight="1">
      <c r="A2353" s="4">
        <v>2211</v>
      </c>
      <c r="B2353" s="4">
        <v>15941</v>
      </c>
      <c r="C2353" s="5">
        <f>DATE(2012,12,31)-387</f>
        <v>40887</v>
      </c>
      <c r="D2353" s="4" t="s">
        <v>45</v>
      </c>
      <c r="E2353" s="4">
        <v>15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89"/>
        <v>40889</v>
      </c>
    </row>
    <row r="2354" spans="1:21" ht="12" customHeight="1">
      <c r="A2354" s="4">
        <v>2479</v>
      </c>
      <c r="B2354" s="4">
        <v>18023</v>
      </c>
      <c r="C2354" s="5">
        <f t="shared" ref="C2354:C2355" si="990">DATE(2012,12,31)-676</f>
        <v>40598</v>
      </c>
      <c r="D2354" s="4" t="s">
        <v>63</v>
      </c>
      <c r="E2354" s="4">
        <v>38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1">C2354+1</f>
        <v>40599</v>
      </c>
    </row>
    <row r="2355" spans="1:21" ht="12" customHeight="1">
      <c r="A2355" s="4">
        <v>2480</v>
      </c>
      <c r="B2355" s="4">
        <v>18023</v>
      </c>
      <c r="C2355" s="5">
        <f t="shared" si="990"/>
        <v>40598</v>
      </c>
      <c r="D2355" s="4" t="s">
        <v>63</v>
      </c>
      <c r="E2355" s="4">
        <v>34</v>
      </c>
      <c r="F2355" s="4">
        <v>192.23</v>
      </c>
      <c r="G2355" s="4">
        <v>7.0000000000000007E-2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1"/>
        <v>40599</v>
      </c>
    </row>
    <row r="2356" spans="1:21" ht="12" customHeight="1">
      <c r="A2356" s="4">
        <v>2526</v>
      </c>
      <c r="B2356" s="4">
        <v>18341</v>
      </c>
      <c r="C2356" s="5">
        <f>DATE(2012,12,31)-897</f>
        <v>40377</v>
      </c>
      <c r="D2356" s="4" t="s">
        <v>78</v>
      </c>
      <c r="E2356" s="4">
        <v>39</v>
      </c>
      <c r="F2356" s="4">
        <v>237.89</v>
      </c>
      <c r="G2356" s="4">
        <v>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spans="1:21" ht="12" customHeight="1">
      <c r="A2357" s="4">
        <v>2535</v>
      </c>
      <c r="B2357" s="4">
        <v>18400</v>
      </c>
      <c r="C2357" s="5">
        <f>DATE(2012,12,31)-391</f>
        <v>40883</v>
      </c>
      <c r="D2357" s="4" t="s">
        <v>45</v>
      </c>
      <c r="E2357" s="4">
        <v>29</v>
      </c>
      <c r="F2357" s="4">
        <v>598.49</v>
      </c>
      <c r="G2357" s="4">
        <v>0.05</v>
      </c>
      <c r="H2357" s="4" t="s">
        <v>22</v>
      </c>
      <c r="I2357" s="6">
        <v>34.159999999999997</v>
      </c>
      <c r="J2357" s="4">
        <v>20.95</v>
      </c>
      <c r="K2357" s="4">
        <v>4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spans="1:21" ht="12" customHeight="1">
      <c r="A2358" s="4">
        <v>2621</v>
      </c>
      <c r="B2358" s="4">
        <v>18950</v>
      </c>
      <c r="C2358" s="5">
        <f>DATE(2012,12,31)-308</f>
        <v>40966</v>
      </c>
      <c r="D2358" s="4" t="s">
        <v>21</v>
      </c>
      <c r="E2358" s="4">
        <v>33</v>
      </c>
      <c r="F2358" s="4">
        <v>3008.5</v>
      </c>
      <c r="G2358" s="4">
        <v>0.05</v>
      </c>
      <c r="H2358" s="4" t="s">
        <v>31</v>
      </c>
      <c r="I2358" s="6">
        <v>1101.9000000000001</v>
      </c>
      <c r="J2358" s="4">
        <v>90.97</v>
      </c>
      <c r="K2358" s="4">
        <v>14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spans="1:21" ht="12" customHeight="1">
      <c r="A2359" s="4">
        <v>2644</v>
      </c>
      <c r="B2359" s="4">
        <v>19139</v>
      </c>
      <c r="C2359" s="5">
        <f>DATE(2012,12,31)-759</f>
        <v>40515</v>
      </c>
      <c r="D2359" s="4" t="s">
        <v>45</v>
      </c>
      <c r="E2359" s="4">
        <v>15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spans="1:21" ht="12" customHeight="1">
      <c r="A2360" s="4">
        <v>2672</v>
      </c>
      <c r="B2360" s="4">
        <v>19332</v>
      </c>
      <c r="C2360" s="5">
        <f>DATE(2012,12,31)-308</f>
        <v>40966</v>
      </c>
      <c r="D2360" s="4" t="s">
        <v>30</v>
      </c>
      <c r="E2360" s="4">
        <v>46</v>
      </c>
      <c r="F2360" s="4">
        <v>8246.86</v>
      </c>
      <c r="G2360" s="4">
        <v>0.06</v>
      </c>
      <c r="H2360" s="4" t="s">
        <v>31</v>
      </c>
      <c r="I2360" s="6">
        <v>-433.29014300000011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2">C2360+2</f>
        <v>40968</v>
      </c>
    </row>
    <row r="2361" spans="1:21" ht="12" customHeight="1">
      <c r="A2361" s="4">
        <v>2932</v>
      </c>
      <c r="B2361" s="4">
        <v>21249</v>
      </c>
      <c r="C2361" s="5">
        <f t="shared" ref="C2361:C2362" si="993">DATE(2012,12,31)-834</f>
        <v>40440</v>
      </c>
      <c r="D2361" s="4" t="s">
        <v>21</v>
      </c>
      <c r="E2361" s="4">
        <v>22</v>
      </c>
      <c r="F2361" s="4">
        <v>1082.8</v>
      </c>
      <c r="G2361" s="4">
        <v>0.02</v>
      </c>
      <c r="H2361" s="4" t="s">
        <v>22</v>
      </c>
      <c r="I2361" s="6">
        <v>299.35000000000002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0.56000000000000005</v>
      </c>
      <c r="U2361" s="5">
        <f t="shared" si="992"/>
        <v>40442</v>
      </c>
    </row>
    <row r="2362" spans="1:21" ht="12" customHeight="1">
      <c r="A2362" s="4">
        <v>2933</v>
      </c>
      <c r="B2362" s="4">
        <v>21249</v>
      </c>
      <c r="C2362" s="5">
        <f t="shared" si="993"/>
        <v>40440</v>
      </c>
      <c r="D2362" s="4" t="s">
        <v>21</v>
      </c>
      <c r="E2362" s="4">
        <v>7</v>
      </c>
      <c r="F2362" s="4">
        <v>1260.2014999999999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2"/>
        <v>40442</v>
      </c>
    </row>
    <row r="2363" spans="1:21" ht="12" customHeight="1">
      <c r="A2363" s="4">
        <v>3139</v>
      </c>
      <c r="B2363" s="4">
        <v>22529</v>
      </c>
      <c r="C2363" s="5">
        <f>DATE(2012,12,31)-969</f>
        <v>40305</v>
      </c>
      <c r="D2363" s="4" t="s">
        <v>63</v>
      </c>
      <c r="E2363" s="4">
        <v>28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0.56000000000000005</v>
      </c>
      <c r="U2363" s="5">
        <f>C2363+0</f>
        <v>40305</v>
      </c>
    </row>
    <row r="2364" spans="1:21" ht="12" customHeight="1">
      <c r="A2364" s="4">
        <v>3410</v>
      </c>
      <c r="B2364" s="4">
        <v>24356</v>
      </c>
      <c r="C2364" s="5">
        <f>DATE(2012,12,31)-965</f>
        <v>40309</v>
      </c>
      <c r="D2364" s="4" t="s">
        <v>63</v>
      </c>
      <c r="E2364" s="4">
        <v>37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0.55000000000000004</v>
      </c>
      <c r="U2364" s="5">
        <f t="shared" ref="U2364:U2366" si="994">C2364+2</f>
        <v>40311</v>
      </c>
    </row>
    <row r="2365" spans="1:21" ht="12" customHeight="1">
      <c r="A2365" s="4">
        <v>3539</v>
      </c>
      <c r="B2365" s="4">
        <v>25188</v>
      </c>
      <c r="C2365" s="5">
        <f>DATE(2012,12,31)-728</f>
        <v>40546</v>
      </c>
      <c r="D2365" s="4" t="s">
        <v>63</v>
      </c>
      <c r="E2365" s="4">
        <v>20</v>
      </c>
      <c r="F2365" s="4">
        <v>1564.1614999999999</v>
      </c>
      <c r="G2365" s="4">
        <v>0</v>
      </c>
      <c r="H2365" s="4" t="s">
        <v>22</v>
      </c>
      <c r="I2365" s="6">
        <v>682.47899999999993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4"/>
        <v>40548</v>
      </c>
    </row>
    <row r="2366" spans="1:21" ht="12" customHeight="1">
      <c r="A2366" s="4">
        <v>3543</v>
      </c>
      <c r="B2366" s="4">
        <v>25249</v>
      </c>
      <c r="C2366" s="5">
        <f>DATE(2012,12,31)-55</f>
        <v>41219</v>
      </c>
      <c r="D2366" s="4" t="s">
        <v>63</v>
      </c>
      <c r="E2366" s="4">
        <v>34</v>
      </c>
      <c r="F2366" s="4">
        <v>926.85</v>
      </c>
      <c r="G2366" s="4">
        <v>0.09</v>
      </c>
      <c r="H2366" s="4" t="s">
        <v>22</v>
      </c>
      <c r="I2366" s="6">
        <v>382.94200000000001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4"/>
        <v>41221</v>
      </c>
    </row>
    <row r="2367" spans="1:21" ht="12" customHeight="1">
      <c r="A2367" s="4">
        <v>3774</v>
      </c>
      <c r="B2367" s="4">
        <v>26948</v>
      </c>
      <c r="C2367" s="5">
        <f>DATE(2012,12,31)-405</f>
        <v>40869</v>
      </c>
      <c r="D2367" s="4" t="s">
        <v>30</v>
      </c>
      <c r="E2367" s="4">
        <v>21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spans="1:21" ht="12" customHeight="1">
      <c r="A2368" s="4">
        <v>3819</v>
      </c>
      <c r="B2368" s="4">
        <v>27232</v>
      </c>
      <c r="C2368" s="5">
        <f>DATE(2012,12,31)-866</f>
        <v>40408</v>
      </c>
      <c r="D2368" s="4" t="s">
        <v>45</v>
      </c>
      <c r="E2368" s="4">
        <v>19</v>
      </c>
      <c r="F2368" s="4">
        <v>639.29999999999995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spans="1:21" ht="12" customHeight="1">
      <c r="A2369" s="4">
        <v>3871</v>
      </c>
      <c r="B2369" s="4">
        <v>27622</v>
      </c>
      <c r="C2369" s="5">
        <f>DATE(2012,12,31)-694</f>
        <v>40580</v>
      </c>
      <c r="D2369" s="4" t="s">
        <v>63</v>
      </c>
      <c r="E2369" s="4">
        <v>4</v>
      </c>
      <c r="F2369" s="4">
        <v>1280.73</v>
      </c>
      <c r="G2369" s="4">
        <v>0.09</v>
      </c>
      <c r="H2369" s="4" t="s">
        <v>31</v>
      </c>
      <c r="I2369" s="6">
        <v>-774.89068800000007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spans="1:21" ht="12" customHeight="1">
      <c r="A2370" s="4">
        <v>3978</v>
      </c>
      <c r="B2370" s="4">
        <v>28390</v>
      </c>
      <c r="C2370" s="5">
        <f>DATE(2012,12,31)-328</f>
        <v>40946</v>
      </c>
      <c r="D2370" s="4" t="s">
        <v>30</v>
      </c>
      <c r="E2370" s="4">
        <v>44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5">C2370+2</f>
        <v>40948</v>
      </c>
    </row>
    <row r="2371" spans="1:21" ht="12" customHeight="1">
      <c r="A2371" s="4">
        <v>4108</v>
      </c>
      <c r="B2371" s="4">
        <v>29223</v>
      </c>
      <c r="C2371" s="5">
        <f>DATE(2012,12,31)-346</f>
        <v>40928</v>
      </c>
      <c r="D2371" s="4" t="s">
        <v>30</v>
      </c>
      <c r="E2371" s="4">
        <v>48</v>
      </c>
      <c r="F2371" s="4">
        <v>24701.119999999999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5"/>
        <v>40930</v>
      </c>
    </row>
    <row r="2372" spans="1:21" ht="12" customHeight="1">
      <c r="A2372" s="4">
        <v>4134</v>
      </c>
      <c r="B2372" s="4">
        <v>29351</v>
      </c>
      <c r="C2372" s="5">
        <f>DATE(2012,12,31)-455</f>
        <v>40819</v>
      </c>
      <c r="D2372" s="4" t="s">
        <v>63</v>
      </c>
      <c r="E2372" s="4">
        <v>17</v>
      </c>
      <c r="F2372" s="4">
        <v>5122.6099999999997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19.989999999999998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5"/>
        <v>40821</v>
      </c>
    </row>
    <row r="2373" spans="1:21" ht="12" customHeight="1">
      <c r="A2373" s="4">
        <v>4160</v>
      </c>
      <c r="B2373" s="4">
        <v>29506</v>
      </c>
      <c r="C2373" s="5">
        <f t="shared" ref="C2373:C2374" si="996">DATE(2012,12,31)-566</f>
        <v>40708</v>
      </c>
      <c r="D2373" s="4" t="s">
        <v>78</v>
      </c>
      <c r="E2373" s="4">
        <v>46</v>
      </c>
      <c r="F2373" s="4">
        <v>221.13</v>
      </c>
      <c r="G2373" s="4">
        <v>0.01</v>
      </c>
      <c r="H2373" s="4" t="s">
        <v>22</v>
      </c>
      <c r="I2373" s="6">
        <v>59.703999999999994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5"/>
        <v>40710</v>
      </c>
    </row>
    <row r="2374" spans="1:21" ht="12" customHeight="1">
      <c r="A2374" s="4">
        <v>4161</v>
      </c>
      <c r="B2374" s="4">
        <v>29506</v>
      </c>
      <c r="C2374" s="5">
        <f t="shared" si="996"/>
        <v>40708</v>
      </c>
      <c r="D2374" s="4" t="s">
        <v>78</v>
      </c>
      <c r="E2374" s="4">
        <v>8</v>
      </c>
      <c r="F2374" s="4">
        <v>16.350000000000001</v>
      </c>
      <c r="G2374" s="4">
        <v>0.05</v>
      </c>
      <c r="H2374" s="4" t="s">
        <v>22</v>
      </c>
      <c r="I2374" s="6">
        <v>-5.6234999999999999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7">C2374+1</f>
        <v>40709</v>
      </c>
    </row>
    <row r="2375" spans="1:21" ht="12" customHeight="1">
      <c r="A2375" s="4">
        <v>4189</v>
      </c>
      <c r="B2375" s="4">
        <v>29764</v>
      </c>
      <c r="C2375" s="5">
        <f>DATE(2012,12,31)-162</f>
        <v>41112</v>
      </c>
      <c r="D2375" s="4" t="s">
        <v>78</v>
      </c>
      <c r="E2375" s="4">
        <v>10</v>
      </c>
      <c r="F2375" s="4">
        <v>165.09</v>
      </c>
      <c r="G2375" s="4">
        <v>0</v>
      </c>
      <c r="H2375" s="4" t="s">
        <v>56</v>
      </c>
      <c r="I2375" s="6">
        <v>-8.5904999999999987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7"/>
        <v>41113</v>
      </c>
    </row>
    <row r="2376" spans="1:21" ht="12" customHeight="1">
      <c r="A2376" s="4">
        <v>4216</v>
      </c>
      <c r="B2376" s="4">
        <v>29958</v>
      </c>
      <c r="C2376" s="5">
        <f t="shared" ref="C2376:C2377" si="998">DATE(2012,12,31)-725</f>
        <v>40549</v>
      </c>
      <c r="D2376" s="4" t="s">
        <v>30</v>
      </c>
      <c r="E2376" s="4">
        <v>47</v>
      </c>
      <c r="F2376" s="4">
        <v>307.57</v>
      </c>
      <c r="G2376" s="4">
        <v>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7"/>
        <v>40550</v>
      </c>
    </row>
    <row r="2377" spans="1:21" ht="12" customHeight="1">
      <c r="A2377" s="4">
        <v>4217</v>
      </c>
      <c r="B2377" s="4">
        <v>29958</v>
      </c>
      <c r="C2377" s="5">
        <f t="shared" si="998"/>
        <v>40549</v>
      </c>
      <c r="D2377" s="4" t="s">
        <v>30</v>
      </c>
      <c r="E2377" s="4">
        <v>32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spans="1:21" ht="12" customHeight="1">
      <c r="A2378" s="4">
        <v>4435</v>
      </c>
      <c r="B2378" s="4">
        <v>31616</v>
      </c>
      <c r="C2378" s="5">
        <f t="shared" ref="C2378:C2379" si="999">DATE(2012,12,31)-856</f>
        <v>40418</v>
      </c>
      <c r="D2378" s="4" t="s">
        <v>78</v>
      </c>
      <c r="E2378" s="4">
        <v>45</v>
      </c>
      <c r="F2378" s="4">
        <v>182.7</v>
      </c>
      <c r="G2378" s="4">
        <v>0.08</v>
      </c>
      <c r="H2378" s="4" t="s">
        <v>22</v>
      </c>
      <c r="I2378" s="6">
        <v>-156.41149999999999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0">C2378+1</f>
        <v>40419</v>
      </c>
    </row>
    <row r="2379" spans="1:21" ht="12" customHeight="1">
      <c r="A2379" s="4">
        <v>4436</v>
      </c>
      <c r="B2379" s="4">
        <v>31616</v>
      </c>
      <c r="C2379" s="5">
        <f t="shared" si="999"/>
        <v>40418</v>
      </c>
      <c r="D2379" s="4" t="s">
        <v>78</v>
      </c>
      <c r="E2379" s="4">
        <v>46</v>
      </c>
      <c r="F2379" s="4">
        <v>141.08000000000001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0"/>
        <v>40419</v>
      </c>
    </row>
    <row r="2380" spans="1:21" ht="12" customHeight="1">
      <c r="A2380" s="4">
        <v>4483</v>
      </c>
      <c r="B2380" s="4">
        <v>31907</v>
      </c>
      <c r="C2380" s="5">
        <f>DATE(2012,12,31)-958</f>
        <v>40316</v>
      </c>
      <c r="D2380" s="4" t="s">
        <v>21</v>
      </c>
      <c r="E2380" s="4">
        <v>38</v>
      </c>
      <c r="F2380" s="4">
        <v>331.53</v>
      </c>
      <c r="G2380" s="4">
        <v>0</v>
      </c>
      <c r="H2380" s="4" t="s">
        <v>22</v>
      </c>
      <c r="I2380" s="6">
        <v>-35.97</v>
      </c>
      <c r="J2380" s="4">
        <v>8.4600000000000009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1">C2380+5</f>
        <v>40321</v>
      </c>
    </row>
    <row r="2381" spans="1:21" ht="12" customHeight="1">
      <c r="A2381" s="4">
        <v>4494</v>
      </c>
      <c r="B2381" s="4">
        <v>32001</v>
      </c>
      <c r="C2381" s="5">
        <f t="shared" ref="C2381:C2382" si="1002">DATE(2012,12,31)-430</f>
        <v>40844</v>
      </c>
      <c r="D2381" s="4" t="s">
        <v>21</v>
      </c>
      <c r="E2381" s="4">
        <v>22</v>
      </c>
      <c r="F2381" s="4">
        <v>494.84</v>
      </c>
      <c r="G2381" s="4">
        <v>7.0000000000000007E-2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1"/>
        <v>40849</v>
      </c>
    </row>
    <row r="2382" spans="1:21" ht="12" customHeight="1">
      <c r="A2382" s="4">
        <v>4495</v>
      </c>
      <c r="B2382" s="4">
        <v>32001</v>
      </c>
      <c r="C2382" s="5">
        <f t="shared" si="1002"/>
        <v>40844</v>
      </c>
      <c r="D2382" s="4" t="s">
        <v>21</v>
      </c>
      <c r="E2382" s="4">
        <v>11</v>
      </c>
      <c r="F2382" s="4">
        <v>3443.21</v>
      </c>
      <c r="G2382" s="4">
        <v>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spans="1:21" ht="12" customHeight="1">
      <c r="A2383" s="4">
        <v>4506</v>
      </c>
      <c r="B2383" s="4">
        <v>32069</v>
      </c>
      <c r="C2383" s="5">
        <f>DATE(2012,12,31)-408</f>
        <v>40866</v>
      </c>
      <c r="D2383" s="4" t="s">
        <v>45</v>
      </c>
      <c r="E2383" s="4">
        <v>8</v>
      </c>
      <c r="F2383" s="4">
        <v>1100</v>
      </c>
      <c r="G2383" s="4">
        <v>7.0000000000000007E-2</v>
      </c>
      <c r="H2383" s="4" t="s">
        <v>31</v>
      </c>
      <c r="I2383" s="6">
        <v>-240.31140000000002</v>
      </c>
      <c r="J2383" s="4">
        <v>145.44999999999999</v>
      </c>
      <c r="K2383" s="4">
        <v>17.850000000000001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0.56000000000000005</v>
      </c>
      <c r="U2383" s="5">
        <f>C2383+0</f>
        <v>40866</v>
      </c>
    </row>
    <row r="2384" spans="1:21" ht="12" customHeight="1">
      <c r="A2384" s="4">
        <v>4512</v>
      </c>
      <c r="B2384" s="4">
        <v>32102</v>
      </c>
      <c r="C2384" s="5">
        <f>DATE(2012,12,31)-17</f>
        <v>41257</v>
      </c>
      <c r="D2384" s="4" t="s">
        <v>63</v>
      </c>
      <c r="E2384" s="4">
        <v>2</v>
      </c>
      <c r="F2384" s="4">
        <v>19.809999999999999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spans="1:21" ht="12" customHeight="1">
      <c r="A2385" s="4">
        <v>4561</v>
      </c>
      <c r="B2385" s="4">
        <v>32450</v>
      </c>
      <c r="C2385" s="5">
        <f>DATE(2012,12,31)-378</f>
        <v>40896</v>
      </c>
      <c r="D2385" s="4" t="s">
        <v>63</v>
      </c>
      <c r="E2385" s="4">
        <v>37</v>
      </c>
      <c r="F2385" s="4">
        <v>2638.79</v>
      </c>
      <c r="G2385" s="4">
        <v>0.1</v>
      </c>
      <c r="H2385" s="4" t="s">
        <v>31</v>
      </c>
      <c r="I2385" s="6">
        <v>54.230849999999997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spans="1:21" ht="12" customHeight="1">
      <c r="A2386" s="4">
        <v>4572</v>
      </c>
      <c r="B2386" s="4">
        <v>32546</v>
      </c>
      <c r="C2386" s="5">
        <f t="shared" ref="C2386:C2387" si="1003">DATE(2012,12,31)-654</f>
        <v>40620</v>
      </c>
      <c r="D2386" s="4" t="s">
        <v>78</v>
      </c>
      <c r="E2386" s="4">
        <v>6</v>
      </c>
      <c r="F2386" s="4">
        <v>156.09</v>
      </c>
      <c r="G2386" s="4">
        <v>0</v>
      </c>
      <c r="H2386" s="4" t="s">
        <v>22</v>
      </c>
      <c r="I2386" s="6">
        <v>-34.844999999999999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spans="1:21" ht="12" customHeight="1">
      <c r="A2387" s="4">
        <v>4573</v>
      </c>
      <c r="B2387" s="4">
        <v>32546</v>
      </c>
      <c r="C2387" s="5">
        <f t="shared" si="1003"/>
        <v>40620</v>
      </c>
      <c r="D2387" s="4" t="s">
        <v>78</v>
      </c>
      <c r="E2387" s="4">
        <v>47</v>
      </c>
      <c r="F2387" s="4">
        <v>1294.0230000000001</v>
      </c>
      <c r="G2387" s="4">
        <v>0.1</v>
      </c>
      <c r="H2387" s="4" t="s">
        <v>22</v>
      </c>
      <c r="I2387" s="6">
        <v>607.25700000000006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spans="1:21" ht="12" customHeight="1">
      <c r="A2388" s="4">
        <v>4640</v>
      </c>
      <c r="B2388" s="4">
        <v>33029</v>
      </c>
      <c r="C2388" s="5">
        <f t="shared" ref="C2388:C2389" si="1004">DATE(2012,12,31)-214</f>
        <v>41060</v>
      </c>
      <c r="D2388" s="4" t="s">
        <v>30</v>
      </c>
      <c r="E2388" s="4">
        <v>39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spans="1:21" ht="12" customHeight="1">
      <c r="A2389" s="4">
        <v>4641</v>
      </c>
      <c r="B2389" s="4">
        <v>33029</v>
      </c>
      <c r="C2389" s="5">
        <f t="shared" si="1004"/>
        <v>41060</v>
      </c>
      <c r="D2389" s="4" t="s">
        <v>30</v>
      </c>
      <c r="E2389" s="4">
        <v>8</v>
      </c>
      <c r="F2389" s="4">
        <v>738.25049999999999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0.56999999999999995</v>
      </c>
      <c r="U2389" s="5">
        <f>C2389+1</f>
        <v>41061</v>
      </c>
    </row>
    <row r="2390" spans="1:21" ht="12" customHeight="1">
      <c r="A2390" s="4">
        <v>4645</v>
      </c>
      <c r="B2390" s="4">
        <v>33061</v>
      </c>
      <c r="C2390" s="5">
        <f>DATE(2012,12,31)-535</f>
        <v>40739</v>
      </c>
      <c r="D2390" s="4" t="s">
        <v>30</v>
      </c>
      <c r="E2390" s="4">
        <v>48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5">C2390+2</f>
        <v>40741</v>
      </c>
    </row>
    <row r="2391" spans="1:21" ht="12" customHeight="1">
      <c r="A2391" s="4">
        <v>4698</v>
      </c>
      <c r="B2391" s="4">
        <v>33478</v>
      </c>
      <c r="C2391" s="5">
        <f>DATE(2012,12,31)-931</f>
        <v>40343</v>
      </c>
      <c r="D2391" s="4" t="s">
        <v>30</v>
      </c>
      <c r="E2391" s="4">
        <v>21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5"/>
        <v>40345</v>
      </c>
    </row>
    <row r="2392" spans="1:21" ht="12" customHeight="1">
      <c r="A2392" s="4">
        <v>4708</v>
      </c>
      <c r="B2392" s="4">
        <v>33540</v>
      </c>
      <c r="C2392" s="5">
        <f>DATE(2012,12,31)-574</f>
        <v>40700</v>
      </c>
      <c r="D2392" s="4" t="s">
        <v>21</v>
      </c>
      <c r="E2392" s="4">
        <v>21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spans="1:21" ht="12" customHeight="1">
      <c r="A2393" s="4">
        <v>4762</v>
      </c>
      <c r="B2393" s="4">
        <v>33862</v>
      </c>
      <c r="C2393" s="5">
        <f>DATE(2012,12,31)-923</f>
        <v>40351</v>
      </c>
      <c r="D2393" s="4" t="s">
        <v>45</v>
      </c>
      <c r="E2393" s="4">
        <v>22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6">C2393+1</f>
        <v>40352</v>
      </c>
    </row>
    <row r="2394" spans="1:21" ht="12" customHeight="1">
      <c r="A2394" s="4">
        <v>4845</v>
      </c>
      <c r="B2394" s="4">
        <v>34470</v>
      </c>
      <c r="C2394" s="5">
        <f>DATE(2012,12,31)-334</f>
        <v>40940</v>
      </c>
      <c r="D2394" s="4" t="s">
        <v>78</v>
      </c>
      <c r="E2394" s="4">
        <v>31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6"/>
        <v>40941</v>
      </c>
    </row>
    <row r="2395" spans="1:21" ht="12" customHeight="1">
      <c r="A2395" s="4">
        <v>5077</v>
      </c>
      <c r="B2395" s="4">
        <v>36161</v>
      </c>
      <c r="C2395" s="5">
        <f>DATE(2012,12,31)-1080</f>
        <v>40194</v>
      </c>
      <c r="D2395" s="4" t="s">
        <v>78</v>
      </c>
      <c r="E2395" s="4">
        <v>6</v>
      </c>
      <c r="F2395" s="4">
        <v>29.19</v>
      </c>
      <c r="G2395" s="4">
        <v>0.03</v>
      </c>
      <c r="H2395" s="4" t="s">
        <v>22</v>
      </c>
      <c r="I2395" s="6">
        <v>0.64600000000000002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6"/>
        <v>40195</v>
      </c>
    </row>
    <row r="2396" spans="1:21" ht="12" customHeight="1">
      <c r="A2396" s="4">
        <v>5335</v>
      </c>
      <c r="B2396" s="4">
        <v>37895</v>
      </c>
      <c r="C2396" s="5">
        <f>DATE(2012,12,31)-276</f>
        <v>40998</v>
      </c>
      <c r="D2396" s="4" t="s">
        <v>78</v>
      </c>
      <c r="E2396" s="4">
        <v>14</v>
      </c>
      <c r="F2396" s="4">
        <v>304.64999999999998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spans="1:21" ht="12" customHeight="1">
      <c r="A2397" s="4">
        <v>5402</v>
      </c>
      <c r="B2397" s="4">
        <v>38403</v>
      </c>
      <c r="C2397" s="5">
        <f>DATE(2012,12,31)-590</f>
        <v>40684</v>
      </c>
      <c r="D2397" s="4" t="s">
        <v>21</v>
      </c>
      <c r="E2397" s="4">
        <v>49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spans="1:21" ht="12" customHeight="1">
      <c r="A2398" s="4">
        <v>5440</v>
      </c>
      <c r="B2398" s="4">
        <v>38630</v>
      </c>
      <c r="C2398" s="5">
        <f>DATE(2012,12,31)-989</f>
        <v>40285</v>
      </c>
      <c r="D2398" s="4" t="s">
        <v>63</v>
      </c>
      <c r="E2398" s="4">
        <v>13</v>
      </c>
      <c r="F2398" s="4">
        <v>2175.2179999999998</v>
      </c>
      <c r="G2398" s="4">
        <v>7.0000000000000007E-2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0.57999999999999996</v>
      </c>
      <c r="U2398" s="5">
        <f>C2398+1</f>
        <v>40286</v>
      </c>
    </row>
    <row r="2399" spans="1:21" ht="12" customHeight="1">
      <c r="A2399" s="4">
        <v>5684</v>
      </c>
      <c r="B2399" s="4">
        <v>40165</v>
      </c>
      <c r="C2399" s="5">
        <f>DATE(2012,12,31)-670</f>
        <v>40604</v>
      </c>
      <c r="D2399" s="4" t="s">
        <v>30</v>
      </c>
      <c r="E2399" s="4">
        <v>50</v>
      </c>
      <c r="F2399" s="4">
        <v>421.36</v>
      </c>
      <c r="G2399" s="4">
        <v>7.0000000000000007E-2</v>
      </c>
      <c r="H2399" s="4" t="s">
        <v>22</v>
      </c>
      <c r="I2399" s="6">
        <v>-75.17</v>
      </c>
      <c r="J2399" s="4">
        <v>8.6199999999999992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spans="1:21" ht="12" customHeight="1">
      <c r="A2400" s="4">
        <v>5686</v>
      </c>
      <c r="B2400" s="4">
        <v>40194</v>
      </c>
      <c r="C2400" s="5">
        <f t="shared" ref="C2400:C2402" si="1007">DATE(2012,12,31)-817</f>
        <v>40457</v>
      </c>
      <c r="D2400" s="4" t="s">
        <v>45</v>
      </c>
      <c r="E2400" s="4">
        <v>30</v>
      </c>
      <c r="F2400" s="4">
        <v>4506.8500000000004</v>
      </c>
      <c r="G2400" s="4">
        <v>0.1</v>
      </c>
      <c r="H2400" s="4" t="s">
        <v>31</v>
      </c>
      <c r="I2400" s="6">
        <v>290.66000000000003</v>
      </c>
      <c r="J2400" s="4">
        <v>160.97999999999999</v>
      </c>
      <c r="K2400" s="4">
        <v>30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spans="1:21" ht="12" customHeight="1">
      <c r="A2401" s="4">
        <v>5687</v>
      </c>
      <c r="B2401" s="4">
        <v>40194</v>
      </c>
      <c r="C2401" s="5">
        <f t="shared" si="1007"/>
        <v>40457</v>
      </c>
      <c r="D2401" s="4" t="s">
        <v>45</v>
      </c>
      <c r="E2401" s="4">
        <v>16</v>
      </c>
      <c r="F2401" s="4">
        <v>2110.37</v>
      </c>
      <c r="G2401" s="4">
        <v>0</v>
      </c>
      <c r="H2401" s="4" t="s">
        <v>31</v>
      </c>
      <c r="I2401" s="6">
        <v>-14.415900000000001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8">C2401+2</f>
        <v>40459</v>
      </c>
    </row>
    <row r="2402" spans="1:21" ht="12" customHeight="1">
      <c r="A2402" s="4">
        <v>5688</v>
      </c>
      <c r="B2402" s="4">
        <v>40194</v>
      </c>
      <c r="C2402" s="5">
        <f t="shared" si="1007"/>
        <v>40457</v>
      </c>
      <c r="D2402" s="4" t="s">
        <v>45</v>
      </c>
      <c r="E2402" s="4">
        <v>34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8"/>
        <v>40459</v>
      </c>
    </row>
    <row r="2403" spans="1:21" ht="12" customHeight="1">
      <c r="A2403" s="4">
        <v>5713</v>
      </c>
      <c r="B2403" s="4">
        <v>40454</v>
      </c>
      <c r="C2403" s="5">
        <f>DATE(2012,12,31)-620</f>
        <v>40654</v>
      </c>
      <c r="D2403" s="4" t="s">
        <v>45</v>
      </c>
      <c r="E2403" s="4">
        <v>43</v>
      </c>
      <c r="F2403" s="4">
        <v>1243.8800000000001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0.57999999999999996</v>
      </c>
      <c r="U2403" s="5">
        <f>C2403+3</f>
        <v>40657</v>
      </c>
    </row>
    <row r="2404" spans="1:21" ht="12" customHeight="1">
      <c r="A2404" s="4">
        <v>5730</v>
      </c>
      <c r="B2404" s="4">
        <v>40672</v>
      </c>
      <c r="C2404" s="5">
        <f>DATE(2012,12,31)-63</f>
        <v>41211</v>
      </c>
      <c r="D2404" s="4" t="s">
        <v>21</v>
      </c>
      <c r="E2404" s="4">
        <v>16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35.840000000000003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spans="1:21" ht="12" customHeight="1">
      <c r="A2405" s="4">
        <v>5749</v>
      </c>
      <c r="B2405" s="4">
        <v>40833</v>
      </c>
      <c r="C2405" s="5">
        <f>DATE(2012,12,31)-900</f>
        <v>40374</v>
      </c>
      <c r="D2405" s="4" t="s">
        <v>21</v>
      </c>
      <c r="E2405" s="4">
        <v>48</v>
      </c>
      <c r="F2405" s="4">
        <v>2688.0825</v>
      </c>
      <c r="G2405" s="4">
        <v>0.04</v>
      </c>
      <c r="H2405" s="4" t="s">
        <v>22</v>
      </c>
      <c r="I2405" s="6">
        <v>844.82100000000003</v>
      </c>
      <c r="J2405" s="4">
        <v>65.989999999999995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0.56000000000000005</v>
      </c>
      <c r="U2405" s="5">
        <f>C2405+9</f>
        <v>40383</v>
      </c>
    </row>
    <row r="2406" spans="1:21" ht="12" customHeight="1">
      <c r="A2406" s="4">
        <v>5843</v>
      </c>
      <c r="B2406" s="4">
        <v>41441</v>
      </c>
      <c r="C2406" s="5">
        <f>DATE(2012,12,31)-343</f>
        <v>40931</v>
      </c>
      <c r="D2406" s="4" t="s">
        <v>63</v>
      </c>
      <c r="E2406" s="4">
        <v>41</v>
      </c>
      <c r="F2406" s="4">
        <v>221.08</v>
      </c>
      <c r="G2406" s="4">
        <v>0</v>
      </c>
      <c r="H2406" s="4" t="s">
        <v>22</v>
      </c>
      <c r="I2406" s="6">
        <v>-108.20350000000001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spans="1:21" ht="12" customHeight="1">
      <c r="A2407" s="4">
        <v>6079</v>
      </c>
      <c r="B2407" s="4">
        <v>43076</v>
      </c>
      <c r="C2407" s="5">
        <f>DATE(2012,12,31)-929</f>
        <v>40345</v>
      </c>
      <c r="D2407" s="4" t="s">
        <v>45</v>
      </c>
      <c r="E2407" s="4">
        <v>33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spans="1:21" ht="12" customHeight="1">
      <c r="A2408" s="4">
        <v>6102</v>
      </c>
      <c r="B2408" s="4">
        <v>43233</v>
      </c>
      <c r="C2408" s="5">
        <f>DATE(2012,12,31)-926</f>
        <v>40348</v>
      </c>
      <c r="D2408" s="4" t="s">
        <v>78</v>
      </c>
      <c r="E2408" s="4">
        <v>30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spans="1:21" ht="12" customHeight="1">
      <c r="A2409" s="4">
        <v>6120</v>
      </c>
      <c r="B2409" s="4">
        <v>43332</v>
      </c>
      <c r="C2409" s="5">
        <f>DATE(2012,12,31)-112</f>
        <v>41162</v>
      </c>
      <c r="D2409" s="4" t="s">
        <v>30</v>
      </c>
      <c r="E2409" s="4">
        <v>31</v>
      </c>
      <c r="F2409" s="4">
        <v>1750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spans="1:21" ht="12" customHeight="1">
      <c r="A2410" s="4">
        <v>6138</v>
      </c>
      <c r="B2410" s="4">
        <v>43488</v>
      </c>
      <c r="C2410" s="5">
        <f t="shared" ref="C2410:C2414" si="1009">DATE(2012,12,31)-196</f>
        <v>41078</v>
      </c>
      <c r="D2410" s="4" t="s">
        <v>78</v>
      </c>
      <c r="E2410" s="4">
        <v>46</v>
      </c>
      <c r="F2410" s="4">
        <v>2116.1999999999998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0">C2410+1</f>
        <v>41079</v>
      </c>
    </row>
    <row r="2411" spans="1:21" ht="12" customHeight="1">
      <c r="A2411" s="4">
        <v>6139</v>
      </c>
      <c r="B2411" s="4">
        <v>43488</v>
      </c>
      <c r="C2411" s="5">
        <f t="shared" si="1009"/>
        <v>41078</v>
      </c>
      <c r="D2411" s="4" t="s">
        <v>78</v>
      </c>
      <c r="E2411" s="4">
        <v>46</v>
      </c>
      <c r="F2411" s="4">
        <v>766.36</v>
      </c>
      <c r="G2411" s="4">
        <v>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0"/>
        <v>41079</v>
      </c>
    </row>
    <row r="2412" spans="1:21" ht="12" customHeight="1">
      <c r="A2412" s="4">
        <v>6140</v>
      </c>
      <c r="B2412" s="4">
        <v>43488</v>
      </c>
      <c r="C2412" s="5">
        <f t="shared" si="1009"/>
        <v>41078</v>
      </c>
      <c r="D2412" s="4" t="s">
        <v>78</v>
      </c>
      <c r="E2412" s="4">
        <v>28</v>
      </c>
      <c r="F2412" s="4">
        <v>547.32000000000005</v>
      </c>
      <c r="G2412" s="4">
        <v>0.1</v>
      </c>
      <c r="H2412" s="4" t="s">
        <v>22</v>
      </c>
      <c r="I2412" s="6">
        <v>42.39</v>
      </c>
      <c r="J2412" s="4">
        <v>20.239999999999998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0"/>
        <v>41079</v>
      </c>
    </row>
    <row r="2413" spans="1:21" ht="12" customHeight="1">
      <c r="A2413" s="4">
        <v>6141</v>
      </c>
      <c r="B2413" s="4">
        <v>43488</v>
      </c>
      <c r="C2413" s="5">
        <f t="shared" si="1009"/>
        <v>41078</v>
      </c>
      <c r="D2413" s="4" t="s">
        <v>78</v>
      </c>
      <c r="E2413" s="4">
        <v>13</v>
      </c>
      <c r="F2413" s="4">
        <v>192.44</v>
      </c>
      <c r="G2413" s="4">
        <v>0.05</v>
      </c>
      <c r="H2413" s="4" t="s">
        <v>22</v>
      </c>
      <c r="I2413" s="6">
        <v>6.7744999999999997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1">C2413+2</f>
        <v>41080</v>
      </c>
    </row>
    <row r="2414" spans="1:21" ht="12" customHeight="1">
      <c r="A2414" s="4">
        <v>6142</v>
      </c>
      <c r="B2414" s="4">
        <v>43488</v>
      </c>
      <c r="C2414" s="5">
        <f t="shared" si="1009"/>
        <v>41078</v>
      </c>
      <c r="D2414" s="4" t="s">
        <v>78</v>
      </c>
      <c r="E2414" s="4">
        <v>3</v>
      </c>
      <c r="F2414" s="4">
        <v>1294.3499999999999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1"/>
        <v>41080</v>
      </c>
    </row>
    <row r="2415" spans="1:21" ht="12" customHeight="1">
      <c r="A2415" s="4">
        <v>6148</v>
      </c>
      <c r="B2415" s="4">
        <v>43526</v>
      </c>
      <c r="C2415" s="5">
        <f t="shared" ref="C2415:C2416" si="1012">DATE(2012,12,31)-950</f>
        <v>40324</v>
      </c>
      <c r="D2415" s="4" t="s">
        <v>30</v>
      </c>
      <c r="E2415" s="4">
        <v>49</v>
      </c>
      <c r="F2415" s="4">
        <v>561.05999999999995</v>
      </c>
      <c r="G2415" s="4">
        <v>7.0000000000000007E-2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spans="1:21" ht="12" customHeight="1">
      <c r="A2416" s="4">
        <v>6149</v>
      </c>
      <c r="B2416" s="4">
        <v>43526</v>
      </c>
      <c r="C2416" s="5">
        <f t="shared" si="1012"/>
        <v>40324</v>
      </c>
      <c r="D2416" s="4" t="s">
        <v>30</v>
      </c>
      <c r="E2416" s="4">
        <v>19</v>
      </c>
      <c r="F2416" s="4">
        <v>320.02999999999997</v>
      </c>
      <c r="G2416" s="4">
        <v>0</v>
      </c>
      <c r="H2416" s="4" t="s">
        <v>22</v>
      </c>
      <c r="I2416" s="6">
        <v>-43.22</v>
      </c>
      <c r="J2416" s="4">
        <v>15.31</v>
      </c>
      <c r="K2416" s="4">
        <v>8.7799999999999994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0.56999999999999995</v>
      </c>
      <c r="U2416" s="5">
        <f>C2416+1</f>
        <v>40325</v>
      </c>
    </row>
    <row r="2417" spans="1:21" ht="12" customHeight="1">
      <c r="A2417" s="4">
        <v>6266</v>
      </c>
      <c r="B2417" s="4">
        <v>44358</v>
      </c>
      <c r="C2417" s="5">
        <f>DATE(2012,12,31)-1005</f>
        <v>40269</v>
      </c>
      <c r="D2417" s="4" t="s">
        <v>30</v>
      </c>
      <c r="E2417" s="4">
        <v>22</v>
      </c>
      <c r="F2417" s="4">
        <v>5288.89</v>
      </c>
      <c r="G2417" s="4">
        <v>0</v>
      </c>
      <c r="H2417" s="4" t="s">
        <v>31</v>
      </c>
      <c r="I2417" s="6">
        <v>547.03620000000001</v>
      </c>
      <c r="J2417" s="4">
        <v>227.55</v>
      </c>
      <c r="K2417" s="4">
        <v>32.479999999999997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3">C2417+2</f>
        <v>40271</v>
      </c>
    </row>
    <row r="2418" spans="1:21" ht="12" customHeight="1">
      <c r="A2418" s="4">
        <v>6284</v>
      </c>
      <c r="B2418" s="4">
        <v>44480</v>
      </c>
      <c r="C2418" s="5">
        <f>DATE(2012,12,31)-964</f>
        <v>40310</v>
      </c>
      <c r="D2418" s="4" t="s">
        <v>63</v>
      </c>
      <c r="E2418" s="4">
        <v>25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3"/>
        <v>40312</v>
      </c>
    </row>
    <row r="2419" spans="1:21" ht="12" customHeight="1">
      <c r="A2419" s="4">
        <v>6293</v>
      </c>
      <c r="B2419" s="4">
        <v>44546</v>
      </c>
      <c r="C2419" s="5">
        <f>DATE(2012,12,31)-1013</f>
        <v>40261</v>
      </c>
      <c r="D2419" s="4" t="s">
        <v>78</v>
      </c>
      <c r="E2419" s="4">
        <v>15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spans="1:21" ht="12" customHeight="1">
      <c r="A2420" s="4">
        <v>6311</v>
      </c>
      <c r="B2420" s="4">
        <v>44647</v>
      </c>
      <c r="C2420" s="5">
        <f t="shared" ref="C2420:C2421" si="1014">DATE(2012,12,31)-342</f>
        <v>40932</v>
      </c>
      <c r="D2420" s="4" t="s">
        <v>21</v>
      </c>
      <c r="E2420" s="4">
        <v>47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spans="1:21" ht="12" customHeight="1">
      <c r="A2421" s="4">
        <v>6312</v>
      </c>
      <c r="B2421" s="4">
        <v>44647</v>
      </c>
      <c r="C2421" s="5">
        <f t="shared" si="1014"/>
        <v>40932</v>
      </c>
      <c r="D2421" s="4" t="s">
        <v>21</v>
      </c>
      <c r="E2421" s="4">
        <v>24</v>
      </c>
      <c r="F2421" s="4">
        <v>302.91000000000003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0.56999999999999995</v>
      </c>
      <c r="U2421" s="5">
        <f>C2421+4</f>
        <v>40936</v>
      </c>
    </row>
    <row r="2422" spans="1:21" ht="12" customHeight="1">
      <c r="A2422" s="4">
        <v>6385</v>
      </c>
      <c r="B2422" s="4">
        <v>45376</v>
      </c>
      <c r="C2422" s="5">
        <f>DATE(2012,12,31)-395</f>
        <v>40879</v>
      </c>
      <c r="D2422" s="4" t="s">
        <v>78</v>
      </c>
      <c r="E2422" s="4">
        <v>19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spans="1:21" ht="12" customHeight="1">
      <c r="A2423" s="4">
        <v>6477</v>
      </c>
      <c r="B2423" s="4">
        <v>46115</v>
      </c>
      <c r="C2423" s="5">
        <f t="shared" ref="C2423:C2424" si="1015">DATE(2012,12,31)-670</f>
        <v>40604</v>
      </c>
      <c r="D2423" s="4" t="s">
        <v>78</v>
      </c>
      <c r="E2423" s="4">
        <v>35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spans="1:21" ht="12" customHeight="1">
      <c r="A2424" s="4">
        <v>6478</v>
      </c>
      <c r="B2424" s="4">
        <v>46115</v>
      </c>
      <c r="C2424" s="5">
        <f t="shared" si="1015"/>
        <v>40604</v>
      </c>
      <c r="D2424" s="4" t="s">
        <v>78</v>
      </c>
      <c r="E2424" s="4">
        <v>38</v>
      </c>
      <c r="F2424" s="4">
        <v>491.78</v>
      </c>
      <c r="G2424" s="4">
        <v>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spans="1:21" ht="12" customHeight="1">
      <c r="A2425" s="4">
        <v>6625</v>
      </c>
      <c r="B2425" s="4">
        <v>47109</v>
      </c>
      <c r="C2425" s="5">
        <f>DATE(2012,12,31)-477</f>
        <v>40797</v>
      </c>
      <c r="D2425" s="4" t="s">
        <v>30</v>
      </c>
      <c r="E2425" s="4">
        <v>47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6">C2425+2</f>
        <v>40799</v>
      </c>
    </row>
    <row r="2426" spans="1:21" ht="12" customHeight="1">
      <c r="A2426" s="4">
        <v>6687</v>
      </c>
      <c r="B2426" s="4">
        <v>47556</v>
      </c>
      <c r="C2426" s="5">
        <f>DATE(2012,12,31)-890</f>
        <v>40384</v>
      </c>
      <c r="D2426" s="4" t="s">
        <v>21</v>
      </c>
      <c r="E2426" s="4">
        <v>29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6"/>
        <v>40386</v>
      </c>
    </row>
    <row r="2427" spans="1:21" ht="12" customHeight="1">
      <c r="A2427" s="4">
        <v>6698</v>
      </c>
      <c r="B2427" s="4">
        <v>47712</v>
      </c>
      <c r="C2427" s="5">
        <f>DATE(2012,12,31)-902</f>
        <v>40372</v>
      </c>
      <c r="D2427" s="4" t="s">
        <v>21</v>
      </c>
      <c r="E2427" s="4">
        <v>50</v>
      </c>
      <c r="F2427" s="4">
        <v>274.04000000000002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spans="1:21" ht="12" customHeight="1">
      <c r="A2428" s="4">
        <v>6758</v>
      </c>
      <c r="B2428" s="4">
        <v>48161</v>
      </c>
      <c r="C2428" s="5">
        <f t="shared" ref="C2428:C2429" si="1017">DATE(2012,12,31)-588</f>
        <v>40686</v>
      </c>
      <c r="D2428" s="4" t="s">
        <v>45</v>
      </c>
      <c r="E2428" s="4">
        <v>16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0.57999999999999996</v>
      </c>
      <c r="U2428" s="5">
        <f>C2428+2</f>
        <v>40688</v>
      </c>
    </row>
    <row r="2429" spans="1:21" ht="12" customHeight="1">
      <c r="A2429" s="4">
        <v>6759</v>
      </c>
      <c r="B2429" s="4">
        <v>48161</v>
      </c>
      <c r="C2429" s="5">
        <f t="shared" si="1017"/>
        <v>40686</v>
      </c>
      <c r="D2429" s="4" t="s">
        <v>45</v>
      </c>
      <c r="E2429" s="4">
        <v>39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0.57999999999999996</v>
      </c>
      <c r="U2429" s="5">
        <f>C2429+1</f>
        <v>40687</v>
      </c>
    </row>
    <row r="2430" spans="1:21" ht="12" customHeight="1">
      <c r="A2430" s="4">
        <v>6816</v>
      </c>
      <c r="B2430" s="4">
        <v>48515</v>
      </c>
      <c r="C2430" s="5">
        <f>DATE(2012,12,31)-377</f>
        <v>40897</v>
      </c>
      <c r="D2430" s="4" t="s">
        <v>78</v>
      </c>
      <c r="E2430" s="4">
        <v>47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8">C2430+0</f>
        <v>40897</v>
      </c>
    </row>
    <row r="2431" spans="1:21" ht="12" customHeight="1">
      <c r="A2431" s="4">
        <v>6829</v>
      </c>
      <c r="B2431" s="4">
        <v>48642</v>
      </c>
      <c r="C2431" s="5">
        <f t="shared" ref="C2431:C2432" si="1019">DATE(2012,12,31)-1064</f>
        <v>40210</v>
      </c>
      <c r="D2431" s="4" t="s">
        <v>30</v>
      </c>
      <c r="E2431" s="4">
        <v>36</v>
      </c>
      <c r="F2431" s="4">
        <v>111.83</v>
      </c>
      <c r="G2431" s="4">
        <v>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0.57999999999999996</v>
      </c>
      <c r="U2431" s="5">
        <f t="shared" si="1018"/>
        <v>40210</v>
      </c>
    </row>
    <row r="2432" spans="1:21" ht="12" customHeight="1">
      <c r="A2432" s="4">
        <v>6830</v>
      </c>
      <c r="B2432" s="4">
        <v>48642</v>
      </c>
      <c r="C2432" s="5">
        <f t="shared" si="1019"/>
        <v>40210</v>
      </c>
      <c r="D2432" s="4" t="s">
        <v>30</v>
      </c>
      <c r="E2432" s="4">
        <v>50</v>
      </c>
      <c r="F2432" s="4">
        <v>4159.6279999999997</v>
      </c>
      <c r="G2432" s="4">
        <v>0.05</v>
      </c>
      <c r="H2432" s="4" t="s">
        <v>56</v>
      </c>
      <c r="I2432" s="6">
        <v>1332.9090000000001</v>
      </c>
      <c r="J2432" s="4">
        <v>95.99</v>
      </c>
      <c r="K2432" s="4">
        <v>4.9000000000000004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0.56000000000000005</v>
      </c>
      <c r="U2432" s="5">
        <f t="shared" si="1018"/>
        <v>40210</v>
      </c>
    </row>
    <row r="2433" spans="1:21" ht="12" customHeight="1">
      <c r="A2433" s="4">
        <v>7089</v>
      </c>
      <c r="B2433" s="4">
        <v>50567</v>
      </c>
      <c r="C2433" s="5">
        <f>DATE(2012,12,31)-330</f>
        <v>40944</v>
      </c>
      <c r="D2433" s="4" t="s">
        <v>63</v>
      </c>
      <c r="E2433" s="4">
        <v>22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0">C2433+1</f>
        <v>40945</v>
      </c>
    </row>
    <row r="2434" spans="1:21" ht="12" customHeight="1">
      <c r="A2434" s="4">
        <v>7320</v>
      </c>
      <c r="B2434" s="4">
        <v>52194</v>
      </c>
      <c r="C2434" s="5">
        <f t="shared" ref="C2434:C2435" si="1021">DATE(2012,12,31)-751</f>
        <v>40523</v>
      </c>
      <c r="D2434" s="4" t="s">
        <v>78</v>
      </c>
      <c r="E2434" s="4">
        <v>25</v>
      </c>
      <c r="F2434" s="4">
        <v>612.92999999999995</v>
      </c>
      <c r="G2434" s="4">
        <v>0.1</v>
      </c>
      <c r="H2434" s="4" t="s">
        <v>22</v>
      </c>
      <c r="I2434" s="6">
        <v>-5.0369999999999999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0"/>
        <v>40524</v>
      </c>
    </row>
    <row r="2435" spans="1:21" ht="12" customHeight="1">
      <c r="A2435" s="4">
        <v>7321</v>
      </c>
      <c r="B2435" s="4">
        <v>52194</v>
      </c>
      <c r="C2435" s="5">
        <f t="shared" si="1021"/>
        <v>40523</v>
      </c>
      <c r="D2435" s="4" t="s">
        <v>78</v>
      </c>
      <c r="E2435" s="4">
        <v>12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0"/>
        <v>40524</v>
      </c>
    </row>
    <row r="2436" spans="1:21" ht="12" customHeight="1">
      <c r="A2436" s="4">
        <v>7600</v>
      </c>
      <c r="B2436" s="4">
        <v>54370</v>
      </c>
      <c r="C2436" s="5">
        <f>DATE(2012,12,31)-267</f>
        <v>41007</v>
      </c>
      <c r="D2436" s="4" t="s">
        <v>45</v>
      </c>
      <c r="E2436" s="4">
        <v>49</v>
      </c>
      <c r="F2436" s="4">
        <v>4968.5</v>
      </c>
      <c r="G2436" s="4">
        <v>0</v>
      </c>
      <c r="H2436" s="4" t="s">
        <v>22</v>
      </c>
      <c r="I2436" s="6">
        <v>1041.28</v>
      </c>
      <c r="J2436" s="4">
        <v>99.99</v>
      </c>
      <c r="K2436" s="4">
        <v>19.989999999999998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spans="1:21" ht="12" customHeight="1">
      <c r="A2437" s="4">
        <v>7619</v>
      </c>
      <c r="B2437" s="4">
        <v>54528</v>
      </c>
      <c r="C2437" s="5">
        <f>DATE(2012,12,31)-727</f>
        <v>40547</v>
      </c>
      <c r="D2437" s="4" t="s">
        <v>63</v>
      </c>
      <c r="E2437" s="4">
        <v>15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spans="1:21" ht="12" customHeight="1">
      <c r="A2438" s="4">
        <v>7636</v>
      </c>
      <c r="B2438" s="4">
        <v>54659</v>
      </c>
      <c r="C2438" s="5">
        <f>DATE(2012,12,31)-504</f>
        <v>40770</v>
      </c>
      <c r="D2438" s="4" t="s">
        <v>30</v>
      </c>
      <c r="E2438" s="4">
        <v>38</v>
      </c>
      <c r="F2438" s="4">
        <v>262.89999999999998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spans="1:21" ht="12" customHeight="1">
      <c r="A2439" s="4">
        <v>7670</v>
      </c>
      <c r="B2439" s="4">
        <v>54981</v>
      </c>
      <c r="C2439" s="5">
        <f>DATE(2012,12,31)-324</f>
        <v>40950</v>
      </c>
      <c r="D2439" s="4" t="s">
        <v>30</v>
      </c>
      <c r="E2439" s="4">
        <v>31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2">C2439+1</f>
        <v>40951</v>
      </c>
    </row>
    <row r="2440" spans="1:21" ht="12" customHeight="1">
      <c r="A2440" s="4">
        <v>7726</v>
      </c>
      <c r="B2440" s="4">
        <v>55361</v>
      </c>
      <c r="C2440" s="5">
        <f t="shared" ref="C2440:C2441" si="1023">DATE(2012,12,31)-649</f>
        <v>40625</v>
      </c>
      <c r="D2440" s="4" t="s">
        <v>45</v>
      </c>
      <c r="E2440" s="4">
        <v>22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4.8600000000000003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2"/>
        <v>40626</v>
      </c>
    </row>
    <row r="2441" spans="1:21" ht="12" customHeight="1">
      <c r="A2441" s="4">
        <v>7727</v>
      </c>
      <c r="B2441" s="4">
        <v>55361</v>
      </c>
      <c r="C2441" s="5">
        <f t="shared" si="1023"/>
        <v>40625</v>
      </c>
      <c r="D2441" s="4" t="s">
        <v>45</v>
      </c>
      <c r="E2441" s="4">
        <v>31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9.3800000000000008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0.56999999999999995</v>
      </c>
      <c r="U2441" s="5">
        <f t="shared" si="1022"/>
        <v>40626</v>
      </c>
    </row>
    <row r="2442" spans="1:21" ht="12" customHeight="1">
      <c r="A2442" s="4">
        <v>7865</v>
      </c>
      <c r="B2442" s="4">
        <v>56257</v>
      </c>
      <c r="C2442" s="5">
        <f>DATE(2012,12,31)-479</f>
        <v>40795</v>
      </c>
      <c r="D2442" s="4" t="s">
        <v>63</v>
      </c>
      <c r="E2442" s="4">
        <v>49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2"/>
        <v>40796</v>
      </c>
    </row>
    <row r="2443" spans="1:21" ht="12" customHeight="1">
      <c r="A2443" s="4">
        <v>7972</v>
      </c>
      <c r="B2443" s="4">
        <v>57029</v>
      </c>
      <c r="C2443" s="5">
        <f t="shared" ref="C2443:C2444" si="1024">DATE(2012,12,31)-664</f>
        <v>40610</v>
      </c>
      <c r="D2443" s="4" t="s">
        <v>78</v>
      </c>
      <c r="E2443" s="4">
        <v>17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2"/>
        <v>40611</v>
      </c>
    </row>
    <row r="2444" spans="1:21" ht="12" customHeight="1">
      <c r="A2444" s="4">
        <v>7973</v>
      </c>
      <c r="B2444" s="4">
        <v>57029</v>
      </c>
      <c r="C2444" s="5">
        <f t="shared" si="1024"/>
        <v>40610</v>
      </c>
      <c r="D2444" s="4" t="s">
        <v>78</v>
      </c>
      <c r="E2444" s="4">
        <v>4</v>
      </c>
      <c r="F2444" s="4">
        <v>23.23</v>
      </c>
      <c r="G2444" s="4">
        <v>0.09</v>
      </c>
      <c r="H2444" s="4" t="s">
        <v>22</v>
      </c>
      <c r="I2444" s="6">
        <v>-19.059999999999999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2"/>
        <v>40611</v>
      </c>
    </row>
    <row r="2445" spans="1:21" ht="12" customHeight="1">
      <c r="A2445" s="4">
        <v>8134</v>
      </c>
      <c r="B2445" s="4">
        <v>58145</v>
      </c>
      <c r="C2445" s="5">
        <f>DATE(2012,12,31)-229</f>
        <v>41045</v>
      </c>
      <c r="D2445" s="4" t="s">
        <v>63</v>
      </c>
      <c r="E2445" s="4">
        <v>33</v>
      </c>
      <c r="F2445" s="4">
        <v>203.49</v>
      </c>
      <c r="G2445" s="4">
        <v>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spans="1:21" ht="12" customHeight="1">
      <c r="A2446" s="4">
        <v>8207</v>
      </c>
      <c r="B2446" s="4">
        <v>58659</v>
      </c>
      <c r="C2446" s="5">
        <f>DATE(2012,12,31)-799</f>
        <v>40475</v>
      </c>
      <c r="D2446" s="4" t="s">
        <v>30</v>
      </c>
      <c r="E2446" s="4">
        <v>2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5">C2446+2</f>
        <v>40477</v>
      </c>
    </row>
    <row r="2447" spans="1:21" ht="12" customHeight="1">
      <c r="A2447" s="4">
        <v>44</v>
      </c>
      <c r="B2447" s="4">
        <v>258</v>
      </c>
      <c r="C2447" s="5">
        <f>DATE(2012,12,31)-734</f>
        <v>40540</v>
      </c>
      <c r="D2447" s="4" t="s">
        <v>78</v>
      </c>
      <c r="E2447" s="4">
        <v>33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5"/>
        <v>40542</v>
      </c>
    </row>
    <row r="2448" spans="1:21" ht="12" customHeight="1">
      <c r="A2448" s="4">
        <v>153</v>
      </c>
      <c r="B2448" s="4">
        <v>964</v>
      </c>
      <c r="C2448" s="5">
        <f>DATE(2012,12,31)-592</f>
        <v>40682</v>
      </c>
      <c r="D2448" s="4" t="s">
        <v>63</v>
      </c>
      <c r="E2448" s="4">
        <v>50</v>
      </c>
      <c r="F2448" s="4">
        <v>315.02</v>
      </c>
      <c r="G2448" s="4">
        <v>0.02</v>
      </c>
      <c r="H2448" s="4" t="s">
        <v>22</v>
      </c>
      <c r="I2448" s="6">
        <v>95.157499999999999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5"/>
        <v>40684</v>
      </c>
    </row>
    <row r="2449" spans="1:21" ht="12" customHeight="1">
      <c r="A2449" s="4">
        <v>177</v>
      </c>
      <c r="B2449" s="4">
        <v>1154</v>
      </c>
      <c r="C2449" s="5">
        <f t="shared" ref="C2449:C2450" si="1026">DATE(2012,12,31)-321</f>
        <v>40953</v>
      </c>
      <c r="D2449" s="4" t="s">
        <v>78</v>
      </c>
      <c r="E2449" s="4">
        <v>23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5"/>
        <v>40955</v>
      </c>
    </row>
    <row r="2450" spans="1:21" ht="12" customHeight="1">
      <c r="A2450" s="4">
        <v>227</v>
      </c>
      <c r="B2450" s="4">
        <v>1537</v>
      </c>
      <c r="C2450" s="5">
        <f t="shared" si="1026"/>
        <v>40953</v>
      </c>
      <c r="D2450" s="4" t="s">
        <v>45</v>
      </c>
      <c r="E2450" s="4">
        <v>5</v>
      </c>
      <c r="F2450" s="4">
        <v>16.600000000000001</v>
      </c>
      <c r="G2450" s="4">
        <v>7.0000000000000007E-2</v>
      </c>
      <c r="H2450" s="4" t="s">
        <v>22</v>
      </c>
      <c r="I2450" s="6">
        <v>-20.297499999999999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spans="1:21" ht="12" customHeight="1">
      <c r="A2451" s="4">
        <v>650</v>
      </c>
      <c r="B2451" s="4">
        <v>4580</v>
      </c>
      <c r="C2451" s="5">
        <f>DATE(2012,12,31)-778</f>
        <v>40496</v>
      </c>
      <c r="D2451" s="4" t="s">
        <v>45</v>
      </c>
      <c r="E2451" s="4">
        <v>28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spans="1:21" ht="12" customHeight="1">
      <c r="A2452" s="4">
        <v>1101</v>
      </c>
      <c r="B2452" s="4">
        <v>8097</v>
      </c>
      <c r="C2452" s="5">
        <f>DATE(2012,12,31)-753</f>
        <v>40521</v>
      </c>
      <c r="D2452" s="4" t="s">
        <v>63</v>
      </c>
      <c r="E2452" s="4">
        <v>48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19.989999999999998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7">C2452+2</f>
        <v>40523</v>
      </c>
    </row>
    <row r="2453" spans="1:21" ht="12" customHeight="1">
      <c r="A2453" s="4">
        <v>1186</v>
      </c>
      <c r="B2453" s="4">
        <v>8677</v>
      </c>
      <c r="C2453" s="5">
        <f>DATE(2012,12,31)-85</f>
        <v>41189</v>
      </c>
      <c r="D2453" s="4" t="s">
        <v>30</v>
      </c>
      <c r="E2453" s="4">
        <v>38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0.55000000000000004</v>
      </c>
      <c r="U2453" s="5">
        <f t="shared" si="1027"/>
        <v>41191</v>
      </c>
    </row>
    <row r="2454" spans="1:21" ht="12" customHeight="1">
      <c r="A2454" s="4">
        <v>1238</v>
      </c>
      <c r="B2454" s="4">
        <v>9024</v>
      </c>
      <c r="C2454" s="5">
        <f>DATE(2012,12,31)-212</f>
        <v>41062</v>
      </c>
      <c r="D2454" s="4" t="s">
        <v>63</v>
      </c>
      <c r="E2454" s="4">
        <v>2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spans="1:21" ht="12" customHeight="1">
      <c r="A2455" s="4">
        <v>1392</v>
      </c>
      <c r="B2455" s="4">
        <v>10114</v>
      </c>
      <c r="C2455" s="5">
        <f>DATE(2012,12,31)-1057</f>
        <v>40217</v>
      </c>
      <c r="D2455" s="4" t="s">
        <v>78</v>
      </c>
      <c r="E2455" s="4">
        <v>39</v>
      </c>
      <c r="F2455" s="4">
        <v>147.88</v>
      </c>
      <c r="G2455" s="4">
        <v>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8">C2455+2</f>
        <v>40219</v>
      </c>
    </row>
    <row r="2456" spans="1:21" ht="12" customHeight="1">
      <c r="A2456" s="4">
        <v>1557</v>
      </c>
      <c r="B2456" s="4">
        <v>11236</v>
      </c>
      <c r="C2456" s="5">
        <f>DATE(2012,12,31)-793</f>
        <v>40481</v>
      </c>
      <c r="D2456" s="4" t="s">
        <v>30</v>
      </c>
      <c r="E2456" s="4">
        <v>4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0.56999999999999995</v>
      </c>
      <c r="U2456" s="5">
        <f t="shared" si="1028"/>
        <v>40483</v>
      </c>
    </row>
    <row r="2457" spans="1:21" ht="12" customHeight="1">
      <c r="A2457" s="4">
        <v>1616</v>
      </c>
      <c r="B2457" s="4">
        <v>11687</v>
      </c>
      <c r="C2457" s="5">
        <f>DATE(2012,12,31)-372</f>
        <v>40902</v>
      </c>
      <c r="D2457" s="4" t="s">
        <v>30</v>
      </c>
      <c r="E2457" s="4">
        <v>26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spans="1:21" ht="12" customHeight="1">
      <c r="A2458" s="4">
        <v>1768</v>
      </c>
      <c r="B2458" s="4">
        <v>12643</v>
      </c>
      <c r="C2458" s="5">
        <f>DATE(2012,12,31)-1018</f>
        <v>40256</v>
      </c>
      <c r="D2458" s="4" t="s">
        <v>21</v>
      </c>
      <c r="E2458" s="4">
        <v>22</v>
      </c>
      <c r="F2458" s="4">
        <v>345.69</v>
      </c>
      <c r="G2458" s="4">
        <v>0.02</v>
      </c>
      <c r="H2458" s="4" t="s">
        <v>22</v>
      </c>
      <c r="I2458" s="6">
        <v>143.22999999999999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spans="1:21" ht="12" customHeight="1">
      <c r="A2459" s="4">
        <v>1821</v>
      </c>
      <c r="B2459" s="4">
        <v>13089</v>
      </c>
      <c r="C2459" s="5">
        <f>DATE(2012,12,31)-383</f>
        <v>40891</v>
      </c>
      <c r="D2459" s="4" t="s">
        <v>45</v>
      </c>
      <c r="E2459" s="4">
        <v>34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spans="1:21" ht="12" customHeight="1">
      <c r="A2460" s="4">
        <v>2572</v>
      </c>
      <c r="B2460" s="4">
        <v>18562</v>
      </c>
      <c r="C2460" s="5">
        <f>DATE(2012,12,31)-377</f>
        <v>40897</v>
      </c>
      <c r="D2460" s="4" t="s">
        <v>78</v>
      </c>
      <c r="E2460" s="4">
        <v>41</v>
      </c>
      <c r="F2460" s="4">
        <v>160.11000000000001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spans="1:21" ht="12" customHeight="1">
      <c r="A2461" s="4">
        <v>2876</v>
      </c>
      <c r="B2461" s="4">
        <v>20737</v>
      </c>
      <c r="C2461" s="5">
        <f>DATE(2012,12,31)-372</f>
        <v>40902</v>
      </c>
      <c r="D2461" s="4" t="s">
        <v>63</v>
      </c>
      <c r="E2461" s="4">
        <v>10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140.97999999999999</v>
      </c>
      <c r="K2461" s="4">
        <v>36.090000000000003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spans="1:21" ht="12" customHeight="1">
      <c r="A2462" s="4">
        <v>2896</v>
      </c>
      <c r="B2462" s="4">
        <v>20900</v>
      </c>
      <c r="C2462" s="5">
        <f>DATE(2012,12,31)-768</f>
        <v>40506</v>
      </c>
      <c r="D2462" s="4" t="s">
        <v>21</v>
      </c>
      <c r="E2462" s="4">
        <v>50</v>
      </c>
      <c r="F2462" s="4">
        <v>1978.3664999999999</v>
      </c>
      <c r="G2462" s="4">
        <v>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0.56999999999999995</v>
      </c>
      <c r="U2462" s="5">
        <f>C2462+2</f>
        <v>40508</v>
      </c>
    </row>
    <row r="2463" spans="1:21" ht="12" customHeight="1">
      <c r="A2463" s="4">
        <v>3729</v>
      </c>
      <c r="B2463" s="4">
        <v>26658</v>
      </c>
      <c r="C2463" s="5">
        <f>DATE(2012,12,31)-375</f>
        <v>40899</v>
      </c>
      <c r="D2463" s="4" t="s">
        <v>30</v>
      </c>
      <c r="E2463" s="4">
        <v>17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spans="1:21" ht="12" customHeight="1">
      <c r="A2464" s="4">
        <v>3826</v>
      </c>
      <c r="B2464" s="4">
        <v>27271</v>
      </c>
      <c r="C2464" s="5">
        <f>DATE(2012,12,31)-474</f>
        <v>40800</v>
      </c>
      <c r="D2464" s="4" t="s">
        <v>45</v>
      </c>
      <c r="E2464" s="4">
        <v>8</v>
      </c>
      <c r="F2464" s="4">
        <v>301.57</v>
      </c>
      <c r="G2464" s="4">
        <v>0</v>
      </c>
      <c r="H2464" s="4" t="s">
        <v>31</v>
      </c>
      <c r="I2464" s="6">
        <v>-77.31</v>
      </c>
      <c r="J2464" s="4">
        <v>33.94</v>
      </c>
      <c r="K2464" s="4">
        <v>19.190000000000001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0.57999999999999996</v>
      </c>
      <c r="U2464" s="5">
        <f t="shared" ref="U2464:U2467" si="1029">C2464+1</f>
        <v>40801</v>
      </c>
    </row>
    <row r="2465" spans="1:21" ht="12" customHeight="1">
      <c r="A2465" s="4">
        <v>4113</v>
      </c>
      <c r="B2465" s="4">
        <v>29280</v>
      </c>
      <c r="C2465" s="5">
        <f>DATE(2012,12,31)-278</f>
        <v>40996</v>
      </c>
      <c r="D2465" s="4" t="s">
        <v>63</v>
      </c>
      <c r="E2465" s="4">
        <v>19</v>
      </c>
      <c r="F2465" s="4">
        <v>238.35</v>
      </c>
      <c r="G2465" s="4">
        <v>0</v>
      </c>
      <c r="H2465" s="4" t="s">
        <v>22</v>
      </c>
      <c r="I2465" s="6">
        <v>-64.510000000000005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0.57999999999999996</v>
      </c>
      <c r="U2465" s="5">
        <f t="shared" si="1029"/>
        <v>40997</v>
      </c>
    </row>
    <row r="2466" spans="1:21" ht="12" customHeight="1">
      <c r="A2466" s="4">
        <v>4179</v>
      </c>
      <c r="B2466" s="4">
        <v>29666</v>
      </c>
      <c r="C2466" s="5">
        <f>DATE(2012,12,31)-367</f>
        <v>40907</v>
      </c>
      <c r="D2466" s="4" t="s">
        <v>45</v>
      </c>
      <c r="E2466" s="4">
        <v>29</v>
      </c>
      <c r="F2466" s="4">
        <v>155.86000000000001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29"/>
        <v>40908</v>
      </c>
    </row>
    <row r="2467" spans="1:21" ht="12" customHeight="1">
      <c r="A2467" s="4">
        <v>4182</v>
      </c>
      <c r="B2467" s="4">
        <v>29700</v>
      </c>
      <c r="C2467" s="5">
        <f>DATE(2012,12,31)-1000</f>
        <v>40274</v>
      </c>
      <c r="D2467" s="4" t="s">
        <v>63</v>
      </c>
      <c r="E2467" s="4">
        <v>9</v>
      </c>
      <c r="F2467" s="4">
        <v>30.35</v>
      </c>
      <c r="G2467" s="4">
        <v>0.01</v>
      </c>
      <c r="H2467" s="4" t="s">
        <v>22</v>
      </c>
      <c r="I2467" s="6">
        <v>5.0199999999999996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29"/>
        <v>40275</v>
      </c>
    </row>
    <row r="2468" spans="1:21" ht="12" customHeight="1">
      <c r="A2468" s="4">
        <v>4315</v>
      </c>
      <c r="B2468" s="4">
        <v>30754</v>
      </c>
      <c r="C2468" s="5">
        <f>DATE(2012,12,31)-767</f>
        <v>40507</v>
      </c>
      <c r="D2468" s="4" t="s">
        <v>21</v>
      </c>
      <c r="E2468" s="4">
        <v>20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spans="1:21" ht="12" customHeight="1">
      <c r="A2469" s="4">
        <v>4443</v>
      </c>
      <c r="B2469" s="4">
        <v>31650</v>
      </c>
      <c r="C2469" s="5">
        <f>DATE(2012,12,31)-873</f>
        <v>40401</v>
      </c>
      <c r="D2469" s="4" t="s">
        <v>45</v>
      </c>
      <c r="E2469" s="4">
        <v>19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77.510000000000005</v>
      </c>
      <c r="K2469" s="4">
        <v>4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spans="1:21" ht="12" customHeight="1">
      <c r="A2470" s="4">
        <v>4538</v>
      </c>
      <c r="B2470" s="4">
        <v>32292</v>
      </c>
      <c r="C2470" s="5">
        <f>DATE(2012,12,31)-320</f>
        <v>40954</v>
      </c>
      <c r="D2470" s="4" t="s">
        <v>21</v>
      </c>
      <c r="E2470" s="4">
        <v>49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0.56999999999999995</v>
      </c>
      <c r="U2470" s="5">
        <f t="shared" ref="U2470:U2471" si="1030">C2470+7</f>
        <v>40961</v>
      </c>
    </row>
    <row r="2471" spans="1:21" ht="12" customHeight="1">
      <c r="A2471" s="4">
        <v>4950</v>
      </c>
      <c r="B2471" s="4">
        <v>35201</v>
      </c>
      <c r="C2471" s="5">
        <f>DATE(2012,12,31)-941</f>
        <v>40333</v>
      </c>
      <c r="D2471" s="4" t="s">
        <v>21</v>
      </c>
      <c r="E2471" s="4">
        <v>18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0"/>
        <v>40340</v>
      </c>
    </row>
    <row r="2472" spans="1:21" ht="12" customHeight="1">
      <c r="A2472" s="4">
        <v>4967</v>
      </c>
      <c r="B2472" s="4">
        <v>35360</v>
      </c>
      <c r="C2472" s="5">
        <f>DATE(2012,12,31)-623</f>
        <v>40651</v>
      </c>
      <c r="D2472" s="4" t="s">
        <v>78</v>
      </c>
      <c r="E2472" s="4">
        <v>4</v>
      </c>
      <c r="F2472" s="4">
        <v>41.06</v>
      </c>
      <c r="G2472" s="4">
        <v>0.04</v>
      </c>
      <c r="H2472" s="4" t="s">
        <v>22</v>
      </c>
      <c r="I2472" s="6">
        <v>-16.387499999999999</v>
      </c>
      <c r="J2472" s="4">
        <v>8.8800000000000008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1">C2472+2</f>
        <v>40653</v>
      </c>
    </row>
    <row r="2473" spans="1:21" ht="12" customHeight="1">
      <c r="A2473" s="4">
        <v>4989</v>
      </c>
      <c r="B2473" s="4">
        <v>35492</v>
      </c>
      <c r="C2473" s="5">
        <f>DATE(2012,12,31)-325</f>
        <v>40949</v>
      </c>
      <c r="D2473" s="4" t="s">
        <v>63</v>
      </c>
      <c r="E2473" s="4">
        <v>36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4.9800000000000004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1"/>
        <v>40951</v>
      </c>
    </row>
    <row r="2474" spans="1:21" ht="12" customHeight="1">
      <c r="A2474" s="4">
        <v>5515</v>
      </c>
      <c r="B2474" s="4">
        <v>39079</v>
      </c>
      <c r="C2474" s="5">
        <f>DATE(2012,12,31)-481</f>
        <v>40793</v>
      </c>
      <c r="D2474" s="4" t="s">
        <v>30</v>
      </c>
      <c r="E2474" s="4">
        <v>46</v>
      </c>
      <c r="F2474" s="4">
        <v>75.599999999999994</v>
      </c>
      <c r="G2474" s="4">
        <v>0.09</v>
      </c>
      <c r="H2474" s="4" t="s">
        <v>22</v>
      </c>
      <c r="I2474" s="6">
        <v>-225.25049999999999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spans="1:21" ht="12" customHeight="1">
      <c r="A2475" s="4">
        <v>5541</v>
      </c>
      <c r="B2475" s="4">
        <v>39266</v>
      </c>
      <c r="C2475" s="5">
        <f>DATE(2012,12,31)-126</f>
        <v>41148</v>
      </c>
      <c r="D2475" s="4" t="s">
        <v>30</v>
      </c>
      <c r="E2475" s="4">
        <v>14</v>
      </c>
      <c r="F2475" s="4">
        <v>36.409999999999997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spans="1:21" ht="12" customHeight="1">
      <c r="A2476" s="4">
        <v>6425</v>
      </c>
      <c r="B2476" s="4">
        <v>45670</v>
      </c>
      <c r="C2476" s="5">
        <f>DATE(2012,12,31)-146</f>
        <v>41128</v>
      </c>
      <c r="D2476" s="4" t="s">
        <v>21</v>
      </c>
      <c r="E2476" s="4">
        <v>2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spans="1:21" ht="12" customHeight="1">
      <c r="A2477" s="4">
        <v>6542</v>
      </c>
      <c r="B2477" s="4">
        <v>46531</v>
      </c>
      <c r="C2477" s="5">
        <f>DATE(2012,12,31)-498</f>
        <v>40776</v>
      </c>
      <c r="D2477" s="4" t="s">
        <v>21</v>
      </c>
      <c r="E2477" s="4">
        <v>23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2">C2477+0</f>
        <v>40776</v>
      </c>
    </row>
    <row r="2478" spans="1:21" ht="12" customHeight="1">
      <c r="A2478" s="4">
        <v>6713</v>
      </c>
      <c r="B2478" s="4">
        <v>47842</v>
      </c>
      <c r="C2478" s="5">
        <f>DATE(2012,12,31)-964</f>
        <v>40310</v>
      </c>
      <c r="D2478" s="4" t="s">
        <v>63</v>
      </c>
      <c r="E2478" s="4">
        <v>50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2"/>
        <v>40310</v>
      </c>
    </row>
    <row r="2479" spans="1:21" ht="12" customHeight="1">
      <c r="A2479" s="4">
        <v>6819</v>
      </c>
      <c r="B2479" s="4">
        <v>48548</v>
      </c>
      <c r="C2479" s="5">
        <f>DATE(2012,12,31)-646</f>
        <v>40628</v>
      </c>
      <c r="D2479" s="4" t="s">
        <v>78</v>
      </c>
      <c r="E2479" s="4">
        <v>3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0.56000000000000005</v>
      </c>
      <c r="U2479" s="5">
        <f>C2479+1</f>
        <v>40629</v>
      </c>
    </row>
    <row r="2480" spans="1:21" ht="12" customHeight="1">
      <c r="A2480" s="4">
        <v>7115</v>
      </c>
      <c r="B2480" s="4">
        <v>50759</v>
      </c>
      <c r="C2480" s="5">
        <f>DATE(2012,12,31)-1018</f>
        <v>40256</v>
      </c>
      <c r="D2480" s="4" t="s">
        <v>21</v>
      </c>
      <c r="E2480" s="4">
        <v>46</v>
      </c>
      <c r="F2480" s="4">
        <v>2422.721</v>
      </c>
      <c r="G2480" s="4">
        <v>0.1</v>
      </c>
      <c r="H2480" s="4" t="s">
        <v>22</v>
      </c>
      <c r="I2480" s="6">
        <v>366.18299999999999</v>
      </c>
      <c r="J2480" s="4">
        <v>65.989999999999995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0.56000000000000005</v>
      </c>
      <c r="U2480" s="5">
        <f>C2480+5</f>
        <v>40261</v>
      </c>
    </row>
    <row r="2481" spans="1:21" ht="12" customHeight="1">
      <c r="A2481" s="4">
        <v>7229</v>
      </c>
      <c r="B2481" s="4">
        <v>51556</v>
      </c>
      <c r="C2481" s="5">
        <f>DATE(2012,12,31)-65</f>
        <v>41209</v>
      </c>
      <c r="D2481" s="4" t="s">
        <v>30</v>
      </c>
      <c r="E2481" s="4">
        <v>10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spans="1:21" ht="12" customHeight="1">
      <c r="A2482" s="4">
        <v>7240</v>
      </c>
      <c r="B2482" s="4">
        <v>51620</v>
      </c>
      <c r="C2482" s="5">
        <f>DATE(2012,12,31)-298</f>
        <v>40976</v>
      </c>
      <c r="D2482" s="4" t="s">
        <v>63</v>
      </c>
      <c r="E2482" s="4">
        <v>12</v>
      </c>
      <c r="F2482" s="4">
        <v>173.97</v>
      </c>
      <c r="G2482" s="4">
        <v>0.03</v>
      </c>
      <c r="H2482" s="4" t="s">
        <v>22</v>
      </c>
      <c r="I2482" s="6">
        <v>-2.5499999999999998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spans="1:21" ht="12" customHeight="1">
      <c r="A2483" s="4">
        <v>7406</v>
      </c>
      <c r="B2483" s="4">
        <v>52837</v>
      </c>
      <c r="C2483" s="5">
        <f>DATE(2012,12,31)-348</f>
        <v>40926</v>
      </c>
      <c r="D2483" s="4" t="s">
        <v>78</v>
      </c>
      <c r="E2483" s="4">
        <v>32</v>
      </c>
      <c r="F2483" s="4">
        <v>5934.39</v>
      </c>
      <c r="G2483" s="4">
        <v>0.08</v>
      </c>
      <c r="H2483" s="4" t="s">
        <v>22</v>
      </c>
      <c r="I2483" s="6">
        <v>519.54999999999995</v>
      </c>
      <c r="J2483" s="4">
        <v>193.17</v>
      </c>
      <c r="K2483" s="4">
        <v>19.989999999999998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spans="1:21" ht="12" customHeight="1">
      <c r="A2484" s="4">
        <v>7629</v>
      </c>
      <c r="B2484" s="4">
        <v>54592</v>
      </c>
      <c r="C2484" s="5">
        <f>DATE(2012,12,31)-568</f>
        <v>40706</v>
      </c>
      <c r="D2484" s="4" t="s">
        <v>21</v>
      </c>
      <c r="E2484" s="4">
        <v>28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spans="1:21" ht="12" customHeight="1">
      <c r="A2485" s="4">
        <v>7700</v>
      </c>
      <c r="B2485" s="4">
        <v>55202</v>
      </c>
      <c r="C2485" s="5">
        <f>DATE(2012,12,31)-495</f>
        <v>40779</v>
      </c>
      <c r="D2485" s="4" t="s">
        <v>21</v>
      </c>
      <c r="E2485" s="4">
        <v>33</v>
      </c>
      <c r="F2485" s="4">
        <v>3093.76</v>
      </c>
      <c r="G2485" s="4">
        <v>7.0000000000000007E-2</v>
      </c>
      <c r="H2485" s="4" t="s">
        <v>56</v>
      </c>
      <c r="I2485" s="6">
        <v>-850.71</v>
      </c>
      <c r="J2485" s="4">
        <v>95.99</v>
      </c>
      <c r="K2485" s="4">
        <v>35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spans="1:21" ht="12" customHeight="1">
      <c r="A2486" s="4">
        <v>7707</v>
      </c>
      <c r="B2486" s="4">
        <v>55239</v>
      </c>
      <c r="C2486" s="5">
        <f>DATE(2012,12,31)-28</f>
        <v>41246</v>
      </c>
      <c r="D2486" s="4" t="s">
        <v>78</v>
      </c>
      <c r="E2486" s="4">
        <v>6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spans="1:21" ht="12" customHeight="1">
      <c r="A2487" s="4">
        <v>8111</v>
      </c>
      <c r="B2487" s="4">
        <v>57894</v>
      </c>
      <c r="C2487" s="5">
        <f>DATE(2012,12,31)-272</f>
        <v>41002</v>
      </c>
      <c r="D2487" s="4" t="s">
        <v>21</v>
      </c>
      <c r="E2487" s="4">
        <v>47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0.56000000000000005</v>
      </c>
      <c r="U2487" s="5">
        <f>C2487+2</f>
        <v>41004</v>
      </c>
    </row>
    <row r="2488" spans="1:21" ht="12" customHeight="1">
      <c r="A2488" s="4">
        <v>8196</v>
      </c>
      <c r="B2488" s="4">
        <v>58599</v>
      </c>
      <c r="C2488" s="5">
        <f>DATE(2012,12,31)-1082</f>
        <v>40192</v>
      </c>
      <c r="D2488" s="4" t="s">
        <v>78</v>
      </c>
      <c r="E2488" s="4">
        <v>19</v>
      </c>
      <c r="F2488" s="4">
        <v>2328.62</v>
      </c>
      <c r="G2488" s="4">
        <v>0</v>
      </c>
      <c r="H2488" s="4" t="s">
        <v>31</v>
      </c>
      <c r="I2488" s="6">
        <v>45.54</v>
      </c>
      <c r="J2488" s="4">
        <v>120.98</v>
      </c>
      <c r="K2488" s="4">
        <v>30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3">C2488+1</f>
        <v>40193</v>
      </c>
    </row>
    <row r="2489" spans="1:21" ht="12" customHeight="1">
      <c r="A2489" s="4">
        <v>22</v>
      </c>
      <c r="B2489" s="4">
        <v>132</v>
      </c>
      <c r="C2489" s="5">
        <f>DATE(2012,12,31)-935</f>
        <v>40339</v>
      </c>
      <c r="D2489" s="4" t="s">
        <v>63</v>
      </c>
      <c r="E2489" s="4">
        <v>27</v>
      </c>
      <c r="F2489" s="4">
        <v>192.81399999999999</v>
      </c>
      <c r="G2489" s="4">
        <v>0.03</v>
      </c>
      <c r="H2489" s="4" t="s">
        <v>22</v>
      </c>
      <c r="I2489" s="6">
        <v>-86.195999999999998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3"/>
        <v>40340</v>
      </c>
    </row>
    <row r="2490" spans="1:21" ht="12" customHeight="1">
      <c r="A2490" s="4">
        <v>182</v>
      </c>
      <c r="B2490" s="4">
        <v>1191</v>
      </c>
      <c r="C2490" s="5">
        <f>DATE(2012,12,31)-421</f>
        <v>40853</v>
      </c>
      <c r="D2490" s="4" t="s">
        <v>63</v>
      </c>
      <c r="E2490" s="4">
        <v>35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3"/>
        <v>40854</v>
      </c>
    </row>
    <row r="2491" spans="1:21" ht="12" customHeight="1">
      <c r="A2491" s="4">
        <v>285</v>
      </c>
      <c r="B2491" s="4">
        <v>1988</v>
      </c>
      <c r="C2491" s="5">
        <f>DATE(2012,12,31)-453</f>
        <v>40821</v>
      </c>
      <c r="D2491" s="4" t="s">
        <v>45</v>
      </c>
      <c r="E2491" s="4">
        <v>9</v>
      </c>
      <c r="F2491" s="4">
        <v>122.14</v>
      </c>
      <c r="G2491" s="4">
        <v>0.04</v>
      </c>
      <c r="H2491" s="4" t="s">
        <v>22</v>
      </c>
      <c r="I2491" s="6">
        <v>-16.989999999999998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spans="1:21" ht="12" customHeight="1">
      <c r="A2492" s="4">
        <v>337</v>
      </c>
      <c r="B2492" s="4">
        <v>2305</v>
      </c>
      <c r="C2492" s="5">
        <f>DATE(2012,12,31)-1071</f>
        <v>40203</v>
      </c>
      <c r="D2492" s="4" t="s">
        <v>30</v>
      </c>
      <c r="E2492" s="4">
        <v>11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19.989999999999998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spans="1:21" ht="12" customHeight="1">
      <c r="A2493" s="4">
        <v>547</v>
      </c>
      <c r="B2493" s="4">
        <v>3680</v>
      </c>
      <c r="C2493" s="5">
        <f>DATE(2012,12,31)-22</f>
        <v>41252</v>
      </c>
      <c r="D2493" s="4" t="s">
        <v>45</v>
      </c>
      <c r="E2493" s="4">
        <v>24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spans="1:21" ht="12" customHeight="1">
      <c r="A2494" s="4">
        <v>572</v>
      </c>
      <c r="B2494" s="4">
        <v>3877</v>
      </c>
      <c r="C2494" s="5">
        <f>DATE(2012,12,31)-956</f>
        <v>40318</v>
      </c>
      <c r="D2494" s="4" t="s">
        <v>21</v>
      </c>
      <c r="E2494" s="4">
        <v>14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spans="1:21" ht="12" customHeight="1">
      <c r="A2495" s="4">
        <v>589</v>
      </c>
      <c r="B2495" s="4">
        <v>4033</v>
      </c>
      <c r="C2495" s="5">
        <f>DATE(2012,12,31)-944</f>
        <v>40330</v>
      </c>
      <c r="D2495" s="4" t="s">
        <v>21</v>
      </c>
      <c r="E2495" s="4">
        <v>21</v>
      </c>
      <c r="F2495" s="4">
        <v>763.12</v>
      </c>
      <c r="G2495" s="4">
        <v>0.03</v>
      </c>
      <c r="H2495" s="4" t="s">
        <v>22</v>
      </c>
      <c r="I2495" s="6">
        <v>140.33000000000001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spans="1:21" ht="12" customHeight="1">
      <c r="A2496" s="4">
        <v>604</v>
      </c>
      <c r="B2496" s="4">
        <v>4103</v>
      </c>
      <c r="C2496" s="5">
        <f>DATE(2012,12,31)-182</f>
        <v>41092</v>
      </c>
      <c r="D2496" s="4" t="s">
        <v>21</v>
      </c>
      <c r="E2496" s="4">
        <v>3</v>
      </c>
      <c r="F2496" s="4">
        <v>42.5</v>
      </c>
      <c r="G2496" s="4">
        <v>7.0000000000000007E-2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spans="1:21" ht="12" customHeight="1">
      <c r="A2497" s="4">
        <v>637</v>
      </c>
      <c r="B2497" s="4">
        <v>4455</v>
      </c>
      <c r="C2497" s="5">
        <f>DATE(2012,12,31)-813</f>
        <v>40461</v>
      </c>
      <c r="D2497" s="4" t="s">
        <v>63</v>
      </c>
      <c r="E2497" s="4">
        <v>39</v>
      </c>
      <c r="F2497" s="4">
        <v>279.29000000000002</v>
      </c>
      <c r="G2497" s="4">
        <v>7.0000000000000007E-2</v>
      </c>
      <c r="H2497" s="4" t="s">
        <v>22</v>
      </c>
      <c r="I2497" s="6">
        <v>14.15</v>
      </c>
      <c r="J2497" s="4">
        <v>7.59</v>
      </c>
      <c r="K2497" s="4">
        <v>4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4">C2497+2</f>
        <v>40463</v>
      </c>
    </row>
    <row r="2498" spans="1:21" ht="12" customHeight="1">
      <c r="A2498" s="4">
        <v>701</v>
      </c>
      <c r="B2498" s="4">
        <v>4896</v>
      </c>
      <c r="C2498" s="5">
        <f>DATE(2012,12,31)-132</f>
        <v>41142</v>
      </c>
      <c r="D2498" s="4" t="s">
        <v>78</v>
      </c>
      <c r="E2498" s="4">
        <v>21</v>
      </c>
      <c r="F2498" s="4">
        <v>121.3</v>
      </c>
      <c r="G2498" s="4">
        <v>0.05</v>
      </c>
      <c r="H2498" s="4" t="s">
        <v>22</v>
      </c>
      <c r="I2498" s="6">
        <v>-64.871499999999997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4"/>
        <v>41144</v>
      </c>
    </row>
    <row r="2499" spans="1:21" ht="12" customHeight="1">
      <c r="A2499" s="4">
        <v>706</v>
      </c>
      <c r="B2499" s="4">
        <v>4960</v>
      </c>
      <c r="C2499" s="5">
        <f>DATE(2012,12,31)-675</f>
        <v>40599</v>
      </c>
      <c r="D2499" s="4" t="s">
        <v>21</v>
      </c>
      <c r="E2499" s="4">
        <v>4</v>
      </c>
      <c r="F2499" s="4">
        <v>40.869999999999997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4"/>
        <v>40601</v>
      </c>
    </row>
    <row r="2500" spans="1:21" ht="12" customHeight="1">
      <c r="A2500" s="4">
        <v>723</v>
      </c>
      <c r="B2500" s="4">
        <v>5189</v>
      </c>
      <c r="C2500" s="5">
        <f>DATE(2012,12,31)-767</f>
        <v>40507</v>
      </c>
      <c r="D2500" s="4" t="s">
        <v>21</v>
      </c>
      <c r="E2500" s="4">
        <v>14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19.989999999999998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4"/>
        <v>40509</v>
      </c>
    </row>
    <row r="2501" spans="1:21" ht="12" customHeight="1">
      <c r="A2501" s="4">
        <v>848</v>
      </c>
      <c r="B2501" s="4">
        <v>6086</v>
      </c>
      <c r="C2501" s="5">
        <f>DATE(2012,12,31)-466</f>
        <v>40808</v>
      </c>
      <c r="D2501" s="4" t="s">
        <v>78</v>
      </c>
      <c r="E2501" s="4">
        <v>48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19.989999999999998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4"/>
        <v>40810</v>
      </c>
    </row>
    <row r="2502" spans="1:21" ht="12" customHeight="1">
      <c r="A2502" s="4">
        <v>955</v>
      </c>
      <c r="B2502" s="4">
        <v>6912</v>
      </c>
      <c r="C2502" s="5">
        <f>DATE(2012,12,31)-387</f>
        <v>40887</v>
      </c>
      <c r="D2502" s="4" t="s">
        <v>45</v>
      </c>
      <c r="E2502" s="4">
        <v>14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4"/>
        <v>40889</v>
      </c>
    </row>
    <row r="2503" spans="1:21" ht="12" customHeight="1">
      <c r="A2503" s="4">
        <v>960</v>
      </c>
      <c r="B2503" s="4">
        <v>6950</v>
      </c>
      <c r="C2503" s="5">
        <f>DATE(2012,12,31)-280</f>
        <v>40994</v>
      </c>
      <c r="D2503" s="4" t="s">
        <v>21</v>
      </c>
      <c r="E2503" s="4">
        <v>4</v>
      </c>
      <c r="F2503" s="4">
        <v>187.39949999999999</v>
      </c>
      <c r="G2503" s="4">
        <v>0.08</v>
      </c>
      <c r="H2503" s="4" t="s">
        <v>22</v>
      </c>
      <c r="I2503" s="6">
        <v>-225.30199999999999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4"/>
        <v>40996</v>
      </c>
    </row>
    <row r="2504" spans="1:21" ht="12" customHeight="1">
      <c r="A2504" s="4">
        <v>972</v>
      </c>
      <c r="B2504" s="4">
        <v>7075</v>
      </c>
      <c r="C2504" s="5">
        <f t="shared" ref="C2504:C2505" si="1035">DATE(2012,12,31)-448</f>
        <v>40826</v>
      </c>
      <c r="D2504" s="4" t="s">
        <v>21</v>
      </c>
      <c r="E2504" s="4">
        <v>15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0.57999999999999996</v>
      </c>
      <c r="U2504" s="5">
        <f t="shared" si="1034"/>
        <v>40828</v>
      </c>
    </row>
    <row r="2505" spans="1:21" ht="12" customHeight="1">
      <c r="A2505" s="4">
        <v>973</v>
      </c>
      <c r="B2505" s="4">
        <v>7075</v>
      </c>
      <c r="C2505" s="5">
        <f t="shared" si="1035"/>
        <v>40826</v>
      </c>
      <c r="D2505" s="4" t="s">
        <v>21</v>
      </c>
      <c r="E2505" s="4">
        <v>43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spans="1:21" ht="12" customHeight="1">
      <c r="A2506" s="4">
        <v>1080</v>
      </c>
      <c r="B2506" s="4">
        <v>7938</v>
      </c>
      <c r="C2506" s="5">
        <f>DATE(2012,12,31)-1024</f>
        <v>40250</v>
      </c>
      <c r="D2506" s="4" t="s">
        <v>63</v>
      </c>
      <c r="E2506" s="4">
        <v>23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6">C2506+2</f>
        <v>40252</v>
      </c>
    </row>
    <row r="2507" spans="1:21" ht="12" customHeight="1">
      <c r="A2507" s="4">
        <v>1099</v>
      </c>
      <c r="B2507" s="4">
        <v>8065</v>
      </c>
      <c r="C2507" s="5">
        <f>DATE(2012,12,31)-71</f>
        <v>41203</v>
      </c>
      <c r="D2507" s="4" t="s">
        <v>63</v>
      </c>
      <c r="E2507" s="4">
        <v>17</v>
      </c>
      <c r="F2507" s="4">
        <v>1125.76</v>
      </c>
      <c r="G2507" s="4">
        <v>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6"/>
        <v>41205</v>
      </c>
    </row>
    <row r="2508" spans="1:21" ht="12" customHeight="1">
      <c r="A2508" s="4">
        <v>1135</v>
      </c>
      <c r="B2508" s="4">
        <v>8292</v>
      </c>
      <c r="C2508" s="5">
        <f>DATE(2012,12,31)-1064</f>
        <v>40210</v>
      </c>
      <c r="D2508" s="4" t="s">
        <v>45</v>
      </c>
      <c r="E2508" s="4">
        <v>18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spans="1:21" ht="12" customHeight="1">
      <c r="A2509" s="4">
        <v>1166</v>
      </c>
      <c r="B2509" s="4">
        <v>8513</v>
      </c>
      <c r="C2509" s="5">
        <f>DATE(2012,12,31)-535</f>
        <v>40739</v>
      </c>
      <c r="D2509" s="4" t="s">
        <v>21</v>
      </c>
      <c r="E2509" s="4">
        <v>8</v>
      </c>
      <c r="F2509" s="4">
        <v>84.64</v>
      </c>
      <c r="G2509" s="4">
        <v>0</v>
      </c>
      <c r="H2509" s="4" t="s">
        <v>56</v>
      </c>
      <c r="I2509" s="6">
        <v>-9.2899999999999991</v>
      </c>
      <c r="J2509" s="4">
        <v>8.6199999999999992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spans="1:21" ht="12" customHeight="1">
      <c r="A2510" s="4">
        <v>1240</v>
      </c>
      <c r="B2510" s="4">
        <v>9024</v>
      </c>
      <c r="C2510" s="5">
        <f>DATE(2012,12,31)-212</f>
        <v>41062</v>
      </c>
      <c r="D2510" s="4" t="s">
        <v>63</v>
      </c>
      <c r="E2510" s="4">
        <v>30</v>
      </c>
      <c r="F2510" s="4">
        <v>1136.44</v>
      </c>
      <c r="G2510" s="4">
        <v>0.09</v>
      </c>
      <c r="H2510" s="4" t="s">
        <v>22</v>
      </c>
      <c r="I2510" s="6">
        <v>-9.2999999999999687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spans="1:21" ht="12" customHeight="1">
      <c r="A2511" s="4">
        <v>1444</v>
      </c>
      <c r="B2511" s="4">
        <v>10436</v>
      </c>
      <c r="C2511" s="5">
        <f>DATE(2012,12,31)-729</f>
        <v>40545</v>
      </c>
      <c r="D2511" s="4" t="s">
        <v>21</v>
      </c>
      <c r="E2511" s="4">
        <v>24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spans="1:21" ht="12" customHeight="1">
      <c r="A2512" s="4">
        <v>1491</v>
      </c>
      <c r="B2512" s="4">
        <v>10752</v>
      </c>
      <c r="C2512" s="5">
        <f>DATE(2012,12,31)-478</f>
        <v>40796</v>
      </c>
      <c r="D2512" s="4" t="s">
        <v>78</v>
      </c>
      <c r="E2512" s="4">
        <v>5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7">C2512+1</f>
        <v>40797</v>
      </c>
    </row>
    <row r="2513" spans="1:21" ht="12" customHeight="1">
      <c r="A2513" s="4">
        <v>1527</v>
      </c>
      <c r="B2513" s="4">
        <v>11011</v>
      </c>
      <c r="C2513" s="5">
        <f>DATE(2012,12,31)-232</f>
        <v>41042</v>
      </c>
      <c r="D2513" s="4" t="s">
        <v>30</v>
      </c>
      <c r="E2513" s="4">
        <v>36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7"/>
        <v>41043</v>
      </c>
    </row>
    <row r="2514" spans="1:21" ht="12" customHeight="1">
      <c r="A2514" s="4">
        <v>1558</v>
      </c>
      <c r="B2514" s="4">
        <v>11236</v>
      </c>
      <c r="C2514" s="5">
        <f>DATE(2012,12,31)-793</f>
        <v>40481</v>
      </c>
      <c r="D2514" s="4" t="s">
        <v>30</v>
      </c>
      <c r="E2514" s="4">
        <v>49</v>
      </c>
      <c r="F2514" s="4">
        <v>261.02</v>
      </c>
      <c r="G2514" s="4">
        <v>0.01</v>
      </c>
      <c r="H2514" s="4" t="s">
        <v>22</v>
      </c>
      <c r="I2514" s="6">
        <v>-94.046999999999997</v>
      </c>
      <c r="J2514" s="4">
        <v>4.9800000000000004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7"/>
        <v>40482</v>
      </c>
    </row>
    <row r="2515" spans="1:21" ht="12" customHeight="1">
      <c r="A2515" s="4">
        <v>1604</v>
      </c>
      <c r="B2515" s="4">
        <v>11650</v>
      </c>
      <c r="C2515" s="5">
        <f>DATE(2012,12,31)-98</f>
        <v>41176</v>
      </c>
      <c r="D2515" s="4" t="s">
        <v>45</v>
      </c>
      <c r="E2515" s="4">
        <v>30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7"/>
        <v>41177</v>
      </c>
    </row>
    <row r="2516" spans="1:21" ht="12" customHeight="1">
      <c r="A2516" s="4">
        <v>1628</v>
      </c>
      <c r="B2516" s="4">
        <v>11779</v>
      </c>
      <c r="C2516" s="5">
        <f t="shared" ref="C2516:C2517" si="1038">DATE(2012,12,31)-916</f>
        <v>40358</v>
      </c>
      <c r="D2516" s="4" t="s">
        <v>45</v>
      </c>
      <c r="E2516" s="4">
        <v>45</v>
      </c>
      <c r="F2516" s="4">
        <v>311.10000000000002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spans="1:21" ht="12" customHeight="1">
      <c r="A2517" s="4">
        <v>1629</v>
      </c>
      <c r="B2517" s="4">
        <v>11779</v>
      </c>
      <c r="C2517" s="5">
        <f t="shared" si="1038"/>
        <v>40358</v>
      </c>
      <c r="D2517" s="4" t="s">
        <v>45</v>
      </c>
      <c r="E2517" s="4">
        <v>43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spans="1:21" ht="12" customHeight="1">
      <c r="A2518" s="4">
        <v>1748</v>
      </c>
      <c r="B2518" s="4">
        <v>12515</v>
      </c>
      <c r="C2518" s="5">
        <f>DATE(2012,12,31)-963</f>
        <v>40311</v>
      </c>
      <c r="D2518" s="4" t="s">
        <v>63</v>
      </c>
      <c r="E2518" s="4">
        <v>16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0.56000000000000005</v>
      </c>
      <c r="U2518" s="5">
        <f>C2518+3</f>
        <v>40314</v>
      </c>
    </row>
    <row r="2519" spans="1:21" ht="12" customHeight="1">
      <c r="A2519" s="4">
        <v>1754</v>
      </c>
      <c r="B2519" s="4">
        <v>12580</v>
      </c>
      <c r="C2519" s="5">
        <f>DATE(2012,12,31)-1083</f>
        <v>40191</v>
      </c>
      <c r="D2519" s="4" t="s">
        <v>21</v>
      </c>
      <c r="E2519" s="4">
        <v>43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0.56000000000000005</v>
      </c>
      <c r="U2519" s="5">
        <f>C2519+2</f>
        <v>40193</v>
      </c>
    </row>
    <row r="2520" spans="1:21" ht="12" customHeight="1">
      <c r="A2520" s="4">
        <v>1795</v>
      </c>
      <c r="B2520" s="4">
        <v>12868</v>
      </c>
      <c r="C2520" s="5">
        <f>DATE(2012,12,31)-671</f>
        <v>40603</v>
      </c>
      <c r="D2520" s="4" t="s">
        <v>78</v>
      </c>
      <c r="E2520" s="4">
        <v>31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0.56000000000000005</v>
      </c>
      <c r="U2520" s="5">
        <f t="shared" ref="U2520:U2521" si="1039">C2520+1</f>
        <v>40604</v>
      </c>
    </row>
    <row r="2521" spans="1:21" ht="12" customHeight="1">
      <c r="A2521" s="4">
        <v>1809</v>
      </c>
      <c r="B2521" s="4">
        <v>12931</v>
      </c>
      <c r="C2521" s="5">
        <f>DATE(2012,12,31)-251</f>
        <v>41023</v>
      </c>
      <c r="D2521" s="4" t="s">
        <v>63</v>
      </c>
      <c r="E2521" s="4">
        <v>11</v>
      </c>
      <c r="F2521" s="4">
        <v>653.91999999999996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9.7100000000000009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0.56999999999999995</v>
      </c>
      <c r="U2521" s="5">
        <f t="shared" si="1039"/>
        <v>41024</v>
      </c>
    </row>
    <row r="2522" spans="1:21" ht="12" customHeight="1">
      <c r="A2522" s="4">
        <v>1815</v>
      </c>
      <c r="B2522" s="4">
        <v>13027</v>
      </c>
      <c r="C2522" s="5">
        <f>DATE(2012,12,31)-351</f>
        <v>40923</v>
      </c>
      <c r="D2522" s="4" t="s">
        <v>78</v>
      </c>
      <c r="E2522" s="4">
        <v>42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0">C2522+2</f>
        <v>40925</v>
      </c>
    </row>
    <row r="2523" spans="1:21" ht="12" customHeight="1">
      <c r="A2523" s="4">
        <v>1873</v>
      </c>
      <c r="B2523" s="4">
        <v>13476</v>
      </c>
      <c r="C2523" s="5">
        <f>DATE(2012,12,31)-807</f>
        <v>40467</v>
      </c>
      <c r="D2523" s="4" t="s">
        <v>45</v>
      </c>
      <c r="E2523" s="4">
        <v>47</v>
      </c>
      <c r="F2523" s="4">
        <v>231.29</v>
      </c>
      <c r="G2523" s="4">
        <v>0.09</v>
      </c>
      <c r="H2523" s="4" t="s">
        <v>56</v>
      </c>
      <c r="I2523" s="6">
        <v>-147.85550000000001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0"/>
        <v>40469</v>
      </c>
    </row>
    <row r="2524" spans="1:21" ht="12" customHeight="1">
      <c r="A2524" s="4">
        <v>1891</v>
      </c>
      <c r="B2524" s="4">
        <v>13572</v>
      </c>
      <c r="C2524" s="5">
        <f>DATE(2012,12,31)-228</f>
        <v>41046</v>
      </c>
      <c r="D2524" s="4" t="s">
        <v>78</v>
      </c>
      <c r="E2524" s="4">
        <v>7</v>
      </c>
      <c r="F2524" s="4">
        <v>40.11</v>
      </c>
      <c r="G2524" s="4">
        <v>7.0000000000000007E-2</v>
      </c>
      <c r="H2524" s="4" t="s">
        <v>22</v>
      </c>
      <c r="I2524" s="6">
        <v>-43.71</v>
      </c>
      <c r="J2524" s="4">
        <v>5.0199999999999996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spans="1:21" ht="12" customHeight="1">
      <c r="A2525" s="4">
        <v>1916</v>
      </c>
      <c r="B2525" s="4">
        <v>13731</v>
      </c>
      <c r="C2525" s="5">
        <f>DATE(2012,12,31)-967</f>
        <v>40307</v>
      </c>
      <c r="D2525" s="4" t="s">
        <v>45</v>
      </c>
      <c r="E2525" s="4">
        <v>10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4.4800000000000004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spans="1:21" ht="12" customHeight="1">
      <c r="A2526" s="4">
        <v>2099</v>
      </c>
      <c r="B2526" s="4">
        <v>15009</v>
      </c>
      <c r="C2526" s="5">
        <f>DATE(2012,12,31)-376</f>
        <v>40898</v>
      </c>
      <c r="D2526" s="4" t="s">
        <v>45</v>
      </c>
      <c r="E2526" s="4">
        <v>46</v>
      </c>
      <c r="F2526" s="4">
        <v>1200.1300000000001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0.56999999999999995</v>
      </c>
      <c r="U2526" s="5">
        <f t="shared" ref="U2526:U2528" si="1041">C2526+2</f>
        <v>40900</v>
      </c>
    </row>
    <row r="2527" spans="1:21" ht="12" customHeight="1">
      <c r="A2527" s="4">
        <v>2152</v>
      </c>
      <c r="B2527" s="4">
        <v>15399</v>
      </c>
      <c r="C2527" s="5">
        <f>DATE(2012,12,31)-232</f>
        <v>41042</v>
      </c>
      <c r="D2527" s="4" t="s">
        <v>78</v>
      </c>
      <c r="E2527" s="4">
        <v>7</v>
      </c>
      <c r="F2527" s="4">
        <v>2202.4499999999998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1"/>
        <v>41044</v>
      </c>
    </row>
    <row r="2528" spans="1:21" ht="12" customHeight="1">
      <c r="A2528" s="4">
        <v>2218</v>
      </c>
      <c r="B2528" s="4">
        <v>16036</v>
      </c>
      <c r="C2528" s="5">
        <f t="shared" ref="C2528:C2530" si="1042">DATE(2012,12,31)-361</f>
        <v>40913</v>
      </c>
      <c r="D2528" s="4" t="s">
        <v>63</v>
      </c>
      <c r="E2528" s="4">
        <v>28</v>
      </c>
      <c r="F2528" s="4">
        <v>169.22</v>
      </c>
      <c r="G2528" s="4">
        <v>0.05</v>
      </c>
      <c r="H2528" s="4" t="s">
        <v>22</v>
      </c>
      <c r="I2528" s="6">
        <v>-165.10550000000001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1"/>
        <v>40915</v>
      </c>
    </row>
    <row r="2529" spans="1:21" ht="12" customHeight="1">
      <c r="A2529" s="4">
        <v>2219</v>
      </c>
      <c r="B2529" s="4">
        <v>16036</v>
      </c>
      <c r="C2529" s="5">
        <f t="shared" si="1042"/>
        <v>40913</v>
      </c>
      <c r="D2529" s="4" t="s">
        <v>63</v>
      </c>
      <c r="E2529" s="4">
        <v>10</v>
      </c>
      <c r="F2529" s="4">
        <v>1319.421</v>
      </c>
      <c r="G2529" s="4">
        <v>7.0000000000000007E-2</v>
      </c>
      <c r="H2529" s="4" t="s">
        <v>22</v>
      </c>
      <c r="I2529" s="6">
        <v>-268.87299999999999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3">C2529+1</f>
        <v>40914</v>
      </c>
    </row>
    <row r="2530" spans="1:21" ht="12" customHeight="1">
      <c r="A2530" s="4">
        <v>2220</v>
      </c>
      <c r="B2530" s="4">
        <v>16036</v>
      </c>
      <c r="C2530" s="5">
        <f t="shared" si="1042"/>
        <v>40913</v>
      </c>
      <c r="D2530" s="4" t="s">
        <v>63</v>
      </c>
      <c r="E2530" s="4">
        <v>33</v>
      </c>
      <c r="F2530" s="4">
        <v>550.92999999999995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9.4700000000000006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3"/>
        <v>40914</v>
      </c>
    </row>
    <row r="2531" spans="1:21" ht="12" customHeight="1">
      <c r="A2531" s="4">
        <v>2374</v>
      </c>
      <c r="B2531" s="4">
        <v>17216</v>
      </c>
      <c r="C2531" s="5">
        <f>DATE(2012,12,31)-218</f>
        <v>41056</v>
      </c>
      <c r="D2531" s="4" t="s">
        <v>63</v>
      </c>
      <c r="E2531" s="4">
        <v>7</v>
      </c>
      <c r="F2531" s="4">
        <v>2236.16</v>
      </c>
      <c r="G2531" s="4">
        <v>0.05</v>
      </c>
      <c r="H2531" s="4" t="s">
        <v>31</v>
      </c>
      <c r="I2531" s="6">
        <v>-99.160000000000082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0.56999999999999995</v>
      </c>
      <c r="U2531" s="5">
        <f t="shared" si="1043"/>
        <v>41057</v>
      </c>
    </row>
    <row r="2532" spans="1:21" ht="12" customHeight="1">
      <c r="A2532" s="4">
        <v>2436</v>
      </c>
      <c r="B2532" s="4">
        <v>17698</v>
      </c>
      <c r="C2532" s="5">
        <f>DATE(2012,12,31)-232</f>
        <v>41042</v>
      </c>
      <c r="D2532" s="4" t="s">
        <v>30</v>
      </c>
      <c r="E2532" s="4">
        <v>43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4">C2532+2</f>
        <v>41044</v>
      </c>
    </row>
    <row r="2533" spans="1:21" ht="12" customHeight="1">
      <c r="A2533" s="4">
        <v>2467</v>
      </c>
      <c r="B2533" s="4">
        <v>17953</v>
      </c>
      <c r="C2533" s="5">
        <f t="shared" ref="C2533:C2534" si="1045">DATE(2012,12,31)-133</f>
        <v>41141</v>
      </c>
      <c r="D2533" s="4" t="s">
        <v>30</v>
      </c>
      <c r="E2533" s="4">
        <v>21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4"/>
        <v>41143</v>
      </c>
    </row>
    <row r="2534" spans="1:21" ht="12" customHeight="1">
      <c r="A2534" s="4">
        <v>2468</v>
      </c>
      <c r="B2534" s="4">
        <v>17953</v>
      </c>
      <c r="C2534" s="5">
        <f t="shared" si="1045"/>
        <v>41141</v>
      </c>
      <c r="D2534" s="4" t="s">
        <v>30</v>
      </c>
      <c r="E2534" s="4">
        <v>17</v>
      </c>
      <c r="F2534" s="4">
        <v>105.44</v>
      </c>
      <c r="G2534" s="4">
        <v>0</v>
      </c>
      <c r="H2534" s="4" t="s">
        <v>22</v>
      </c>
      <c r="I2534" s="6">
        <v>18.760000000000002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0.55000000000000004</v>
      </c>
      <c r="U2534" s="5">
        <f t="shared" si="1044"/>
        <v>41143</v>
      </c>
    </row>
    <row r="2535" spans="1:21" ht="12" customHeight="1">
      <c r="A2535" s="4">
        <v>2472</v>
      </c>
      <c r="B2535" s="4">
        <v>17959</v>
      </c>
      <c r="C2535" s="5">
        <f t="shared" ref="C2535:C2536" si="1046">DATE(2012,12,31)-113</f>
        <v>41161</v>
      </c>
      <c r="D2535" s="4" t="s">
        <v>63</v>
      </c>
      <c r="E2535" s="4">
        <v>28</v>
      </c>
      <c r="F2535" s="4">
        <v>1201.68</v>
      </c>
      <c r="G2535" s="4">
        <v>0.01</v>
      </c>
      <c r="H2535" s="4" t="s">
        <v>22</v>
      </c>
      <c r="I2535" s="6">
        <v>146.80000000000001</v>
      </c>
      <c r="J2535" s="4">
        <v>40.99</v>
      </c>
      <c r="K2535" s="4">
        <v>19.989999999999998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7">C2535+3</f>
        <v>41164</v>
      </c>
    </row>
    <row r="2536" spans="1:21" ht="12" customHeight="1">
      <c r="A2536" s="4">
        <v>2473</v>
      </c>
      <c r="B2536" s="4">
        <v>17959</v>
      </c>
      <c r="C2536" s="5">
        <f t="shared" si="1046"/>
        <v>41161</v>
      </c>
      <c r="D2536" s="4" t="s">
        <v>63</v>
      </c>
      <c r="E2536" s="4">
        <v>21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136.97999999999999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7"/>
        <v>41164</v>
      </c>
    </row>
    <row r="2537" spans="1:21" ht="12" customHeight="1">
      <c r="A2537" s="4">
        <v>2478</v>
      </c>
      <c r="B2537" s="4">
        <v>18017</v>
      </c>
      <c r="C2537" s="5">
        <f>DATE(2012,12,31)-1012</f>
        <v>40262</v>
      </c>
      <c r="D2537" s="4" t="s">
        <v>78</v>
      </c>
      <c r="E2537" s="4">
        <v>22</v>
      </c>
      <c r="F2537" s="4">
        <v>5202.8960000000006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spans="1:21" ht="12" customHeight="1">
      <c r="A2538" s="4">
        <v>2532</v>
      </c>
      <c r="B2538" s="4">
        <v>18373</v>
      </c>
      <c r="C2538" s="5">
        <f>DATE(2012,12,31)-263</f>
        <v>41011</v>
      </c>
      <c r="D2538" s="4" t="s">
        <v>78</v>
      </c>
      <c r="E2538" s="4">
        <v>35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0.55000000000000004</v>
      </c>
      <c r="U2538" s="5">
        <f>C2538+0</f>
        <v>41011</v>
      </c>
    </row>
    <row r="2539" spans="1:21" ht="12" customHeight="1">
      <c r="A2539" s="4">
        <v>2708</v>
      </c>
      <c r="B2539" s="4">
        <v>19558</v>
      </c>
      <c r="C2539" s="5">
        <f>DATE(2012,12,31)-675</f>
        <v>40599</v>
      </c>
      <c r="D2539" s="4" t="s">
        <v>21</v>
      </c>
      <c r="E2539" s="4">
        <v>2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spans="1:21" ht="12" customHeight="1">
      <c r="A2540" s="4">
        <v>2877</v>
      </c>
      <c r="B2540" s="4">
        <v>20737</v>
      </c>
      <c r="C2540" s="5">
        <f>DATE(2012,12,31)-372</f>
        <v>40902</v>
      </c>
      <c r="D2540" s="4" t="s">
        <v>63</v>
      </c>
      <c r="E2540" s="4">
        <v>15</v>
      </c>
      <c r="F2540" s="4">
        <v>3364.2480000000005</v>
      </c>
      <c r="G2540" s="4">
        <v>0.1</v>
      </c>
      <c r="H2540" s="4" t="s">
        <v>31</v>
      </c>
      <c r="I2540" s="6">
        <v>-693.23039500000016</v>
      </c>
      <c r="J2540" s="4">
        <v>286.85000000000002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spans="1:21" ht="12" customHeight="1">
      <c r="A2541" s="4">
        <v>2945</v>
      </c>
      <c r="B2541" s="4">
        <v>21344</v>
      </c>
      <c r="C2541" s="5">
        <f t="shared" ref="C2541:C2542" si="1048">DATE(2012,12,31)-22</f>
        <v>41252</v>
      </c>
      <c r="D2541" s="4" t="s">
        <v>21</v>
      </c>
      <c r="E2541" s="4">
        <v>29</v>
      </c>
      <c r="F2541" s="4">
        <v>587.20000000000005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spans="1:21" ht="12" customHeight="1">
      <c r="A2542" s="4">
        <v>2946</v>
      </c>
      <c r="B2542" s="4">
        <v>21344</v>
      </c>
      <c r="C2542" s="5">
        <f t="shared" si="1048"/>
        <v>41252</v>
      </c>
      <c r="D2542" s="4" t="s">
        <v>21</v>
      </c>
      <c r="E2542" s="4">
        <v>39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spans="1:21" ht="12" customHeight="1">
      <c r="A2543" s="4">
        <v>2998</v>
      </c>
      <c r="B2543" s="4">
        <v>21606</v>
      </c>
      <c r="C2543" s="5">
        <f>DATE(2012,12,31)-709</f>
        <v>40565</v>
      </c>
      <c r="D2543" s="4" t="s">
        <v>45</v>
      </c>
      <c r="E2543" s="4">
        <v>29</v>
      </c>
      <c r="F2543" s="4">
        <v>516.62</v>
      </c>
      <c r="G2543" s="4">
        <v>0.06</v>
      </c>
      <c r="H2543" s="4" t="s">
        <v>22</v>
      </c>
      <c r="I2543" s="6">
        <v>138.33000000000001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49">C2543+1</f>
        <v>40566</v>
      </c>
    </row>
    <row r="2544" spans="1:21" ht="12" customHeight="1">
      <c r="A2544" s="4">
        <v>3095</v>
      </c>
      <c r="B2544" s="4">
        <v>22183</v>
      </c>
      <c r="C2544" s="5">
        <f>DATE(2012,12,31)-252</f>
        <v>41022</v>
      </c>
      <c r="D2544" s="4" t="s">
        <v>63</v>
      </c>
      <c r="E2544" s="4">
        <v>30</v>
      </c>
      <c r="F2544" s="4">
        <v>177.22</v>
      </c>
      <c r="G2544" s="4">
        <v>0.06</v>
      </c>
      <c r="H2544" s="4" t="s">
        <v>22</v>
      </c>
      <c r="I2544" s="6">
        <v>68.959999999999994</v>
      </c>
      <c r="J2544" s="4">
        <v>5.84</v>
      </c>
      <c r="K2544" s="4">
        <v>1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49"/>
        <v>41023</v>
      </c>
    </row>
    <row r="2545" spans="1:21" ht="12" customHeight="1">
      <c r="A2545" s="4">
        <v>3109</v>
      </c>
      <c r="B2545" s="4">
        <v>22338</v>
      </c>
      <c r="C2545" s="5">
        <f>DATE(2012,12,31)-962</f>
        <v>40312</v>
      </c>
      <c r="D2545" s="4" t="s">
        <v>63</v>
      </c>
      <c r="E2545" s="4">
        <v>24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35.770000000000003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49"/>
        <v>40313</v>
      </c>
    </row>
    <row r="2546" spans="1:21" ht="12" customHeight="1">
      <c r="A2546" s="4">
        <v>3247</v>
      </c>
      <c r="B2546" s="4">
        <v>23268</v>
      </c>
      <c r="C2546" s="5">
        <f>DATE(2012,12,31)-350</f>
        <v>40924</v>
      </c>
      <c r="D2546" s="4" t="s">
        <v>30</v>
      </c>
      <c r="E2546" s="4">
        <v>14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2.2000000000000002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0">C2546+2</f>
        <v>40926</v>
      </c>
    </row>
    <row r="2547" spans="1:21" ht="12" customHeight="1">
      <c r="A2547" s="4">
        <v>3287</v>
      </c>
      <c r="B2547" s="4">
        <v>23522</v>
      </c>
      <c r="C2547" s="5">
        <f t="shared" ref="C2547:C2549" si="1051">DATE(2012,12,31)-630</f>
        <v>40644</v>
      </c>
      <c r="D2547" s="4" t="s">
        <v>78</v>
      </c>
      <c r="E2547" s="4">
        <v>20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65.989999999999995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0.56000000000000005</v>
      </c>
      <c r="U2547" s="5">
        <f t="shared" si="1050"/>
        <v>40646</v>
      </c>
    </row>
    <row r="2548" spans="1:21" ht="12" customHeight="1">
      <c r="A2548" s="4">
        <v>3288</v>
      </c>
      <c r="B2548" s="4">
        <v>23522</v>
      </c>
      <c r="C2548" s="5">
        <f t="shared" si="1051"/>
        <v>40644</v>
      </c>
      <c r="D2548" s="4" t="s">
        <v>78</v>
      </c>
      <c r="E2548" s="4">
        <v>19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spans="1:21" ht="12" customHeight="1">
      <c r="A2549" s="4">
        <v>3289</v>
      </c>
      <c r="B2549" s="4">
        <v>23522</v>
      </c>
      <c r="C2549" s="5">
        <f t="shared" si="1051"/>
        <v>40644</v>
      </c>
      <c r="D2549" s="4" t="s">
        <v>78</v>
      </c>
      <c r="E2549" s="4">
        <v>36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spans="1:21" ht="12" customHeight="1">
      <c r="A2550" s="4">
        <v>3349</v>
      </c>
      <c r="B2550" s="4">
        <v>23968</v>
      </c>
      <c r="C2550" s="5">
        <f>DATE(2012,12,31)-668</f>
        <v>40606</v>
      </c>
      <c r="D2550" s="4" t="s">
        <v>78</v>
      </c>
      <c r="E2550" s="4">
        <v>19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spans="1:21" ht="12" customHeight="1">
      <c r="A2551" s="4">
        <v>3634</v>
      </c>
      <c r="B2551" s="4">
        <v>25955</v>
      </c>
      <c r="C2551" s="5">
        <f>DATE(2012,12,31)-607</f>
        <v>40667</v>
      </c>
      <c r="D2551" s="4" t="s">
        <v>45</v>
      </c>
      <c r="E2551" s="4">
        <v>10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16.059999999999999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spans="1:21" ht="12" customHeight="1">
      <c r="A2552" s="4">
        <v>3668</v>
      </c>
      <c r="B2552" s="4">
        <v>26276</v>
      </c>
      <c r="C2552" s="5">
        <f>DATE(2012,12,31)-841</f>
        <v>40433</v>
      </c>
      <c r="D2552" s="4" t="s">
        <v>21</v>
      </c>
      <c r="E2552" s="4">
        <v>19</v>
      </c>
      <c r="F2552" s="4">
        <v>20329.8</v>
      </c>
      <c r="G2552" s="4">
        <v>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spans="1:21" ht="12" customHeight="1">
      <c r="A2553" s="4">
        <v>3676</v>
      </c>
      <c r="B2553" s="4">
        <v>26306</v>
      </c>
      <c r="C2553" s="5">
        <f>DATE(2012,12,31)-62</f>
        <v>41212</v>
      </c>
      <c r="D2553" s="4" t="s">
        <v>21</v>
      </c>
      <c r="E2553" s="4">
        <v>15</v>
      </c>
      <c r="F2553" s="4">
        <v>2567.64</v>
      </c>
      <c r="G2553" s="4">
        <v>0</v>
      </c>
      <c r="H2553" s="4" t="s">
        <v>22</v>
      </c>
      <c r="I2553" s="6">
        <v>-505.98447900000014</v>
      </c>
      <c r="J2553" s="4">
        <v>209.37</v>
      </c>
      <c r="K2553" s="4">
        <v>69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spans="1:21" ht="12" customHeight="1">
      <c r="A2554" s="4">
        <v>3749</v>
      </c>
      <c r="B2554" s="4">
        <v>26784</v>
      </c>
      <c r="C2554" s="5">
        <f t="shared" ref="C2554:C2555" si="1052">DATE(2012,12,31)-892</f>
        <v>40382</v>
      </c>
      <c r="D2554" s="4" t="s">
        <v>78</v>
      </c>
      <c r="E2554" s="4">
        <v>12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3">C2554+1</f>
        <v>40383</v>
      </c>
    </row>
    <row r="2555" spans="1:21" ht="12" customHeight="1">
      <c r="A2555" s="4">
        <v>3750</v>
      </c>
      <c r="B2555" s="4">
        <v>26784</v>
      </c>
      <c r="C2555" s="5">
        <f t="shared" si="1052"/>
        <v>40382</v>
      </c>
      <c r="D2555" s="4" t="s">
        <v>78</v>
      </c>
      <c r="E2555" s="4">
        <v>33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3"/>
        <v>40383</v>
      </c>
    </row>
    <row r="2556" spans="1:21" ht="12" customHeight="1">
      <c r="A2556" s="4">
        <v>3765</v>
      </c>
      <c r="B2556" s="4">
        <v>26912</v>
      </c>
      <c r="C2556" s="5">
        <f>DATE(2012,12,31)-248</f>
        <v>41026</v>
      </c>
      <c r="D2556" s="4" t="s">
        <v>21</v>
      </c>
      <c r="E2556" s="4">
        <v>18</v>
      </c>
      <c r="F2556" s="4">
        <v>3136.2024999999999</v>
      </c>
      <c r="G2556" s="4">
        <v>7.0000000000000007E-2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0.56000000000000005</v>
      </c>
      <c r="U2556" s="5">
        <f>C2556+4</f>
        <v>41030</v>
      </c>
    </row>
    <row r="2557" spans="1:21" ht="12" customHeight="1">
      <c r="A2557" s="4">
        <v>3845</v>
      </c>
      <c r="B2557" s="4">
        <v>27430</v>
      </c>
      <c r="C2557" s="5">
        <f>DATE(2012,12,31)-700</f>
        <v>40574</v>
      </c>
      <c r="D2557" s="4" t="s">
        <v>30</v>
      </c>
      <c r="E2557" s="4">
        <v>12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4">C2557+1</f>
        <v>40575</v>
      </c>
    </row>
    <row r="2558" spans="1:21" ht="12" customHeight="1">
      <c r="A2558" s="4">
        <v>4070</v>
      </c>
      <c r="B2558" s="4">
        <v>28992</v>
      </c>
      <c r="C2558" s="5">
        <f>DATE(2012,12,31)-469</f>
        <v>40805</v>
      </c>
      <c r="D2558" s="4" t="s">
        <v>78</v>
      </c>
      <c r="E2558" s="4">
        <v>41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19.989999999999998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0.55000000000000004</v>
      </c>
      <c r="U2558" s="5">
        <f t="shared" si="1054"/>
        <v>40806</v>
      </c>
    </row>
    <row r="2559" spans="1:21" ht="12" customHeight="1">
      <c r="A2559" s="4">
        <v>4130</v>
      </c>
      <c r="B2559" s="4">
        <v>29349</v>
      </c>
      <c r="C2559" s="5">
        <f>DATE(2012,12,31)-935</f>
        <v>40339</v>
      </c>
      <c r="D2559" s="4" t="s">
        <v>30</v>
      </c>
      <c r="E2559" s="4">
        <v>33</v>
      </c>
      <c r="F2559" s="4">
        <v>162.38999999999999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spans="1:21" ht="12" customHeight="1">
      <c r="A2560" s="4">
        <v>4152</v>
      </c>
      <c r="B2560" s="4">
        <v>29473</v>
      </c>
      <c r="C2560" s="5">
        <f>DATE(2012,12,31)-320</f>
        <v>40954</v>
      </c>
      <c r="D2560" s="4" t="s">
        <v>63</v>
      </c>
      <c r="E2560" s="4">
        <v>40</v>
      </c>
      <c r="F2560" s="4">
        <v>13367.82</v>
      </c>
      <c r="G2560" s="4">
        <v>0</v>
      </c>
      <c r="H2560" s="4" t="s">
        <v>31</v>
      </c>
      <c r="I2560" s="6">
        <v>-774.89068800000007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spans="1:21" ht="12" customHeight="1">
      <c r="A2561" s="4">
        <v>4225</v>
      </c>
      <c r="B2561" s="4">
        <v>30023</v>
      </c>
      <c r="C2561" s="5">
        <f>DATE(2012,12,31)-808</f>
        <v>40466</v>
      </c>
      <c r="D2561" s="4" t="s">
        <v>21</v>
      </c>
      <c r="E2561" s="4">
        <v>34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spans="1:21" ht="12" customHeight="1">
      <c r="A2562" s="4">
        <v>4241</v>
      </c>
      <c r="B2562" s="4">
        <v>30150</v>
      </c>
      <c r="C2562" s="5">
        <f>DATE(2012,12,31)-819</f>
        <v>40455</v>
      </c>
      <c r="D2562" s="4" t="s">
        <v>78</v>
      </c>
      <c r="E2562" s="4">
        <v>30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spans="1:21" ht="12" customHeight="1">
      <c r="A2563" s="4">
        <v>4242</v>
      </c>
      <c r="B2563" s="4">
        <v>30151</v>
      </c>
      <c r="C2563" s="5">
        <f>DATE(2012,12,31)-702</f>
        <v>40572</v>
      </c>
      <c r="D2563" s="4" t="s">
        <v>45</v>
      </c>
      <c r="E2563" s="4">
        <v>31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spans="1:21" ht="12" customHeight="1">
      <c r="A2564" s="4">
        <v>4251</v>
      </c>
      <c r="B2564" s="4">
        <v>30276</v>
      </c>
      <c r="C2564" s="5">
        <f t="shared" ref="C2564:C2565" si="1055">DATE(2012,12,31)-493</f>
        <v>40781</v>
      </c>
      <c r="D2564" s="4" t="s">
        <v>21</v>
      </c>
      <c r="E2564" s="4">
        <v>44</v>
      </c>
      <c r="F2564" s="4">
        <v>1453.704</v>
      </c>
      <c r="G2564" s="4">
        <v>0</v>
      </c>
      <c r="H2564" s="4" t="s">
        <v>22</v>
      </c>
      <c r="I2564" s="6">
        <v>549.83699999999999</v>
      </c>
      <c r="J2564" s="4">
        <v>35.99</v>
      </c>
      <c r="K2564" s="4">
        <v>1.1000000000000001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0.55000000000000004</v>
      </c>
      <c r="U2564" s="5">
        <f t="shared" ref="U2564:U2565" si="1056">C2564+4</f>
        <v>40785</v>
      </c>
    </row>
    <row r="2565" spans="1:21" ht="12" customHeight="1">
      <c r="A2565" s="4">
        <v>4252</v>
      </c>
      <c r="B2565" s="4">
        <v>30276</v>
      </c>
      <c r="C2565" s="5">
        <f t="shared" si="1055"/>
        <v>40781</v>
      </c>
      <c r="D2565" s="4" t="s">
        <v>21</v>
      </c>
      <c r="E2565" s="4">
        <v>34</v>
      </c>
      <c r="F2565" s="4">
        <v>7656.3040000000001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6"/>
        <v>40785</v>
      </c>
    </row>
    <row r="2566" spans="1:21" ht="12" customHeight="1">
      <c r="A2566" s="4">
        <v>4254</v>
      </c>
      <c r="B2566" s="4">
        <v>30279</v>
      </c>
      <c r="C2566" s="5">
        <f t="shared" ref="C2566:C2567" si="1057">DATE(2012,12,31)-390</f>
        <v>40884</v>
      </c>
      <c r="D2566" s="4" t="s">
        <v>78</v>
      </c>
      <c r="E2566" s="4">
        <v>25</v>
      </c>
      <c r="F2566" s="4">
        <v>1412.98</v>
      </c>
      <c r="G2566" s="4">
        <v>0.1</v>
      </c>
      <c r="H2566" s="4" t="s">
        <v>22</v>
      </c>
      <c r="I2566" s="6">
        <v>324.95999999999998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0.56000000000000005</v>
      </c>
      <c r="U2566" s="5">
        <f>C2566+0</f>
        <v>40884</v>
      </c>
    </row>
    <row r="2567" spans="1:21" ht="12" customHeight="1">
      <c r="A2567" s="4">
        <v>4255</v>
      </c>
      <c r="B2567" s="4">
        <v>30279</v>
      </c>
      <c r="C2567" s="5">
        <f t="shared" si="1057"/>
        <v>40884</v>
      </c>
      <c r="D2567" s="4" t="s">
        <v>78</v>
      </c>
      <c r="E2567" s="4">
        <v>39</v>
      </c>
      <c r="F2567" s="4">
        <v>19539.939999999999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spans="1:21" ht="12" customHeight="1">
      <c r="A2568" s="4">
        <v>4587</v>
      </c>
      <c r="B2568" s="4">
        <v>32640</v>
      </c>
      <c r="C2568" s="5">
        <f t="shared" ref="C2568:C2569" si="1058">DATE(2012,12,31)-107</f>
        <v>41167</v>
      </c>
      <c r="D2568" s="4" t="s">
        <v>30</v>
      </c>
      <c r="E2568" s="4">
        <v>18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59">C2568+2</f>
        <v>41169</v>
      </c>
    </row>
    <row r="2569" spans="1:21" ht="12" customHeight="1">
      <c r="A2569" s="4">
        <v>4588</v>
      </c>
      <c r="B2569" s="4">
        <v>32640</v>
      </c>
      <c r="C2569" s="5">
        <f t="shared" si="1058"/>
        <v>41167</v>
      </c>
      <c r="D2569" s="4" t="s">
        <v>30</v>
      </c>
      <c r="E2569" s="4">
        <v>12</v>
      </c>
      <c r="F2569" s="4">
        <v>162.11000000000001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59"/>
        <v>41169</v>
      </c>
    </row>
    <row r="2570" spans="1:21" ht="12" customHeight="1">
      <c r="A2570" s="4">
        <v>4621</v>
      </c>
      <c r="B2570" s="4">
        <v>32902</v>
      </c>
      <c r="C2570" s="5">
        <f>DATE(2012,12,31)-303</f>
        <v>40971</v>
      </c>
      <c r="D2570" s="4" t="s">
        <v>30</v>
      </c>
      <c r="E2570" s="4">
        <v>34</v>
      </c>
      <c r="F2570" s="4">
        <v>145.47999999999999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0">C2570+1</f>
        <v>40972</v>
      </c>
    </row>
    <row r="2571" spans="1:21" ht="12" customHeight="1">
      <c r="A2571" s="4">
        <v>4631</v>
      </c>
      <c r="B2571" s="4">
        <v>32965</v>
      </c>
      <c r="C2571" s="5">
        <f>DATE(2012,12,31)-676</f>
        <v>40598</v>
      </c>
      <c r="D2571" s="4" t="s">
        <v>30</v>
      </c>
      <c r="E2571" s="4">
        <v>25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19.989999999999998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0"/>
        <v>40599</v>
      </c>
    </row>
    <row r="2572" spans="1:21" ht="12" customHeight="1">
      <c r="A2572" s="4">
        <v>4655</v>
      </c>
      <c r="B2572" s="4">
        <v>33154</v>
      </c>
      <c r="C2572" s="5">
        <f>DATE(2012,12,31)-881</f>
        <v>40393</v>
      </c>
      <c r="D2572" s="4" t="s">
        <v>78</v>
      </c>
      <c r="E2572" s="4">
        <v>7</v>
      </c>
      <c r="F2572" s="4">
        <v>368.02449999999999</v>
      </c>
      <c r="G2572" s="4">
        <v>0.09</v>
      </c>
      <c r="H2572" s="4" t="s">
        <v>22</v>
      </c>
      <c r="I2572" s="6">
        <v>-218.81199999999998</v>
      </c>
      <c r="J2572" s="4">
        <v>65.989999999999995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spans="1:21" ht="12" customHeight="1">
      <c r="A2573" s="4">
        <v>4673</v>
      </c>
      <c r="B2573" s="4">
        <v>33253</v>
      </c>
      <c r="C2573" s="5">
        <f>DATE(2012,12,31)-397</f>
        <v>40877</v>
      </c>
      <c r="D2573" s="4" t="s">
        <v>45</v>
      </c>
      <c r="E2573" s="4">
        <v>6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0.56999999999999995</v>
      </c>
      <c r="U2573" s="5">
        <f>C2573+2</f>
        <v>40879</v>
      </c>
    </row>
    <row r="2574" spans="1:21" ht="12" customHeight="1">
      <c r="A2574" s="4">
        <v>4747</v>
      </c>
      <c r="B2574" s="4">
        <v>33761</v>
      </c>
      <c r="C2574" s="5">
        <f>DATE(2012,12,31)-149</f>
        <v>41125</v>
      </c>
      <c r="D2574" s="4" t="s">
        <v>30</v>
      </c>
      <c r="E2574" s="4">
        <v>45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spans="1:21" ht="12" customHeight="1">
      <c r="A2575" s="4">
        <v>4826</v>
      </c>
      <c r="B2575" s="4">
        <v>34309</v>
      </c>
      <c r="C2575" s="5">
        <f>DATE(2012,12,31)-116</f>
        <v>41158</v>
      </c>
      <c r="D2575" s="4" t="s">
        <v>30</v>
      </c>
      <c r="E2575" s="4">
        <v>16</v>
      </c>
      <c r="F2575" s="4">
        <v>75.77</v>
      </c>
      <c r="G2575" s="4">
        <v>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spans="1:21" ht="12" customHeight="1">
      <c r="A2576" s="4">
        <v>4859</v>
      </c>
      <c r="B2576" s="4">
        <v>34595</v>
      </c>
      <c r="C2576" s="5">
        <f>DATE(2012,12,31)-165</f>
        <v>41109</v>
      </c>
      <c r="D2576" s="4" t="s">
        <v>63</v>
      </c>
      <c r="E2576" s="4">
        <v>12</v>
      </c>
      <c r="F2576" s="4">
        <v>488.65</v>
      </c>
      <c r="G2576" s="4">
        <v>7.0000000000000007E-2</v>
      </c>
      <c r="H2576" s="4" t="s">
        <v>22</v>
      </c>
      <c r="I2576" s="6">
        <v>19.829999999999998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spans="1:21" ht="12" customHeight="1">
      <c r="A2577" s="4">
        <v>4872</v>
      </c>
      <c r="B2577" s="4">
        <v>34662</v>
      </c>
      <c r="C2577" s="5">
        <f>DATE(2012,12,31)-356</f>
        <v>40918</v>
      </c>
      <c r="D2577" s="4" t="s">
        <v>78</v>
      </c>
      <c r="E2577" s="4">
        <v>35</v>
      </c>
      <c r="F2577" s="4">
        <v>12741.81</v>
      </c>
      <c r="G2577" s="4">
        <v>0.09</v>
      </c>
      <c r="H2577" s="4" t="s">
        <v>31</v>
      </c>
      <c r="I2577" s="6">
        <v>95.059999999999945</v>
      </c>
      <c r="J2577" s="4">
        <v>370.98</v>
      </c>
      <c r="K2577" s="4">
        <v>99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spans="1:21" ht="12" customHeight="1">
      <c r="A2578" s="4">
        <v>4878</v>
      </c>
      <c r="B2578" s="4">
        <v>34694</v>
      </c>
      <c r="C2578" s="5">
        <f>DATE(2012,12,31)-613</f>
        <v>40661</v>
      </c>
      <c r="D2578" s="4" t="s">
        <v>21</v>
      </c>
      <c r="E2578" s="4">
        <v>11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4.4800000000000004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spans="1:21" ht="12" customHeight="1">
      <c r="A2579" s="4">
        <v>4883</v>
      </c>
      <c r="B2579" s="4">
        <v>34725</v>
      </c>
      <c r="C2579" s="5">
        <f>DATE(2012,12,31)-523</f>
        <v>40751</v>
      </c>
      <c r="D2579" s="4" t="s">
        <v>21</v>
      </c>
      <c r="E2579" s="4">
        <v>14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138.13999999999999</v>
      </c>
      <c r="K2579" s="4">
        <v>35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1">C2579+2</f>
        <v>40753</v>
      </c>
    </row>
    <row r="2580" spans="1:21" ht="12" customHeight="1">
      <c r="A2580" s="4">
        <v>4960</v>
      </c>
      <c r="B2580" s="4">
        <v>35296</v>
      </c>
      <c r="C2580" s="5">
        <f>DATE(2012,12,31)-651</f>
        <v>40623</v>
      </c>
      <c r="D2580" s="4" t="s">
        <v>21</v>
      </c>
      <c r="E2580" s="4">
        <v>7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65.989999999999995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1"/>
        <v>40625</v>
      </c>
    </row>
    <row r="2581" spans="1:21" ht="12" customHeight="1">
      <c r="A2581" s="4">
        <v>4990</v>
      </c>
      <c r="B2581" s="4">
        <v>35494</v>
      </c>
      <c r="C2581" s="5">
        <f>DATE(2012,12,31)-686</f>
        <v>40588</v>
      </c>
      <c r="D2581" s="4" t="s">
        <v>63</v>
      </c>
      <c r="E2581" s="4">
        <v>18</v>
      </c>
      <c r="F2581" s="4">
        <v>1731.1040000000003</v>
      </c>
      <c r="G2581" s="4">
        <v>0.01</v>
      </c>
      <c r="H2581" s="4" t="s">
        <v>22</v>
      </c>
      <c r="I2581" s="6">
        <v>-270.57373200000001</v>
      </c>
      <c r="J2581" s="4">
        <v>111.96</v>
      </c>
      <c r="K2581" s="4">
        <v>69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spans="1:21" ht="12" customHeight="1">
      <c r="A2582" s="4">
        <v>5030</v>
      </c>
      <c r="B2582" s="4">
        <v>35845</v>
      </c>
      <c r="C2582" s="5">
        <f>DATE(2012,12,31)-725</f>
        <v>40549</v>
      </c>
      <c r="D2582" s="4" t="s">
        <v>30</v>
      </c>
      <c r="E2582" s="4">
        <v>15</v>
      </c>
      <c r="F2582" s="4">
        <v>5713.48</v>
      </c>
      <c r="G2582" s="4">
        <v>0.05</v>
      </c>
      <c r="H2582" s="4" t="s">
        <v>31</v>
      </c>
      <c r="I2582" s="6">
        <v>-712.52610000000004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spans="1:21" ht="12" customHeight="1">
      <c r="A2583" s="4">
        <v>5036</v>
      </c>
      <c r="B2583" s="4">
        <v>35905</v>
      </c>
      <c r="C2583" s="5">
        <f>DATE(2012,12,31)-316</f>
        <v>40958</v>
      </c>
      <c r="D2583" s="4" t="s">
        <v>21</v>
      </c>
      <c r="E2583" s="4">
        <v>20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spans="1:21" ht="12" customHeight="1">
      <c r="A2584" s="4">
        <v>5240</v>
      </c>
      <c r="B2584" s="4">
        <v>37287</v>
      </c>
      <c r="C2584" s="5">
        <f>DATE(2012,12,31)-60</f>
        <v>41214</v>
      </c>
      <c r="D2584" s="4" t="s">
        <v>21</v>
      </c>
      <c r="E2584" s="4">
        <v>22</v>
      </c>
      <c r="F2584" s="4">
        <v>2052.2655</v>
      </c>
      <c r="G2584" s="4">
        <v>0.04</v>
      </c>
      <c r="H2584" s="4" t="s">
        <v>22</v>
      </c>
      <c r="I2584" s="6">
        <v>371.40300000000002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0.56999999999999995</v>
      </c>
      <c r="U2584" s="5">
        <f>C2584+4</f>
        <v>41218</v>
      </c>
    </row>
    <row r="2585" spans="1:21" ht="12" customHeight="1">
      <c r="A2585" s="4">
        <v>5263</v>
      </c>
      <c r="B2585" s="4">
        <v>37443</v>
      </c>
      <c r="C2585" s="5">
        <f>DATE(2012,12,31)-991</f>
        <v>40283</v>
      </c>
      <c r="D2585" s="4" t="s">
        <v>45</v>
      </c>
      <c r="E2585" s="4">
        <v>21</v>
      </c>
      <c r="F2585" s="4">
        <v>2172.7019999999998</v>
      </c>
      <c r="G2585" s="4">
        <v>0.01</v>
      </c>
      <c r="H2585" s="4" t="s">
        <v>22</v>
      </c>
      <c r="I2585" s="6">
        <v>481.74299999999999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0.56999999999999995</v>
      </c>
      <c r="U2585" s="5">
        <f>C2585+2</f>
        <v>40285</v>
      </c>
    </row>
    <row r="2586" spans="1:21" ht="12" customHeight="1">
      <c r="A2586" s="4">
        <v>5310</v>
      </c>
      <c r="B2586" s="4">
        <v>37792</v>
      </c>
      <c r="C2586" s="5">
        <f>DATE(2012,12,31)-368</f>
        <v>40906</v>
      </c>
      <c r="D2586" s="4" t="s">
        <v>30</v>
      </c>
      <c r="E2586" s="4">
        <v>14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2">C2586+1</f>
        <v>40907</v>
      </c>
    </row>
    <row r="2587" spans="1:21" ht="12" customHeight="1">
      <c r="A2587" s="4">
        <v>5334</v>
      </c>
      <c r="B2587" s="4">
        <v>37893</v>
      </c>
      <c r="C2587" s="5">
        <f>DATE(2012,12,31)-403</f>
        <v>40871</v>
      </c>
      <c r="D2587" s="4" t="s">
        <v>45</v>
      </c>
      <c r="E2587" s="4">
        <v>14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2"/>
        <v>40872</v>
      </c>
    </row>
    <row r="2588" spans="1:21" ht="12" customHeight="1">
      <c r="A2588" s="4">
        <v>5399</v>
      </c>
      <c r="B2588" s="4">
        <v>38372</v>
      </c>
      <c r="C2588" s="5">
        <f>DATE(2012,12,31)-961</f>
        <v>40313</v>
      </c>
      <c r="D2588" s="4" t="s">
        <v>30</v>
      </c>
      <c r="E2588" s="4">
        <v>46</v>
      </c>
      <c r="F2588" s="4">
        <v>1053.8399999999999</v>
      </c>
      <c r="G2588" s="4">
        <v>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spans="1:21" ht="12" customHeight="1">
      <c r="A2589" s="4">
        <v>5477</v>
      </c>
      <c r="B2589" s="4">
        <v>38912</v>
      </c>
      <c r="C2589" s="5">
        <f>DATE(2012,12,31)-64</f>
        <v>41210</v>
      </c>
      <c r="D2589" s="4" t="s">
        <v>21</v>
      </c>
      <c r="E2589" s="4">
        <v>46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152.47999999999999</v>
      </c>
      <c r="K2589" s="4">
        <v>4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3">C2589+2</f>
        <v>41212</v>
      </c>
    </row>
    <row r="2590" spans="1:21" ht="12" customHeight="1">
      <c r="A2590" s="4">
        <v>5493</v>
      </c>
      <c r="B2590" s="4">
        <v>38976</v>
      </c>
      <c r="C2590" s="5">
        <f>DATE(2012,12,31)-737</f>
        <v>40537</v>
      </c>
      <c r="D2590" s="4" t="s">
        <v>78</v>
      </c>
      <c r="E2590" s="4">
        <v>46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3"/>
        <v>40539</v>
      </c>
    </row>
    <row r="2591" spans="1:21" ht="12" customHeight="1">
      <c r="A2591" s="4">
        <v>5530</v>
      </c>
      <c r="B2591" s="4">
        <v>39169</v>
      </c>
      <c r="C2591" s="5">
        <f>DATE(2012,12,31)-493</f>
        <v>40781</v>
      </c>
      <c r="D2591" s="4" t="s">
        <v>63</v>
      </c>
      <c r="E2591" s="4">
        <v>5</v>
      </c>
      <c r="F2591" s="4">
        <v>24.91</v>
      </c>
      <c r="G2591" s="4">
        <v>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4">C2591+1</f>
        <v>40782</v>
      </c>
    </row>
    <row r="2592" spans="1:21" ht="12" customHeight="1">
      <c r="A2592" s="4">
        <v>5538</v>
      </c>
      <c r="B2592" s="4">
        <v>39238</v>
      </c>
      <c r="C2592" s="5">
        <f>DATE(2012,12,31)-827</f>
        <v>40447</v>
      </c>
      <c r="D2592" s="4" t="s">
        <v>78</v>
      </c>
      <c r="E2592" s="4">
        <v>9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4"/>
        <v>40448</v>
      </c>
    </row>
    <row r="2593" spans="1:21" ht="12" customHeight="1">
      <c r="A2593" s="4">
        <v>5653</v>
      </c>
      <c r="B2593" s="4">
        <v>40005</v>
      </c>
      <c r="C2593" s="5">
        <f>DATE(2012,12,31)-890</f>
        <v>40384</v>
      </c>
      <c r="D2593" s="4" t="s">
        <v>30</v>
      </c>
      <c r="E2593" s="4">
        <v>9</v>
      </c>
      <c r="F2593" s="4">
        <v>130.43</v>
      </c>
      <c r="G2593" s="4">
        <v>0.03</v>
      </c>
      <c r="H2593" s="4" t="s">
        <v>22</v>
      </c>
      <c r="I2593" s="6">
        <v>-8.6999999999999993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spans="1:21" ht="12" customHeight="1">
      <c r="A2594" s="4">
        <v>5829</v>
      </c>
      <c r="B2594" s="4">
        <v>41350</v>
      </c>
      <c r="C2594" s="5">
        <f>DATE(2012,12,31)-968</f>
        <v>40306</v>
      </c>
      <c r="D2594" s="4" t="s">
        <v>63</v>
      </c>
      <c r="E2594" s="4">
        <v>1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19.989999999999998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0.57999999999999996</v>
      </c>
      <c r="U2594" s="5">
        <f>C2594+1</f>
        <v>40307</v>
      </c>
    </row>
    <row r="2595" spans="1:21" ht="12" customHeight="1">
      <c r="A2595" s="4">
        <v>5834</v>
      </c>
      <c r="B2595" s="4">
        <v>41383</v>
      </c>
      <c r="C2595" s="5">
        <f>DATE(2012,12,31)-964</f>
        <v>40310</v>
      </c>
      <c r="D2595" s="4" t="s">
        <v>21</v>
      </c>
      <c r="E2595" s="4">
        <v>38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spans="1:21" ht="12" customHeight="1">
      <c r="A2596" s="4">
        <v>5900</v>
      </c>
      <c r="B2596" s="4">
        <v>41826</v>
      </c>
      <c r="C2596" s="5">
        <f>DATE(2012,12,31)-807</f>
        <v>40467</v>
      </c>
      <c r="D2596" s="4" t="s">
        <v>63</v>
      </c>
      <c r="E2596" s="4">
        <v>2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0.55000000000000004</v>
      </c>
      <c r="U2596" s="5">
        <f t="shared" ref="U2596:U2597" si="1065">C2596+2</f>
        <v>40469</v>
      </c>
    </row>
    <row r="2597" spans="1:21" ht="12" customHeight="1">
      <c r="A2597" s="4">
        <v>5996</v>
      </c>
      <c r="B2597" s="4">
        <v>42471</v>
      </c>
      <c r="C2597" s="5">
        <f>DATE(2012,12,31)-297</f>
        <v>40977</v>
      </c>
      <c r="D2597" s="4" t="s">
        <v>21</v>
      </c>
      <c r="E2597" s="4">
        <v>23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5"/>
        <v>40979</v>
      </c>
    </row>
    <row r="2598" spans="1:21" ht="12" customHeight="1">
      <c r="A2598" s="4">
        <v>6003</v>
      </c>
      <c r="B2598" s="4">
        <v>42528</v>
      </c>
      <c r="C2598" s="5">
        <f>DATE(2012,12,31)-1042</f>
        <v>40232</v>
      </c>
      <c r="D2598" s="4" t="s">
        <v>63</v>
      </c>
      <c r="E2598" s="4">
        <v>29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spans="1:21" ht="12" customHeight="1">
      <c r="A2599" s="4">
        <v>6004</v>
      </c>
      <c r="B2599" s="4">
        <v>42529</v>
      </c>
      <c r="C2599" s="5">
        <f t="shared" ref="C2599:C2600" si="1066">DATE(2012,12,31)-813</f>
        <v>40461</v>
      </c>
      <c r="D2599" s="4" t="s">
        <v>21</v>
      </c>
      <c r="E2599" s="4">
        <v>2</v>
      </c>
      <c r="F2599" s="4">
        <v>6.34</v>
      </c>
      <c r="G2599" s="4">
        <v>0.08</v>
      </c>
      <c r="H2599" s="4" t="s">
        <v>22</v>
      </c>
      <c r="I2599" s="6">
        <v>-4.4400000000000004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7">C2599+4</f>
        <v>40465</v>
      </c>
    </row>
    <row r="2600" spans="1:21" ht="12" customHeight="1">
      <c r="A2600" s="4">
        <v>6006</v>
      </c>
      <c r="B2600" s="4">
        <v>42529</v>
      </c>
      <c r="C2600" s="5">
        <f t="shared" si="1066"/>
        <v>40461</v>
      </c>
      <c r="D2600" s="4" t="s">
        <v>21</v>
      </c>
      <c r="E2600" s="4">
        <v>48</v>
      </c>
      <c r="F2600" s="4">
        <v>2996.93</v>
      </c>
      <c r="G2600" s="4">
        <v>0.04</v>
      </c>
      <c r="H2600" s="4" t="s">
        <v>22</v>
      </c>
      <c r="I2600" s="6">
        <v>1060.8699999999999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0.56999999999999995</v>
      </c>
      <c r="U2600" s="5">
        <f t="shared" si="1067"/>
        <v>40465</v>
      </c>
    </row>
    <row r="2601" spans="1:21" ht="12" customHeight="1">
      <c r="A2601" s="4">
        <v>6095</v>
      </c>
      <c r="B2601" s="4">
        <v>43200</v>
      </c>
      <c r="C2601" s="5">
        <f t="shared" ref="C2601:C2602" si="1068">DATE(2012,12,31)-884</f>
        <v>40390</v>
      </c>
      <c r="D2601" s="4" t="s">
        <v>45</v>
      </c>
      <c r="E2601" s="4">
        <v>3</v>
      </c>
      <c r="F2601" s="4">
        <v>554.32000000000005</v>
      </c>
      <c r="G2601" s="4">
        <v>0.01</v>
      </c>
      <c r="H2601" s="4" t="s">
        <v>22</v>
      </c>
      <c r="I2601" s="6">
        <v>-62.134500000000003</v>
      </c>
      <c r="J2601" s="4">
        <v>172.99</v>
      </c>
      <c r="K2601" s="4">
        <v>19.989999999999998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69">C2601+1</f>
        <v>40391</v>
      </c>
    </row>
    <row r="2602" spans="1:21" ht="12" customHeight="1">
      <c r="A2602" s="4">
        <v>6096</v>
      </c>
      <c r="B2602" s="4">
        <v>43200</v>
      </c>
      <c r="C2602" s="5">
        <f t="shared" si="1068"/>
        <v>40390</v>
      </c>
      <c r="D2602" s="4" t="s">
        <v>45</v>
      </c>
      <c r="E2602" s="4">
        <v>15</v>
      </c>
      <c r="F2602" s="4">
        <v>1073.567</v>
      </c>
      <c r="G2602" s="4">
        <v>0.04</v>
      </c>
      <c r="H2602" s="4" t="s">
        <v>22</v>
      </c>
      <c r="I2602" s="6">
        <v>-305.96499999999997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69"/>
        <v>40391</v>
      </c>
    </row>
    <row r="2603" spans="1:21" ht="12" customHeight="1">
      <c r="A2603" s="4">
        <v>6217</v>
      </c>
      <c r="B2603" s="4">
        <v>44033</v>
      </c>
      <c r="C2603" s="5">
        <f>DATE(2012,12,31)-356</f>
        <v>40918</v>
      </c>
      <c r="D2603" s="4" t="s">
        <v>78</v>
      </c>
      <c r="E2603" s="4">
        <v>45</v>
      </c>
      <c r="F2603" s="4">
        <v>5811.97</v>
      </c>
      <c r="G2603" s="4">
        <v>0.03</v>
      </c>
      <c r="H2603" s="4" t="s">
        <v>31</v>
      </c>
      <c r="I2603" s="6">
        <v>-434.14800000000008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spans="1:21" ht="12" customHeight="1">
      <c r="A2604" s="4">
        <v>6223</v>
      </c>
      <c r="B2604" s="4">
        <v>44065</v>
      </c>
      <c r="C2604" s="5">
        <f>DATE(2012,12,31)-912</f>
        <v>40362</v>
      </c>
      <c r="D2604" s="4" t="s">
        <v>21</v>
      </c>
      <c r="E2604" s="4">
        <v>23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spans="1:21" ht="12" customHeight="1">
      <c r="A2605" s="4">
        <v>6353</v>
      </c>
      <c r="B2605" s="4">
        <v>45030</v>
      </c>
      <c r="C2605" s="5">
        <f>DATE(2012,12,31)-891</f>
        <v>40383</v>
      </c>
      <c r="D2605" s="4" t="s">
        <v>30</v>
      </c>
      <c r="E2605" s="4">
        <v>1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0.56999999999999995</v>
      </c>
      <c r="U2605" s="5">
        <f>C2605+2</f>
        <v>40385</v>
      </c>
    </row>
    <row r="2606" spans="1:21" ht="12" customHeight="1">
      <c r="A2606" s="4">
        <v>6487</v>
      </c>
      <c r="B2606" s="4">
        <v>46177</v>
      </c>
      <c r="C2606" s="5">
        <f>DATE(2012,12,31)-757</f>
        <v>40517</v>
      </c>
      <c r="D2606" s="4" t="s">
        <v>21</v>
      </c>
      <c r="E2606" s="4">
        <v>13</v>
      </c>
      <c r="F2606" s="4">
        <v>11169.95</v>
      </c>
      <c r="G2606" s="4">
        <v>7.0000000000000007E-2</v>
      </c>
      <c r="H2606" s="4" t="s">
        <v>22</v>
      </c>
      <c r="I2606" s="6">
        <v>3982.2245000000003</v>
      </c>
      <c r="J2606" s="4">
        <v>896.99</v>
      </c>
      <c r="K2606" s="4">
        <v>19.989999999999998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spans="1:21" ht="12" customHeight="1">
      <c r="A2607" s="4">
        <v>6513</v>
      </c>
      <c r="B2607" s="4">
        <v>46368</v>
      </c>
      <c r="C2607" s="5">
        <f>DATE(2012,12,31)-251</f>
        <v>41023</v>
      </c>
      <c r="D2607" s="4" t="s">
        <v>30</v>
      </c>
      <c r="E2607" s="4">
        <v>48</v>
      </c>
      <c r="F2607" s="4">
        <v>166.13</v>
      </c>
      <c r="G2607" s="4">
        <v>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0.56000000000000005</v>
      </c>
      <c r="U2607" s="5">
        <f>C2607+2</f>
        <v>41025</v>
      </c>
    </row>
    <row r="2608" spans="1:21" ht="12" customHeight="1">
      <c r="A2608" s="4">
        <v>6541</v>
      </c>
      <c r="B2608" s="4">
        <v>46531</v>
      </c>
      <c r="C2608" s="5">
        <f>DATE(2012,12,31)-498</f>
        <v>40776</v>
      </c>
      <c r="D2608" s="4" t="s">
        <v>21</v>
      </c>
      <c r="E2608" s="4">
        <v>17</v>
      </c>
      <c r="F2608" s="4">
        <v>3064.6579999999999</v>
      </c>
      <c r="G2608" s="4">
        <v>0.01</v>
      </c>
      <c r="H2608" s="4" t="s">
        <v>22</v>
      </c>
      <c r="I2608" s="6">
        <v>447.33600000000001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0.57999999999999996</v>
      </c>
      <c r="U2608" s="5">
        <f>C2608+5</f>
        <v>40781</v>
      </c>
    </row>
    <row r="2609" spans="1:21" ht="12" customHeight="1">
      <c r="A2609" s="4">
        <v>6608</v>
      </c>
      <c r="B2609" s="4">
        <v>47012</v>
      </c>
      <c r="C2609" s="5">
        <f>DATE(2012,12,31)-963</f>
        <v>40311</v>
      </c>
      <c r="D2609" s="4" t="s">
        <v>21</v>
      </c>
      <c r="E2609" s="4">
        <v>35</v>
      </c>
      <c r="F2609" s="4">
        <v>584.41999999999996</v>
      </c>
      <c r="G2609" s="4">
        <v>0.08</v>
      </c>
      <c r="H2609" s="4" t="s">
        <v>56</v>
      </c>
      <c r="I2609" s="6">
        <v>-97.21</v>
      </c>
      <c r="J2609" s="4">
        <v>16.989999999999998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0.56000000000000005</v>
      </c>
      <c r="U2609" s="5">
        <f>C2609+4</f>
        <v>40315</v>
      </c>
    </row>
    <row r="2610" spans="1:21" ht="12" customHeight="1">
      <c r="A2610" s="4">
        <v>6619</v>
      </c>
      <c r="B2610" s="4">
        <v>47106</v>
      </c>
      <c r="C2610" s="5">
        <f>DATE(2012,12,31)-433</f>
        <v>40841</v>
      </c>
      <c r="D2610" s="4" t="s">
        <v>63</v>
      </c>
      <c r="E2610" s="4">
        <v>37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0.56999999999999995</v>
      </c>
      <c r="U2610" s="5">
        <f>C2610+2</f>
        <v>40843</v>
      </c>
    </row>
    <row r="2611" spans="1:21" ht="12" customHeight="1">
      <c r="A2611" s="4">
        <v>6839</v>
      </c>
      <c r="B2611" s="4">
        <v>48706</v>
      </c>
      <c r="C2611" s="5">
        <f>DATE(2012,12,31)-62</f>
        <v>41212</v>
      </c>
      <c r="D2611" s="4" t="s">
        <v>21</v>
      </c>
      <c r="E2611" s="4">
        <v>28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1.1399999999999999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spans="1:21" ht="12" customHeight="1">
      <c r="A2612" s="4">
        <v>6929</v>
      </c>
      <c r="B2612" s="4">
        <v>49443</v>
      </c>
      <c r="C2612" s="5">
        <f>DATE(2012,12,31)-708</f>
        <v>40566</v>
      </c>
      <c r="D2612" s="4" t="s">
        <v>30</v>
      </c>
      <c r="E2612" s="4">
        <v>41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0">C2612+1</f>
        <v>40567</v>
      </c>
    </row>
    <row r="2613" spans="1:21" ht="12" customHeight="1">
      <c r="A2613" s="4">
        <v>6972</v>
      </c>
      <c r="B2613" s="4">
        <v>49824</v>
      </c>
      <c r="C2613" s="5">
        <f>DATE(2012,12,31)-650</f>
        <v>40624</v>
      </c>
      <c r="D2613" s="4" t="s">
        <v>30</v>
      </c>
      <c r="E2613" s="4">
        <v>33</v>
      </c>
      <c r="F2613" s="4">
        <v>1900.2259999999999</v>
      </c>
      <c r="G2613" s="4">
        <v>0.01</v>
      </c>
      <c r="H2613" s="4" t="s">
        <v>56</v>
      </c>
      <c r="I2613" s="6">
        <v>440.19900000000001</v>
      </c>
      <c r="J2613" s="4">
        <v>65.989999999999995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0.56999999999999995</v>
      </c>
      <c r="U2613" s="5">
        <f t="shared" si="1070"/>
        <v>40625</v>
      </c>
    </row>
    <row r="2614" spans="1:21" ht="12" customHeight="1">
      <c r="A2614" s="4">
        <v>7261</v>
      </c>
      <c r="B2614" s="4">
        <v>51783</v>
      </c>
      <c r="C2614" s="5">
        <f>DATE(2012,12,31)-416</f>
        <v>40858</v>
      </c>
      <c r="D2614" s="4" t="s">
        <v>63</v>
      </c>
      <c r="E2614" s="4">
        <v>47</v>
      </c>
      <c r="F2614" s="4">
        <v>3587.72</v>
      </c>
      <c r="G2614" s="4">
        <v>0</v>
      </c>
      <c r="H2614" s="4" t="s">
        <v>31</v>
      </c>
      <c r="I2614" s="6">
        <v>54.230849999999997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spans="1:21" ht="12" customHeight="1">
      <c r="A2615" s="4">
        <v>7556</v>
      </c>
      <c r="B2615" s="4">
        <v>54053</v>
      </c>
      <c r="C2615" s="5">
        <f>DATE(2012,12,31)-321</f>
        <v>40953</v>
      </c>
      <c r="D2615" s="4" t="s">
        <v>30</v>
      </c>
      <c r="E2615" s="4">
        <v>34</v>
      </c>
      <c r="F2615" s="4">
        <v>5634.3525</v>
      </c>
      <c r="G2615" s="4">
        <v>0.03</v>
      </c>
      <c r="H2615" s="4" t="s">
        <v>22</v>
      </c>
      <c r="I2615" s="6">
        <v>1185.4079999999999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spans="1:21" ht="12" customHeight="1">
      <c r="A2616" s="4">
        <v>7630</v>
      </c>
      <c r="B2616" s="4">
        <v>54592</v>
      </c>
      <c r="C2616" s="5">
        <f>DATE(2012,12,31)-568</f>
        <v>40706</v>
      </c>
      <c r="D2616" s="4" t="s">
        <v>21</v>
      </c>
      <c r="E2616" s="4">
        <v>34</v>
      </c>
      <c r="F2616" s="4">
        <v>154.43</v>
      </c>
      <c r="G2616" s="4">
        <v>0.03</v>
      </c>
      <c r="H2616" s="4" t="s">
        <v>22</v>
      </c>
      <c r="I2616" s="6">
        <v>-133.77000000000001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1">C2616+2</f>
        <v>40708</v>
      </c>
    </row>
    <row r="2617" spans="1:21" ht="12" customHeight="1">
      <c r="A2617" s="4">
        <v>7741</v>
      </c>
      <c r="B2617" s="4">
        <v>55425</v>
      </c>
      <c r="C2617" s="5">
        <f>DATE(2012,12,31)-426</f>
        <v>40848</v>
      </c>
      <c r="D2617" s="4" t="s">
        <v>78</v>
      </c>
      <c r="E2617" s="4">
        <v>8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300.97000000000003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1"/>
        <v>40850</v>
      </c>
    </row>
    <row r="2618" spans="1:21" ht="12" customHeight="1">
      <c r="A2618" s="4">
        <v>7767</v>
      </c>
      <c r="B2618" s="4">
        <v>55616</v>
      </c>
      <c r="C2618" s="5">
        <f>DATE(2012,12,31)-603</f>
        <v>40671</v>
      </c>
      <c r="D2618" s="4" t="s">
        <v>30</v>
      </c>
      <c r="E2618" s="4">
        <v>24</v>
      </c>
      <c r="F2618" s="4">
        <v>437.47799999999995</v>
      </c>
      <c r="G2618" s="4">
        <v>0.02</v>
      </c>
      <c r="H2618" s="4" t="s">
        <v>22</v>
      </c>
      <c r="I2618" s="6">
        <v>-42.228999999999999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2">C2618+1</f>
        <v>40672</v>
      </c>
    </row>
    <row r="2619" spans="1:21" ht="12" customHeight="1">
      <c r="A2619" s="4">
        <v>7825</v>
      </c>
      <c r="B2619" s="4">
        <v>55938</v>
      </c>
      <c r="C2619" s="5">
        <f>DATE(2012,12,31)-182</f>
        <v>41092</v>
      </c>
      <c r="D2619" s="4" t="s">
        <v>45</v>
      </c>
      <c r="E2619" s="4">
        <v>42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2"/>
        <v>41093</v>
      </c>
    </row>
    <row r="2620" spans="1:21" ht="12" customHeight="1">
      <c r="A2620" s="4">
        <v>7946</v>
      </c>
      <c r="B2620" s="4">
        <v>56768</v>
      </c>
      <c r="C2620" s="5">
        <f>DATE(2012,12,31)-523</f>
        <v>40751</v>
      </c>
      <c r="D2620" s="4" t="s">
        <v>78</v>
      </c>
      <c r="E2620" s="4">
        <v>13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2"/>
        <v>40752</v>
      </c>
    </row>
    <row r="2621" spans="1:21" ht="12" customHeight="1">
      <c r="A2621" s="4">
        <v>8299</v>
      </c>
      <c r="B2621" s="4">
        <v>59270</v>
      </c>
      <c r="C2621" s="5">
        <f>DATE(2012,12,31)-1085</f>
        <v>40189</v>
      </c>
      <c r="D2621" s="4" t="s">
        <v>30</v>
      </c>
      <c r="E2621" s="4">
        <v>5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spans="1:21" ht="12" customHeight="1">
      <c r="A2622" s="4">
        <v>8342</v>
      </c>
      <c r="B2622" s="4">
        <v>59619</v>
      </c>
      <c r="C2622" s="5">
        <f>DATE(2012,12,31)-1052</f>
        <v>40222</v>
      </c>
      <c r="D2622" s="4" t="s">
        <v>45</v>
      </c>
      <c r="E2622" s="4">
        <v>35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3">C2622+2</f>
        <v>40224</v>
      </c>
    </row>
    <row r="2623" spans="1:21" ht="12" customHeight="1">
      <c r="A2623" s="4">
        <v>8358</v>
      </c>
      <c r="B2623" s="4">
        <v>59714</v>
      </c>
      <c r="C2623" s="5">
        <f>DATE(2012,12,31)-749</f>
        <v>40525</v>
      </c>
      <c r="D2623" s="4" t="s">
        <v>78</v>
      </c>
      <c r="E2623" s="4">
        <v>26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3"/>
        <v>40527</v>
      </c>
    </row>
    <row r="2624" spans="1:21" ht="12" customHeight="1">
      <c r="A2624" s="4">
        <v>8366</v>
      </c>
      <c r="B2624" s="4">
        <v>59781</v>
      </c>
      <c r="C2624" s="5">
        <f t="shared" ref="C2624:C2625" si="1074">DATE(2012,12,31)-19</f>
        <v>41255</v>
      </c>
      <c r="D2624" s="4" t="s">
        <v>45</v>
      </c>
      <c r="E2624" s="4">
        <v>18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3"/>
        <v>41257</v>
      </c>
    </row>
    <row r="2625" spans="1:21" ht="12" customHeight="1">
      <c r="A2625" s="4">
        <v>8368</v>
      </c>
      <c r="B2625" s="4">
        <v>59781</v>
      </c>
      <c r="C2625" s="5">
        <f t="shared" si="1074"/>
        <v>41255</v>
      </c>
      <c r="D2625" s="4" t="s">
        <v>45</v>
      </c>
      <c r="E2625" s="4">
        <v>28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spans="1:21" ht="12" customHeight="1">
      <c r="A2626" s="4">
        <v>14</v>
      </c>
      <c r="B2626" s="4">
        <v>70</v>
      </c>
      <c r="C2626" s="5">
        <f t="shared" ref="C2626:C2627" si="1075">DATE(2012,12,31)-745</f>
        <v>40529</v>
      </c>
      <c r="D2626" s="4" t="s">
        <v>21</v>
      </c>
      <c r="E2626" s="4">
        <v>48</v>
      </c>
      <c r="F2626" s="4">
        <v>90.05</v>
      </c>
      <c r="G2626" s="4">
        <v>0.03</v>
      </c>
      <c r="H2626" s="4" t="s">
        <v>22</v>
      </c>
      <c r="I2626" s="6">
        <v>-107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6">C2626+5</f>
        <v>40534</v>
      </c>
    </row>
    <row r="2627" spans="1:21" ht="12" customHeight="1">
      <c r="A2627" s="4">
        <v>15</v>
      </c>
      <c r="B2627" s="4">
        <v>70</v>
      </c>
      <c r="C2627" s="5">
        <f t="shared" si="1075"/>
        <v>40529</v>
      </c>
      <c r="D2627" s="4" t="s">
        <v>21</v>
      </c>
      <c r="E2627" s="4">
        <v>46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6"/>
        <v>40534</v>
      </c>
    </row>
    <row r="2628" spans="1:21" ht="12" customHeight="1">
      <c r="A2628" s="4">
        <v>25</v>
      </c>
      <c r="B2628" s="4">
        <v>135</v>
      </c>
      <c r="C2628" s="5">
        <f>DATE(2012,12,31)-438</f>
        <v>40836</v>
      </c>
      <c r="D2628" s="4" t="s">
        <v>45</v>
      </c>
      <c r="E2628" s="4">
        <v>25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4.9800000000000004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7">C2628+2</f>
        <v>40838</v>
      </c>
    </row>
    <row r="2629" spans="1:21" ht="12" customHeight="1">
      <c r="A2629" s="4">
        <v>27</v>
      </c>
      <c r="B2629" s="4">
        <v>193</v>
      </c>
      <c r="C2629" s="5">
        <f>DATE(2012,12,31)-877</f>
        <v>40397</v>
      </c>
      <c r="D2629" s="4" t="s">
        <v>78</v>
      </c>
      <c r="E2629" s="4">
        <v>14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0.56999999999999995</v>
      </c>
      <c r="U2629" s="5">
        <f t="shared" si="1077"/>
        <v>40399</v>
      </c>
    </row>
    <row r="2630" spans="1:21" ht="12" customHeight="1">
      <c r="A2630" s="4">
        <v>35</v>
      </c>
      <c r="B2630" s="4">
        <v>225</v>
      </c>
      <c r="C2630" s="5">
        <f t="shared" ref="C2630:C2631" si="1078">DATE(2012,12,31)-587</f>
        <v>40687</v>
      </c>
      <c r="D2630" s="4" t="s">
        <v>78</v>
      </c>
      <c r="E2630" s="4">
        <v>24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spans="1:21" ht="12" customHeight="1">
      <c r="A2631" s="4">
        <v>36</v>
      </c>
      <c r="B2631" s="4">
        <v>225</v>
      </c>
      <c r="C2631" s="5">
        <f t="shared" si="1078"/>
        <v>40687</v>
      </c>
      <c r="D2631" s="4" t="s">
        <v>78</v>
      </c>
      <c r="E2631" s="4">
        <v>1</v>
      </c>
      <c r="F2631" s="4">
        <v>23.7</v>
      </c>
      <c r="G2631" s="4">
        <v>0.05</v>
      </c>
      <c r="H2631" s="4" t="s">
        <v>22</v>
      </c>
      <c r="I2631" s="6">
        <v>-8.9700000000000006</v>
      </c>
      <c r="J2631" s="4">
        <v>19.84</v>
      </c>
      <c r="K2631" s="4">
        <v>4.0999999999999996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spans="1:21" ht="12" customHeight="1">
      <c r="A2632" s="4">
        <v>104</v>
      </c>
      <c r="B2632" s="4">
        <v>644</v>
      </c>
      <c r="C2632" s="5">
        <f>DATE(2012,12,31)-245</f>
        <v>41029</v>
      </c>
      <c r="D2632" s="4" t="s">
        <v>78</v>
      </c>
      <c r="E2632" s="4">
        <v>5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0.56999999999999995</v>
      </c>
      <c r="U2632" s="5">
        <f>C2632+1</f>
        <v>41030</v>
      </c>
    </row>
    <row r="2633" spans="1:21" ht="12" customHeight="1">
      <c r="A2633" s="4">
        <v>112</v>
      </c>
      <c r="B2633" s="4">
        <v>738</v>
      </c>
      <c r="C2633" s="5">
        <f t="shared" ref="C2633:C2634" si="1079">DATE(2012,12,31)-1036</f>
        <v>40238</v>
      </c>
      <c r="D2633" s="4" t="s">
        <v>45</v>
      </c>
      <c r="E2633" s="4">
        <v>7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spans="1:21" ht="12" customHeight="1">
      <c r="A2634" s="4">
        <v>113</v>
      </c>
      <c r="B2634" s="4">
        <v>738</v>
      </c>
      <c r="C2634" s="5">
        <f t="shared" si="1079"/>
        <v>40238</v>
      </c>
      <c r="D2634" s="4" t="s">
        <v>45</v>
      </c>
      <c r="E2634" s="4">
        <v>31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spans="1:21" ht="12" customHeight="1">
      <c r="A2635" s="4">
        <v>117</v>
      </c>
      <c r="B2635" s="4">
        <v>772</v>
      </c>
      <c r="C2635" s="5">
        <f t="shared" ref="C2635:C2636" si="1080">DATE(2012,12,31)-990</f>
        <v>40284</v>
      </c>
      <c r="D2635" s="4" t="s">
        <v>30</v>
      </c>
      <c r="E2635" s="4">
        <v>35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1">C2635+2</f>
        <v>40286</v>
      </c>
    </row>
    <row r="2636" spans="1:21" ht="12" customHeight="1">
      <c r="A2636" s="4">
        <v>118</v>
      </c>
      <c r="B2636" s="4">
        <v>772</v>
      </c>
      <c r="C2636" s="5">
        <f t="shared" si="1080"/>
        <v>40284</v>
      </c>
      <c r="D2636" s="4" t="s">
        <v>30</v>
      </c>
      <c r="E2636" s="4">
        <v>25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1"/>
        <v>40286</v>
      </c>
    </row>
    <row r="2637" spans="1:21" ht="12" customHeight="1">
      <c r="A2637" s="4">
        <v>263</v>
      </c>
      <c r="B2637" s="4">
        <v>1825</v>
      </c>
      <c r="C2637" s="5">
        <f>DATE(2012,12,31)-758</f>
        <v>40516</v>
      </c>
      <c r="D2637" s="4" t="s">
        <v>63</v>
      </c>
      <c r="E2637" s="4">
        <v>22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0.56000000000000005</v>
      </c>
      <c r="U2637" s="5">
        <f t="shared" si="1081"/>
        <v>40518</v>
      </c>
    </row>
    <row r="2638" spans="1:21" ht="12" customHeight="1">
      <c r="A2638" s="4">
        <v>355</v>
      </c>
      <c r="B2638" s="4">
        <v>2467</v>
      </c>
      <c r="C2638" s="5">
        <f>DATE(2012,12,31)-535</f>
        <v>40739</v>
      </c>
      <c r="D2638" s="4" t="s">
        <v>45</v>
      </c>
      <c r="E2638" s="4">
        <v>30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145.44999999999999</v>
      </c>
      <c r="K2638" s="4">
        <v>17.850000000000001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0.56000000000000005</v>
      </c>
      <c r="U2638" s="5">
        <f>C2638+1</f>
        <v>40740</v>
      </c>
    </row>
    <row r="2639" spans="1:21" ht="12" customHeight="1">
      <c r="A2639" s="4">
        <v>446</v>
      </c>
      <c r="B2639" s="4">
        <v>3014</v>
      </c>
      <c r="C2639" s="5">
        <f>DATE(2012,12,31)-63</f>
        <v>41211</v>
      </c>
      <c r="D2639" s="4" t="s">
        <v>45</v>
      </c>
      <c r="E2639" s="4">
        <v>13</v>
      </c>
      <c r="F2639" s="4">
        <v>4002.14</v>
      </c>
      <c r="G2639" s="4">
        <v>0.02</v>
      </c>
      <c r="H2639" s="4" t="s">
        <v>22</v>
      </c>
      <c r="I2639" s="6">
        <v>1314.3889999999999</v>
      </c>
      <c r="J2639" s="4">
        <v>304.99</v>
      </c>
      <c r="K2639" s="4">
        <v>19.989999999999998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spans="1:21" ht="12" customHeight="1">
      <c r="A2640" s="4">
        <v>464</v>
      </c>
      <c r="B2640" s="4">
        <v>3168</v>
      </c>
      <c r="C2640" s="5">
        <f>DATE(2012,12,31)-337</f>
        <v>40937</v>
      </c>
      <c r="D2640" s="4" t="s">
        <v>21</v>
      </c>
      <c r="E2640" s="4">
        <v>14</v>
      </c>
      <c r="F2640" s="4">
        <v>80.599999999999994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spans="1:21" ht="12" customHeight="1">
      <c r="A2641" s="4">
        <v>469</v>
      </c>
      <c r="B2641" s="4">
        <v>3205</v>
      </c>
      <c r="C2641" s="5">
        <f t="shared" ref="C2641:C2642" si="1082">DATE(2012,12,31)-265</f>
        <v>41009</v>
      </c>
      <c r="D2641" s="4" t="s">
        <v>21</v>
      </c>
      <c r="E2641" s="4">
        <v>8</v>
      </c>
      <c r="F2641" s="4">
        <v>136.61000000000001</v>
      </c>
      <c r="G2641" s="4">
        <v>0.01</v>
      </c>
      <c r="H2641" s="4" t="s">
        <v>22</v>
      </c>
      <c r="I2641" s="6">
        <v>80.430000000000007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spans="1:21" ht="12" customHeight="1">
      <c r="A2642" s="4">
        <v>470</v>
      </c>
      <c r="B2642" s="4">
        <v>3205</v>
      </c>
      <c r="C2642" s="5">
        <f t="shared" si="1082"/>
        <v>41009</v>
      </c>
      <c r="D2642" s="4" t="s">
        <v>21</v>
      </c>
      <c r="E2642" s="4">
        <v>42</v>
      </c>
      <c r="F2642" s="4">
        <v>2907.63</v>
      </c>
      <c r="G2642" s="4">
        <v>0.04</v>
      </c>
      <c r="H2642" s="4" t="s">
        <v>56</v>
      </c>
      <c r="I2642" s="6">
        <v>54.598050000000008</v>
      </c>
      <c r="J2642" s="4">
        <v>71.37</v>
      </c>
      <c r="K2642" s="4">
        <v>69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spans="1:21" ht="12" customHeight="1">
      <c r="A2643" s="4">
        <v>520</v>
      </c>
      <c r="B2643" s="4">
        <v>3559</v>
      </c>
      <c r="C2643" s="5">
        <f>DATE(2012,12,31)-69</f>
        <v>41205</v>
      </c>
      <c r="D2643" s="4" t="s">
        <v>63</v>
      </c>
      <c r="E2643" s="4">
        <v>34</v>
      </c>
      <c r="F2643" s="4">
        <v>136.66999999999999</v>
      </c>
      <c r="G2643" s="4">
        <v>7.0000000000000007E-2</v>
      </c>
      <c r="H2643" s="4" t="s">
        <v>56</v>
      </c>
      <c r="I2643" s="6">
        <v>-117.92100000000001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3">C2643+1</f>
        <v>41206</v>
      </c>
    </row>
    <row r="2644" spans="1:21" ht="12" customHeight="1">
      <c r="A2644" s="4">
        <v>523</v>
      </c>
      <c r="B2644" s="4">
        <v>3586</v>
      </c>
      <c r="C2644" s="5">
        <f t="shared" ref="C2644:C2645" si="1084">DATE(2012,12,31)-758</f>
        <v>40516</v>
      </c>
      <c r="D2644" s="4" t="s">
        <v>30</v>
      </c>
      <c r="E2644" s="4">
        <v>32</v>
      </c>
      <c r="F2644" s="4">
        <v>383.57</v>
      </c>
      <c r="G2644" s="4">
        <v>0.06</v>
      </c>
      <c r="H2644" s="4" t="s">
        <v>22</v>
      </c>
      <c r="I2644" s="6">
        <v>70.510000000000005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3"/>
        <v>40517</v>
      </c>
    </row>
    <row r="2645" spans="1:21" ht="12" customHeight="1">
      <c r="A2645" s="4">
        <v>524</v>
      </c>
      <c r="B2645" s="4">
        <v>3586</v>
      </c>
      <c r="C2645" s="5">
        <f t="shared" si="1084"/>
        <v>40516</v>
      </c>
      <c r="D2645" s="4" t="s">
        <v>30</v>
      </c>
      <c r="E2645" s="4">
        <v>31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5">C2645+2</f>
        <v>40518</v>
      </c>
    </row>
    <row r="2646" spans="1:21" ht="12" customHeight="1">
      <c r="A2646" s="4">
        <v>554</v>
      </c>
      <c r="B2646" s="4">
        <v>3750</v>
      </c>
      <c r="C2646" s="5">
        <f>DATE(2012,12,31)-612</f>
        <v>40662</v>
      </c>
      <c r="D2646" s="4" t="s">
        <v>63</v>
      </c>
      <c r="E2646" s="4">
        <v>12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5"/>
        <v>40664</v>
      </c>
    </row>
    <row r="2647" spans="1:21" ht="12" customHeight="1">
      <c r="A2647" s="4">
        <v>556</v>
      </c>
      <c r="B2647" s="4">
        <v>3778</v>
      </c>
      <c r="C2647" s="5">
        <f t="shared" ref="C2647:C2650" si="1086">DATE(2012,12,31)-951</f>
        <v>40323</v>
      </c>
      <c r="D2647" s="4" t="s">
        <v>78</v>
      </c>
      <c r="E2647" s="4">
        <v>34</v>
      </c>
      <c r="F2647" s="4">
        <v>268.08999999999997</v>
      </c>
      <c r="G2647" s="4">
        <v>7.0000000000000007E-2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5"/>
        <v>40325</v>
      </c>
    </row>
    <row r="2648" spans="1:21" ht="12" customHeight="1">
      <c r="A2648" s="4">
        <v>557</v>
      </c>
      <c r="B2648" s="4">
        <v>3778</v>
      </c>
      <c r="C2648" s="5">
        <f t="shared" si="1086"/>
        <v>40323</v>
      </c>
      <c r="D2648" s="4" t="s">
        <v>78</v>
      </c>
      <c r="E2648" s="4">
        <v>12</v>
      </c>
      <c r="F2648" s="4">
        <v>557.03</v>
      </c>
      <c r="G2648" s="4">
        <v>0.04</v>
      </c>
      <c r="H2648" s="4" t="s">
        <v>22</v>
      </c>
      <c r="I2648" s="6">
        <v>8.9499999999999993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0.55000000000000004</v>
      </c>
      <c r="U2648" s="5">
        <f t="shared" ref="U2648:U2650" si="1087">C2648+1</f>
        <v>40324</v>
      </c>
    </row>
    <row r="2649" spans="1:21" ht="12" customHeight="1">
      <c r="A2649" s="4">
        <v>558</v>
      </c>
      <c r="B2649" s="4">
        <v>3778</v>
      </c>
      <c r="C2649" s="5">
        <f t="shared" si="1086"/>
        <v>40323</v>
      </c>
      <c r="D2649" s="4" t="s">
        <v>78</v>
      </c>
      <c r="E2649" s="4">
        <v>3</v>
      </c>
      <c r="F2649" s="4">
        <v>26.53</v>
      </c>
      <c r="G2649" s="4">
        <v>0.05</v>
      </c>
      <c r="H2649" s="4" t="s">
        <v>22</v>
      </c>
      <c r="I2649" s="6">
        <v>-15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7"/>
        <v>40324</v>
      </c>
    </row>
    <row r="2650" spans="1:21" ht="12" customHeight="1">
      <c r="A2650" s="4">
        <v>559</v>
      </c>
      <c r="B2650" s="4">
        <v>3778</v>
      </c>
      <c r="C2650" s="5">
        <f t="shared" si="1086"/>
        <v>40323</v>
      </c>
      <c r="D2650" s="4" t="s">
        <v>78</v>
      </c>
      <c r="E2650" s="4">
        <v>34</v>
      </c>
      <c r="F2650" s="4">
        <v>5133.9234999999999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7"/>
        <v>40324</v>
      </c>
    </row>
    <row r="2651" spans="1:21" ht="12" customHeight="1">
      <c r="A2651" s="4">
        <v>584</v>
      </c>
      <c r="B2651" s="4">
        <v>4004</v>
      </c>
      <c r="C2651" s="5">
        <f t="shared" ref="C2651:C2652" si="1088">DATE(2012,12,31)-970</f>
        <v>40304</v>
      </c>
      <c r="D2651" s="4" t="s">
        <v>63</v>
      </c>
      <c r="E2651" s="4">
        <v>14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spans="1:21" ht="12" customHeight="1">
      <c r="A2652" s="4">
        <v>585</v>
      </c>
      <c r="B2652" s="4">
        <v>4004</v>
      </c>
      <c r="C2652" s="5">
        <f t="shared" si="1088"/>
        <v>40304</v>
      </c>
      <c r="D2652" s="4" t="s">
        <v>63</v>
      </c>
      <c r="E2652" s="4">
        <v>44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0.56000000000000005</v>
      </c>
      <c r="U2652" s="5">
        <f t="shared" ref="U2652:U2654" si="1089">C2652+1</f>
        <v>40305</v>
      </c>
    </row>
    <row r="2653" spans="1:21" ht="12" customHeight="1">
      <c r="A2653" s="4">
        <v>599</v>
      </c>
      <c r="B2653" s="4">
        <v>4096</v>
      </c>
      <c r="C2653" s="5">
        <f>DATE(2012,12,31)-182</f>
        <v>41092</v>
      </c>
      <c r="D2653" s="4" t="s">
        <v>45</v>
      </c>
      <c r="E2653" s="4">
        <v>21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89"/>
        <v>41093</v>
      </c>
    </row>
    <row r="2654" spans="1:21" ht="12" customHeight="1">
      <c r="A2654" s="4">
        <v>682</v>
      </c>
      <c r="B2654" s="4">
        <v>4769</v>
      </c>
      <c r="C2654" s="5">
        <f>DATE(2012,12,31)-628</f>
        <v>40646</v>
      </c>
      <c r="D2654" s="4" t="s">
        <v>45</v>
      </c>
      <c r="E2654" s="4">
        <v>41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89"/>
        <v>40647</v>
      </c>
    </row>
    <row r="2655" spans="1:21" ht="12" customHeight="1">
      <c r="A2655" s="4">
        <v>688</v>
      </c>
      <c r="B2655" s="4">
        <v>4800</v>
      </c>
      <c r="C2655" s="5">
        <f t="shared" ref="C2655:C2657" si="1090">DATE(2012,12,31)-361</f>
        <v>40913</v>
      </c>
      <c r="D2655" s="4" t="s">
        <v>21</v>
      </c>
      <c r="E2655" s="4">
        <v>4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8.0399999999999991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1">C2655+7</f>
        <v>40920</v>
      </c>
    </row>
    <row r="2656" spans="1:21" ht="12" customHeight="1">
      <c r="A2656" s="4">
        <v>689</v>
      </c>
      <c r="B2656" s="4">
        <v>4800</v>
      </c>
      <c r="C2656" s="5">
        <f t="shared" si="1090"/>
        <v>40913</v>
      </c>
      <c r="D2656" s="4" t="s">
        <v>21</v>
      </c>
      <c r="E2656" s="4">
        <v>17</v>
      </c>
      <c r="F2656" s="4">
        <v>89.25</v>
      </c>
      <c r="G2656" s="4">
        <v>0.01</v>
      </c>
      <c r="H2656" s="4" t="s">
        <v>22</v>
      </c>
      <c r="I2656" s="6">
        <v>40.880000000000003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1"/>
        <v>40920</v>
      </c>
    </row>
    <row r="2657" spans="1:21" ht="12" customHeight="1">
      <c r="A2657" s="4">
        <v>690</v>
      </c>
      <c r="B2657" s="4">
        <v>4800</v>
      </c>
      <c r="C2657" s="5">
        <f t="shared" si="1090"/>
        <v>40913</v>
      </c>
      <c r="D2657" s="4" t="s">
        <v>21</v>
      </c>
      <c r="E2657" s="4">
        <v>7</v>
      </c>
      <c r="F2657" s="4">
        <v>79.81</v>
      </c>
      <c r="G2657" s="4">
        <v>7.0000000000000007E-2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0.55000000000000004</v>
      </c>
      <c r="U2657" s="5">
        <f>C2657+5</f>
        <v>40918</v>
      </c>
    </row>
    <row r="2658" spans="1:21" ht="12" customHeight="1">
      <c r="A2658" s="4">
        <v>778</v>
      </c>
      <c r="B2658" s="4">
        <v>5543</v>
      </c>
      <c r="C2658" s="5">
        <f t="shared" ref="C2658:C2660" si="1092">DATE(2012,12,31)-829</f>
        <v>40445</v>
      </c>
      <c r="D2658" s="4" t="s">
        <v>63</v>
      </c>
      <c r="E2658" s="4">
        <v>15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0.56000000000000005</v>
      </c>
      <c r="U2658" s="5">
        <f>C2658+2</f>
        <v>40447</v>
      </c>
    </row>
    <row r="2659" spans="1:21" ht="12" customHeight="1">
      <c r="A2659" s="4">
        <v>779</v>
      </c>
      <c r="B2659" s="4">
        <v>5543</v>
      </c>
      <c r="C2659" s="5">
        <f t="shared" si="1092"/>
        <v>40445</v>
      </c>
      <c r="D2659" s="4" t="s">
        <v>63</v>
      </c>
      <c r="E2659" s="4">
        <v>6</v>
      </c>
      <c r="F2659" s="4">
        <v>65.930000000000007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spans="1:21" ht="12" customHeight="1">
      <c r="A2660" s="4">
        <v>780</v>
      </c>
      <c r="B2660" s="4">
        <v>5543</v>
      </c>
      <c r="C2660" s="5">
        <f t="shared" si="1092"/>
        <v>40445</v>
      </c>
      <c r="D2660" s="4" t="s">
        <v>63</v>
      </c>
      <c r="E2660" s="4">
        <v>27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2.1800000000000002</v>
      </c>
      <c r="K2660" s="4">
        <v>5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3">C2660+2</f>
        <v>40447</v>
      </c>
    </row>
    <row r="2661" spans="1:21" ht="12" customHeight="1">
      <c r="A2661" s="4">
        <v>789</v>
      </c>
      <c r="B2661" s="4">
        <v>5636</v>
      </c>
      <c r="C2661" s="5">
        <f>DATE(2012,12,31)-685</f>
        <v>40589</v>
      </c>
      <c r="D2661" s="4" t="s">
        <v>63</v>
      </c>
      <c r="E2661" s="4">
        <v>23</v>
      </c>
      <c r="F2661" s="4">
        <v>138.16999999999999</v>
      </c>
      <c r="G2661" s="4">
        <v>0</v>
      </c>
      <c r="H2661" s="4" t="s">
        <v>22</v>
      </c>
      <c r="I2661" s="6">
        <v>-1.0900000000000001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0.56000000000000005</v>
      </c>
      <c r="U2661" s="5">
        <f t="shared" si="1093"/>
        <v>40591</v>
      </c>
    </row>
    <row r="2662" spans="1:21" ht="12" customHeight="1">
      <c r="A2662" s="4">
        <v>843</v>
      </c>
      <c r="B2662" s="4">
        <v>6050</v>
      </c>
      <c r="C2662" s="5">
        <f t="shared" ref="C2662:C2663" si="1094">DATE(2012,12,31)-1009</f>
        <v>40265</v>
      </c>
      <c r="D2662" s="4" t="s">
        <v>21</v>
      </c>
      <c r="E2662" s="4">
        <v>3</v>
      </c>
      <c r="F2662" s="4">
        <v>261.94</v>
      </c>
      <c r="G2662" s="4">
        <v>0.06</v>
      </c>
      <c r="H2662" s="4" t="s">
        <v>31</v>
      </c>
      <c r="I2662" s="6">
        <v>-219.77940000000001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spans="1:21" ht="12" customHeight="1">
      <c r="A2663" s="4">
        <v>844</v>
      </c>
      <c r="B2663" s="4">
        <v>6050</v>
      </c>
      <c r="C2663" s="5">
        <f t="shared" si="1094"/>
        <v>40265</v>
      </c>
      <c r="D2663" s="4" t="s">
        <v>21</v>
      </c>
      <c r="E2663" s="4">
        <v>47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spans="1:21" ht="12" customHeight="1">
      <c r="A2664" s="4">
        <v>857</v>
      </c>
      <c r="B2664" s="4">
        <v>6148</v>
      </c>
      <c r="C2664" s="5">
        <f t="shared" ref="C2664:C2665" si="1095">DATE(2012,12,31)-373</f>
        <v>40901</v>
      </c>
      <c r="D2664" s="4" t="s">
        <v>63</v>
      </c>
      <c r="E2664" s="4">
        <v>50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0.56999999999999995</v>
      </c>
      <c r="U2664" s="5">
        <f t="shared" ref="U2664:U2666" si="1096">C2664+1</f>
        <v>40902</v>
      </c>
    </row>
    <row r="2665" spans="1:21" ht="12" customHeight="1">
      <c r="A2665" s="4">
        <v>858</v>
      </c>
      <c r="B2665" s="4">
        <v>6148</v>
      </c>
      <c r="C2665" s="5">
        <f t="shared" si="1095"/>
        <v>40901</v>
      </c>
      <c r="D2665" s="4" t="s">
        <v>63</v>
      </c>
      <c r="E2665" s="4">
        <v>18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6"/>
        <v>40902</v>
      </c>
    </row>
    <row r="2666" spans="1:21" ht="12" customHeight="1">
      <c r="A2666" s="4">
        <v>979</v>
      </c>
      <c r="B2666" s="4">
        <v>7079</v>
      </c>
      <c r="C2666" s="5">
        <f t="shared" ref="C2666:C2667" si="1097">DATE(2012,12,31)-1057</f>
        <v>40217</v>
      </c>
      <c r="D2666" s="4" t="s">
        <v>63</v>
      </c>
      <c r="E2666" s="4">
        <v>44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6"/>
        <v>40218</v>
      </c>
    </row>
    <row r="2667" spans="1:21" ht="12" customHeight="1">
      <c r="A2667" s="4">
        <v>980</v>
      </c>
      <c r="B2667" s="4">
        <v>7079</v>
      </c>
      <c r="C2667" s="5">
        <f t="shared" si="1097"/>
        <v>40217</v>
      </c>
      <c r="D2667" s="4" t="s">
        <v>63</v>
      </c>
      <c r="E2667" s="4">
        <v>18</v>
      </c>
      <c r="F2667" s="4">
        <v>128.13</v>
      </c>
      <c r="G2667" s="4">
        <v>0.03</v>
      </c>
      <c r="H2667" s="4" t="s">
        <v>22</v>
      </c>
      <c r="I2667" s="6">
        <v>-34.909999999999997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spans="1:21" ht="12" customHeight="1">
      <c r="A2668" s="4">
        <v>1005</v>
      </c>
      <c r="B2668" s="4">
        <v>7301</v>
      </c>
      <c r="C2668" s="5">
        <f>DATE(2012,12,31)-734</f>
        <v>40540</v>
      </c>
      <c r="D2668" s="4" t="s">
        <v>21</v>
      </c>
      <c r="E2668" s="4">
        <v>17</v>
      </c>
      <c r="F2668" s="4">
        <v>959.08899999999994</v>
      </c>
      <c r="G2668" s="4">
        <v>0.06</v>
      </c>
      <c r="H2668" s="4" t="s">
        <v>22</v>
      </c>
      <c r="I2668" s="6">
        <v>124.99199999999999</v>
      </c>
      <c r="J2668" s="4">
        <v>65.989999999999995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0.55000000000000004</v>
      </c>
      <c r="U2668" s="5">
        <f>C2668+17</f>
        <v>40557</v>
      </c>
    </row>
    <row r="2669" spans="1:21" ht="12" customHeight="1">
      <c r="A2669" s="4">
        <v>1084</v>
      </c>
      <c r="B2669" s="4">
        <v>8000</v>
      </c>
      <c r="C2669" s="5">
        <f t="shared" ref="C2669:C2670" si="1098">DATE(2012,12,31)-834</f>
        <v>40440</v>
      </c>
      <c r="D2669" s="4" t="s">
        <v>21</v>
      </c>
      <c r="E2669" s="4">
        <v>10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099">C2669+2</f>
        <v>40442</v>
      </c>
    </row>
    <row r="2670" spans="1:21" ht="12" customHeight="1">
      <c r="A2670" s="4">
        <v>1085</v>
      </c>
      <c r="B2670" s="4">
        <v>8000</v>
      </c>
      <c r="C2670" s="5">
        <f t="shared" si="1098"/>
        <v>40440</v>
      </c>
      <c r="D2670" s="4" t="s">
        <v>21</v>
      </c>
      <c r="E2670" s="4">
        <v>1</v>
      </c>
      <c r="F2670" s="4">
        <v>10.14</v>
      </c>
      <c r="G2670" s="4">
        <v>0.04</v>
      </c>
      <c r="H2670" s="4" t="s">
        <v>22</v>
      </c>
      <c r="I2670" s="6">
        <v>-7.6130000000000004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099"/>
        <v>40442</v>
      </c>
    </row>
    <row r="2671" spans="1:21" ht="12" customHeight="1">
      <c r="A2671" s="4">
        <v>1097</v>
      </c>
      <c r="B2671" s="4">
        <v>8039</v>
      </c>
      <c r="C2671" s="5">
        <f>DATE(2012,12,31)-130</f>
        <v>41144</v>
      </c>
      <c r="D2671" s="4" t="s">
        <v>63</v>
      </c>
      <c r="E2671" s="4">
        <v>37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19.510000000000002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0">C2671+1</f>
        <v>41145</v>
      </c>
    </row>
    <row r="2672" spans="1:21" ht="12" customHeight="1">
      <c r="A2672" s="4">
        <v>1211</v>
      </c>
      <c r="B2672" s="4">
        <v>8870</v>
      </c>
      <c r="C2672" s="5">
        <f>DATE(2012,12,31)-1032</f>
        <v>40242</v>
      </c>
      <c r="D2672" s="4" t="s">
        <v>45</v>
      </c>
      <c r="E2672" s="4">
        <v>15</v>
      </c>
      <c r="F2672" s="4">
        <v>441.58</v>
      </c>
      <c r="G2672" s="4">
        <v>7.0000000000000007E-2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0"/>
        <v>40243</v>
      </c>
    </row>
    <row r="2673" spans="1:21" ht="12" customHeight="1">
      <c r="A2673" s="4">
        <v>1275</v>
      </c>
      <c r="B2673" s="4">
        <v>9253</v>
      </c>
      <c r="C2673" s="5">
        <f>DATE(2012,12,31)-336</f>
        <v>40938</v>
      </c>
      <c r="D2673" s="4" t="s">
        <v>78</v>
      </c>
      <c r="E2673" s="4">
        <v>36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1">C2673+2</f>
        <v>40940</v>
      </c>
    </row>
    <row r="2674" spans="1:21" ht="12" customHeight="1">
      <c r="A2674" s="4">
        <v>1490</v>
      </c>
      <c r="B2674" s="4">
        <v>10722</v>
      </c>
      <c r="C2674" s="5">
        <f>DATE(2012,12,31)-712</f>
        <v>40562</v>
      </c>
      <c r="D2674" s="4" t="s">
        <v>45</v>
      </c>
      <c r="E2674" s="4">
        <v>8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1"/>
        <v>40564</v>
      </c>
    </row>
    <row r="2675" spans="1:21" ht="12" customHeight="1">
      <c r="A2675" s="4">
        <v>1613</v>
      </c>
      <c r="B2675" s="4">
        <v>11683</v>
      </c>
      <c r="C2675" s="5">
        <f>DATE(2012,12,31)-328</f>
        <v>40946</v>
      </c>
      <c r="D2675" s="4" t="s">
        <v>45</v>
      </c>
      <c r="E2675" s="4">
        <v>28</v>
      </c>
      <c r="F2675" s="4">
        <v>1650.4110000000001</v>
      </c>
      <c r="G2675" s="4">
        <v>0.03</v>
      </c>
      <c r="H2675" s="4" t="s">
        <v>22</v>
      </c>
      <c r="I2675" s="6">
        <v>335.07900000000001</v>
      </c>
      <c r="J2675" s="4">
        <v>65.989999999999995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0.57999999999999996</v>
      </c>
      <c r="U2675" s="5">
        <f>C2675+0</f>
        <v>40946</v>
      </c>
    </row>
    <row r="2676" spans="1:21" ht="12" customHeight="1">
      <c r="A2676" s="4">
        <v>1730</v>
      </c>
      <c r="B2676" s="4">
        <v>12448</v>
      </c>
      <c r="C2676" s="5">
        <f t="shared" ref="C2676:C2677" si="1102">DATE(2012,12,31)-419</f>
        <v>40855</v>
      </c>
      <c r="D2676" s="4" t="s">
        <v>78</v>
      </c>
      <c r="E2676" s="4">
        <v>33</v>
      </c>
      <c r="F2676" s="4">
        <v>240.27</v>
      </c>
      <c r="G2676" s="4">
        <v>7.0000000000000007E-2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spans="1:21" ht="12" customHeight="1">
      <c r="A2677" s="4">
        <v>1731</v>
      </c>
      <c r="B2677" s="4">
        <v>12448</v>
      </c>
      <c r="C2677" s="5">
        <f t="shared" si="1102"/>
        <v>40855</v>
      </c>
      <c r="D2677" s="4" t="s">
        <v>78</v>
      </c>
      <c r="E2677" s="4">
        <v>24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spans="1:21" ht="12" customHeight="1">
      <c r="A2678" s="4">
        <v>1835</v>
      </c>
      <c r="B2678" s="4">
        <v>13156</v>
      </c>
      <c r="C2678" s="5">
        <f>DATE(2012,12,31)-453</f>
        <v>40821</v>
      </c>
      <c r="D2678" s="4" t="s">
        <v>21</v>
      </c>
      <c r="E2678" s="4">
        <v>12</v>
      </c>
      <c r="F2678" s="4">
        <v>502.01</v>
      </c>
      <c r="G2678" s="4">
        <v>0.04</v>
      </c>
      <c r="H2678" s="4" t="s">
        <v>22</v>
      </c>
      <c r="I2678" s="6">
        <v>159.72999999999999</v>
      </c>
      <c r="J2678" s="4">
        <v>39.979999999999997</v>
      </c>
      <c r="K2678" s="4">
        <v>9.1999999999999993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spans="1:21" ht="12" customHeight="1">
      <c r="A2679" s="4">
        <v>1879</v>
      </c>
      <c r="B2679" s="4">
        <v>13540</v>
      </c>
      <c r="C2679" s="5">
        <f t="shared" ref="C2679:C2680" si="1103">DATE(2012,12,31)-953</f>
        <v>40321</v>
      </c>
      <c r="D2679" s="4" t="s">
        <v>30</v>
      </c>
      <c r="E2679" s="4">
        <v>33</v>
      </c>
      <c r="F2679" s="4">
        <v>121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4">C2679+2</f>
        <v>40323</v>
      </c>
    </row>
    <row r="2680" spans="1:21" ht="12" customHeight="1">
      <c r="A2680" s="4">
        <v>1880</v>
      </c>
      <c r="B2680" s="4">
        <v>13540</v>
      </c>
      <c r="C2680" s="5">
        <f t="shared" si="1103"/>
        <v>40321</v>
      </c>
      <c r="D2680" s="4" t="s">
        <v>30</v>
      </c>
      <c r="E2680" s="4">
        <v>27</v>
      </c>
      <c r="F2680" s="4">
        <v>1484.1849999999999</v>
      </c>
      <c r="G2680" s="4">
        <v>0.02</v>
      </c>
      <c r="H2680" s="4" t="s">
        <v>22</v>
      </c>
      <c r="I2680" s="6">
        <v>239.24699999999999</v>
      </c>
      <c r="J2680" s="4">
        <v>65.989999999999995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0.56999999999999995</v>
      </c>
      <c r="U2680" s="5">
        <f t="shared" si="1104"/>
        <v>40323</v>
      </c>
    </row>
    <row r="2681" spans="1:21" ht="12" customHeight="1">
      <c r="A2681" s="4">
        <v>1968</v>
      </c>
      <c r="B2681" s="4">
        <v>14081</v>
      </c>
      <c r="C2681" s="5">
        <f>DATE(2012,12,31)-817</f>
        <v>40457</v>
      </c>
      <c r="D2681" s="4" t="s">
        <v>30</v>
      </c>
      <c r="E2681" s="4">
        <v>31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spans="1:21" ht="12" customHeight="1">
      <c r="A2682" s="4">
        <v>1969</v>
      </c>
      <c r="B2682" s="4">
        <v>14086</v>
      </c>
      <c r="C2682" s="5">
        <f t="shared" ref="C2682:C2683" si="1105">DATE(2012,12,31)-803</f>
        <v>40471</v>
      </c>
      <c r="D2682" s="4" t="s">
        <v>21</v>
      </c>
      <c r="E2682" s="4">
        <v>13</v>
      </c>
      <c r="F2682" s="4">
        <v>1764.97</v>
      </c>
      <c r="G2682" s="4">
        <v>7.0000000000000007E-2</v>
      </c>
      <c r="H2682" s="4" t="s">
        <v>31</v>
      </c>
      <c r="I2682" s="6">
        <v>-383.5</v>
      </c>
      <c r="J2682" s="4">
        <v>130.97999999999999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spans="1:21" ht="12" customHeight="1">
      <c r="A2683" s="4">
        <v>1970</v>
      </c>
      <c r="B2683" s="4">
        <v>14086</v>
      </c>
      <c r="C2683" s="5">
        <f t="shared" si="1105"/>
        <v>40471</v>
      </c>
      <c r="D2683" s="4" t="s">
        <v>21</v>
      </c>
      <c r="E2683" s="4">
        <v>50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spans="1:21" ht="12" customHeight="1">
      <c r="A2684" s="4">
        <v>2025</v>
      </c>
      <c r="B2684" s="4">
        <v>14435</v>
      </c>
      <c r="C2684" s="5">
        <f t="shared" ref="C2684:C2686" si="1106">DATE(2012,12,31)-30</f>
        <v>41244</v>
      </c>
      <c r="D2684" s="4" t="s">
        <v>45</v>
      </c>
      <c r="E2684" s="4">
        <v>41</v>
      </c>
      <c r="F2684" s="4">
        <v>3731.59</v>
      </c>
      <c r="G2684" s="4">
        <v>0</v>
      </c>
      <c r="H2684" s="4" t="s">
        <v>31</v>
      </c>
      <c r="I2684" s="6">
        <v>-605.52</v>
      </c>
      <c r="J2684" s="4">
        <v>89.99</v>
      </c>
      <c r="K2684" s="4">
        <v>42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spans="1:21" ht="12" customHeight="1">
      <c r="A2685" s="4">
        <v>2026</v>
      </c>
      <c r="B2685" s="4">
        <v>14435</v>
      </c>
      <c r="C2685" s="5">
        <f t="shared" si="1106"/>
        <v>41244</v>
      </c>
      <c r="D2685" s="4" t="s">
        <v>45</v>
      </c>
      <c r="E2685" s="4">
        <v>9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spans="1:21" ht="12" customHeight="1">
      <c r="A2686" s="4">
        <v>2027</v>
      </c>
      <c r="B2686" s="4">
        <v>14435</v>
      </c>
      <c r="C2686" s="5">
        <f t="shared" si="1106"/>
        <v>41244</v>
      </c>
      <c r="D2686" s="4" t="s">
        <v>45</v>
      </c>
      <c r="E2686" s="4">
        <v>44</v>
      </c>
      <c r="F2686" s="4">
        <v>1299.9100000000001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spans="1:21" ht="12" customHeight="1">
      <c r="A2687" s="4">
        <v>2064</v>
      </c>
      <c r="B2687" s="4">
        <v>14784</v>
      </c>
      <c r="C2687" s="5">
        <f>DATE(2012,12,31)-292</f>
        <v>40982</v>
      </c>
      <c r="D2687" s="4" t="s">
        <v>63</v>
      </c>
      <c r="E2687" s="4">
        <v>43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spans="1:21" ht="12" customHeight="1">
      <c r="A2688" s="4">
        <v>2136</v>
      </c>
      <c r="B2688" s="4">
        <v>15264</v>
      </c>
      <c r="C2688" s="5">
        <f t="shared" ref="C2688:C2689" si="1107">DATE(2012,12,31)-410</f>
        <v>40864</v>
      </c>
      <c r="D2688" s="4" t="s">
        <v>63</v>
      </c>
      <c r="E2688" s="4">
        <v>3</v>
      </c>
      <c r="F2688" s="4">
        <v>3581.52</v>
      </c>
      <c r="G2688" s="4">
        <v>7.0000000000000007E-2</v>
      </c>
      <c r="H2688" s="4" t="s">
        <v>22</v>
      </c>
      <c r="I2688" s="6">
        <v>-408.21550000000002</v>
      </c>
      <c r="J2688" s="4">
        <v>1270.99</v>
      </c>
      <c r="K2688" s="4">
        <v>19.989999999999998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spans="1:21" ht="12" customHeight="1">
      <c r="A2689" s="4">
        <v>2137</v>
      </c>
      <c r="B2689" s="4">
        <v>15264</v>
      </c>
      <c r="C2689" s="5">
        <f t="shared" si="1107"/>
        <v>40864</v>
      </c>
      <c r="D2689" s="4" t="s">
        <v>63</v>
      </c>
      <c r="E2689" s="4">
        <v>13</v>
      </c>
      <c r="F2689" s="4">
        <v>90.15</v>
      </c>
      <c r="G2689" s="4">
        <v>7.0000000000000007E-2</v>
      </c>
      <c r="H2689" s="4" t="s">
        <v>22</v>
      </c>
      <c r="I2689" s="6">
        <v>33.049999999999997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spans="1:21" ht="12" customHeight="1">
      <c r="A2690" s="4">
        <v>2273</v>
      </c>
      <c r="B2690" s="4">
        <v>16352</v>
      </c>
      <c r="C2690" s="5">
        <f>DATE(2012,12,31)-154</f>
        <v>41120</v>
      </c>
      <c r="D2690" s="4" t="s">
        <v>63</v>
      </c>
      <c r="E2690" s="4">
        <v>16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spans="1:21" ht="12" customHeight="1">
      <c r="A2691" s="4">
        <v>2289</v>
      </c>
      <c r="B2691" s="4">
        <v>16513</v>
      </c>
      <c r="C2691" s="5">
        <f>DATE(2012,12,31)-850</f>
        <v>40424</v>
      </c>
      <c r="D2691" s="4" t="s">
        <v>78</v>
      </c>
      <c r="E2691" s="4">
        <v>10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150.88999999999999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spans="1:21" ht="12" customHeight="1">
      <c r="A2692" s="4">
        <v>2302</v>
      </c>
      <c r="B2692" s="4">
        <v>16582</v>
      </c>
      <c r="C2692" s="5">
        <f>DATE(2012,12,31)-457</f>
        <v>40817</v>
      </c>
      <c r="D2692" s="4" t="s">
        <v>78</v>
      </c>
      <c r="E2692" s="4">
        <v>26</v>
      </c>
      <c r="F2692" s="4">
        <v>6766.8559999999998</v>
      </c>
      <c r="G2692" s="4">
        <v>0.02</v>
      </c>
      <c r="H2692" s="4" t="s">
        <v>31</v>
      </c>
      <c r="I2692" s="6">
        <v>-774.89068800000007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8">C2692+2</f>
        <v>40819</v>
      </c>
    </row>
    <row r="2693" spans="1:21" ht="12" customHeight="1">
      <c r="A2693" s="4">
        <v>2307</v>
      </c>
      <c r="B2693" s="4">
        <v>16640</v>
      </c>
      <c r="C2693" s="5">
        <f>DATE(2012,12,31)-888</f>
        <v>40386</v>
      </c>
      <c r="D2693" s="4" t="s">
        <v>21</v>
      </c>
      <c r="E2693" s="4">
        <v>6</v>
      </c>
      <c r="F2693" s="4">
        <v>652.33000000000004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8"/>
        <v>40388</v>
      </c>
    </row>
    <row r="2694" spans="1:21" ht="12" customHeight="1">
      <c r="A2694" s="4">
        <v>2321</v>
      </c>
      <c r="B2694" s="4">
        <v>16711</v>
      </c>
      <c r="C2694" s="5">
        <f>DATE(2012,12,31)-250</f>
        <v>41024</v>
      </c>
      <c r="D2694" s="4" t="s">
        <v>45</v>
      </c>
      <c r="E2694" s="4">
        <v>3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1.1399999999999999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8"/>
        <v>41026</v>
      </c>
    </row>
    <row r="2695" spans="1:21" ht="12" customHeight="1">
      <c r="A2695" s="4">
        <v>2375</v>
      </c>
      <c r="B2695" s="4">
        <v>17218</v>
      </c>
      <c r="C2695" s="5">
        <f>DATE(2012,12,31)-161</f>
        <v>41113</v>
      </c>
      <c r="D2695" s="4" t="s">
        <v>78</v>
      </c>
      <c r="E2695" s="4">
        <v>32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8"/>
        <v>41115</v>
      </c>
    </row>
    <row r="2696" spans="1:21" ht="12" customHeight="1">
      <c r="A2696" s="4">
        <v>2381</v>
      </c>
      <c r="B2696" s="4">
        <v>17255</v>
      </c>
      <c r="C2696" s="5">
        <f>DATE(2012,12,31)-901</f>
        <v>40373</v>
      </c>
      <c r="D2696" s="4" t="s">
        <v>45</v>
      </c>
      <c r="E2696" s="4">
        <v>17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9.3800000000000008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0.56999999999999995</v>
      </c>
      <c r="U2696" s="5">
        <f>C2696+1</f>
        <v>40374</v>
      </c>
    </row>
    <row r="2697" spans="1:21" ht="12" customHeight="1">
      <c r="A2697" s="4">
        <v>2405</v>
      </c>
      <c r="B2697" s="4">
        <v>17414</v>
      </c>
      <c r="C2697" s="5">
        <f t="shared" ref="C2697:C2698" si="1109">DATE(2012,12,31)-185</f>
        <v>41089</v>
      </c>
      <c r="D2697" s="4" t="s">
        <v>30</v>
      </c>
      <c r="E2697" s="4">
        <v>39</v>
      </c>
      <c r="F2697" s="4">
        <v>3755.43</v>
      </c>
      <c r="G2697" s="4">
        <v>7.0000000000000007E-2</v>
      </c>
      <c r="H2697" s="4" t="s">
        <v>22</v>
      </c>
      <c r="I2697" s="6">
        <v>448.07</v>
      </c>
      <c r="J2697" s="4">
        <v>99.99</v>
      </c>
      <c r="K2697" s="4">
        <v>19.989999999999998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0">C2697+2</f>
        <v>41091</v>
      </c>
    </row>
    <row r="2698" spans="1:21" ht="12" customHeight="1">
      <c r="A2698" s="4">
        <v>2406</v>
      </c>
      <c r="B2698" s="4">
        <v>17414</v>
      </c>
      <c r="C2698" s="5">
        <f t="shared" si="1109"/>
        <v>41089</v>
      </c>
      <c r="D2698" s="4" t="s">
        <v>30</v>
      </c>
      <c r="E2698" s="4">
        <v>32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0"/>
        <v>41091</v>
      </c>
    </row>
    <row r="2699" spans="1:21" ht="12" customHeight="1">
      <c r="A2699" s="4">
        <v>2446</v>
      </c>
      <c r="B2699" s="4">
        <v>17765</v>
      </c>
      <c r="C2699" s="5">
        <f>DATE(2012,12,31)-473</f>
        <v>40801</v>
      </c>
      <c r="D2699" s="4" t="s">
        <v>45</v>
      </c>
      <c r="E2699" s="4">
        <v>36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spans="1:21" ht="12" customHeight="1">
      <c r="A2700" s="4">
        <v>2471</v>
      </c>
      <c r="B2700" s="4">
        <v>17958</v>
      </c>
      <c r="C2700" s="5">
        <f>DATE(2012,12,31)-508</f>
        <v>40766</v>
      </c>
      <c r="D2700" s="4" t="s">
        <v>21</v>
      </c>
      <c r="E2700" s="4">
        <v>33</v>
      </c>
      <c r="F2700" s="4">
        <v>1053.74</v>
      </c>
      <c r="G2700" s="4">
        <v>7.0000000000000007E-2</v>
      </c>
      <c r="H2700" s="4" t="s">
        <v>22</v>
      </c>
      <c r="I2700" s="6">
        <v>359.53</v>
      </c>
      <c r="J2700" s="4">
        <v>32.479999999999997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1">C2700+4</f>
        <v>40770</v>
      </c>
    </row>
    <row r="2701" spans="1:21" ht="12" customHeight="1">
      <c r="A2701" s="4">
        <v>2534</v>
      </c>
      <c r="B2701" s="4">
        <v>18375</v>
      </c>
      <c r="C2701" s="5">
        <f>DATE(2012,12,31)-466</f>
        <v>40808</v>
      </c>
      <c r="D2701" s="4" t="s">
        <v>21</v>
      </c>
      <c r="E2701" s="4">
        <v>20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1"/>
        <v>40812</v>
      </c>
    </row>
    <row r="2702" spans="1:21" ht="12" customHeight="1">
      <c r="A2702" s="4">
        <v>2566</v>
      </c>
      <c r="B2702" s="4">
        <v>18532</v>
      </c>
      <c r="C2702" s="5">
        <f t="shared" ref="C2702:C2703" si="1112">DATE(2012,12,31)-438</f>
        <v>40836</v>
      </c>
      <c r="D2702" s="4" t="s">
        <v>45</v>
      </c>
      <c r="E2702" s="4">
        <v>29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8.4499999999999993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0.55000000000000004</v>
      </c>
      <c r="U2702" s="5">
        <f>C2702+1</f>
        <v>40837</v>
      </c>
    </row>
    <row r="2703" spans="1:21" ht="12" customHeight="1">
      <c r="A2703" s="4">
        <v>2567</v>
      </c>
      <c r="B2703" s="4">
        <v>18532</v>
      </c>
      <c r="C2703" s="5">
        <f t="shared" si="1112"/>
        <v>40836</v>
      </c>
      <c r="D2703" s="4" t="s">
        <v>45</v>
      </c>
      <c r="E2703" s="4">
        <v>31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0.57999999999999996</v>
      </c>
      <c r="U2703" s="5">
        <f>C2703+2</f>
        <v>40838</v>
      </c>
    </row>
    <row r="2704" spans="1:21" ht="12" customHeight="1">
      <c r="A2704" s="4">
        <v>2583</v>
      </c>
      <c r="B2704" s="4">
        <v>18627</v>
      </c>
      <c r="C2704" s="5">
        <f>DATE(2012,12,31)-742</f>
        <v>40532</v>
      </c>
      <c r="D2704" s="4" t="s">
        <v>63</v>
      </c>
      <c r="E2704" s="4">
        <v>4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spans="1:21" ht="12" customHeight="1">
      <c r="A2705" s="4">
        <v>2610</v>
      </c>
      <c r="B2705" s="4">
        <v>18852</v>
      </c>
      <c r="C2705" s="5">
        <f>DATE(2012,12,31)-469</f>
        <v>40805</v>
      </c>
      <c r="D2705" s="4" t="s">
        <v>30</v>
      </c>
      <c r="E2705" s="4">
        <v>17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3">C2705+2</f>
        <v>40807</v>
      </c>
    </row>
    <row r="2706" spans="1:21" ht="12" customHeight="1">
      <c r="A2706" s="4">
        <v>2670</v>
      </c>
      <c r="B2706" s="4">
        <v>19329</v>
      </c>
      <c r="C2706" s="5">
        <f t="shared" ref="C2706:C2707" si="1114">DATE(2012,12,31)-1030</f>
        <v>40244</v>
      </c>
      <c r="D2706" s="4" t="s">
        <v>45</v>
      </c>
      <c r="E2706" s="4">
        <v>37</v>
      </c>
      <c r="F2706" s="4">
        <v>281.58999999999997</v>
      </c>
      <c r="G2706" s="4">
        <v>7.0000000000000007E-2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3"/>
        <v>40246</v>
      </c>
    </row>
    <row r="2707" spans="1:21" ht="12" customHeight="1">
      <c r="A2707" s="4">
        <v>2671</v>
      </c>
      <c r="B2707" s="4">
        <v>19329</v>
      </c>
      <c r="C2707" s="5">
        <f t="shared" si="1114"/>
        <v>40244</v>
      </c>
      <c r="D2707" s="4" t="s">
        <v>45</v>
      </c>
      <c r="E2707" s="4">
        <v>6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0.56000000000000005</v>
      </c>
      <c r="U2707" s="5">
        <f>C2707+1</f>
        <v>40245</v>
      </c>
    </row>
    <row r="2708" spans="1:21" ht="12" customHeight="1">
      <c r="A2708" s="4">
        <v>2743</v>
      </c>
      <c r="B2708" s="4">
        <v>19811</v>
      </c>
      <c r="C2708" s="5">
        <f>DATE(2012,12,31)-511</f>
        <v>40763</v>
      </c>
      <c r="D2708" s="4" t="s">
        <v>21</v>
      </c>
      <c r="E2708" s="4">
        <v>49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spans="1:21" ht="12" customHeight="1">
      <c r="A2709" s="4">
        <v>2748</v>
      </c>
      <c r="B2709" s="4">
        <v>19841</v>
      </c>
      <c r="C2709" s="5">
        <f t="shared" ref="C2709:C2710" si="1115">DATE(2012,12,31)-736</f>
        <v>40538</v>
      </c>
      <c r="D2709" s="4" t="s">
        <v>21</v>
      </c>
      <c r="E2709" s="4">
        <v>17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spans="1:21" ht="12" customHeight="1">
      <c r="A2710" s="4">
        <v>2749</v>
      </c>
      <c r="B2710" s="4">
        <v>19841</v>
      </c>
      <c r="C2710" s="5">
        <f t="shared" si="1115"/>
        <v>40538</v>
      </c>
      <c r="D2710" s="4" t="s">
        <v>21</v>
      </c>
      <c r="E2710" s="4">
        <v>7</v>
      </c>
      <c r="F2710" s="4">
        <v>1126.4880000000001</v>
      </c>
      <c r="G2710" s="4">
        <v>0.08</v>
      </c>
      <c r="H2710" s="4" t="s">
        <v>22</v>
      </c>
      <c r="I2710" s="6">
        <v>-557.95299999999997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spans="1:21" ht="12" customHeight="1">
      <c r="A2711" s="4">
        <v>2752</v>
      </c>
      <c r="B2711" s="4">
        <v>19874</v>
      </c>
      <c r="C2711" s="5">
        <f>DATE(2012,12,31)-206</f>
        <v>41068</v>
      </c>
      <c r="D2711" s="4" t="s">
        <v>30</v>
      </c>
      <c r="E2711" s="4">
        <v>31</v>
      </c>
      <c r="F2711" s="4">
        <v>310.45999999999998</v>
      </c>
      <c r="G2711" s="4">
        <v>0</v>
      </c>
      <c r="H2711" s="4" t="s">
        <v>22</v>
      </c>
      <c r="I2711" s="6">
        <v>-182.52</v>
      </c>
      <c r="J2711" s="4">
        <v>9.7100000000000009</v>
      </c>
      <c r="K2711" s="4">
        <v>9.4499999999999993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spans="1:21" ht="12" customHeight="1">
      <c r="A2712" s="4">
        <v>2767</v>
      </c>
      <c r="B2712" s="4">
        <v>20003</v>
      </c>
      <c r="C2712" s="5">
        <f>DATE(2012,12,31)-336</f>
        <v>40938</v>
      </c>
      <c r="D2712" s="4" t="s">
        <v>63</v>
      </c>
      <c r="E2712" s="4">
        <v>5</v>
      </c>
      <c r="F2712" s="4">
        <v>141.97550000000001</v>
      </c>
      <c r="G2712" s="4">
        <v>0.09</v>
      </c>
      <c r="H2712" s="4" t="s">
        <v>22</v>
      </c>
      <c r="I2712" s="6">
        <v>-88.935000000000002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spans="1:21" ht="12" customHeight="1">
      <c r="A2713" s="4">
        <v>2780</v>
      </c>
      <c r="B2713" s="4">
        <v>20068</v>
      </c>
      <c r="C2713" s="5">
        <f>DATE(2012,12,31)-672</f>
        <v>40602</v>
      </c>
      <c r="D2713" s="4" t="s">
        <v>78</v>
      </c>
      <c r="E2713" s="4">
        <v>9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spans="1:21" ht="12" customHeight="1">
      <c r="A2714" s="4">
        <v>2820</v>
      </c>
      <c r="B2714" s="4">
        <v>20354</v>
      </c>
      <c r="C2714" s="5">
        <f>DATE(2012,12,31)-103</f>
        <v>41171</v>
      </c>
      <c r="D2714" s="4" t="s">
        <v>78</v>
      </c>
      <c r="E2714" s="4">
        <v>24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spans="1:21" ht="12" customHeight="1">
      <c r="A2715" s="4">
        <v>2821</v>
      </c>
      <c r="B2715" s="4">
        <v>20384</v>
      </c>
      <c r="C2715" s="5">
        <f t="shared" ref="C2715:C2716" si="1116">DATE(2012,12,31)-433</f>
        <v>40841</v>
      </c>
      <c r="D2715" s="4" t="s">
        <v>21</v>
      </c>
      <c r="E2715" s="4">
        <v>30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9.3699999999999992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0.56000000000000005</v>
      </c>
      <c r="U2715" s="5">
        <f>C2715+7</f>
        <v>40848</v>
      </c>
    </row>
    <row r="2716" spans="1:21" ht="12" customHeight="1">
      <c r="A2716" s="4">
        <v>2822</v>
      </c>
      <c r="B2716" s="4">
        <v>20384</v>
      </c>
      <c r="C2716" s="5">
        <f t="shared" si="1116"/>
        <v>40841</v>
      </c>
      <c r="D2716" s="4" t="s">
        <v>21</v>
      </c>
      <c r="E2716" s="4">
        <v>32</v>
      </c>
      <c r="F2716" s="4">
        <v>6902.51</v>
      </c>
      <c r="G2716" s="4">
        <v>0.04</v>
      </c>
      <c r="H2716" s="4" t="s">
        <v>31</v>
      </c>
      <c r="I2716" s="6">
        <v>-513.79042000000004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spans="1:21" ht="12" customHeight="1">
      <c r="A2717" s="4">
        <v>2886</v>
      </c>
      <c r="B2717" s="4">
        <v>20807</v>
      </c>
      <c r="C2717" s="5">
        <f>DATE(2012,12,31)-163</f>
        <v>41111</v>
      </c>
      <c r="D2717" s="4" t="s">
        <v>45</v>
      </c>
      <c r="E2717" s="4">
        <v>16</v>
      </c>
      <c r="F2717" s="4">
        <v>466.94749999999999</v>
      </c>
      <c r="G2717" s="4">
        <v>0.1</v>
      </c>
      <c r="H2717" s="4" t="s">
        <v>22</v>
      </c>
      <c r="I2717" s="6">
        <v>82.817999999999998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7">C2717+1</f>
        <v>41112</v>
      </c>
    </row>
    <row r="2718" spans="1:21" ht="12" customHeight="1">
      <c r="A2718" s="4">
        <v>2900</v>
      </c>
      <c r="B2718" s="4">
        <v>20934</v>
      </c>
      <c r="C2718" s="5">
        <f>DATE(2012,12,31)-1076</f>
        <v>40198</v>
      </c>
      <c r="D2718" s="4" t="s">
        <v>78</v>
      </c>
      <c r="E2718" s="4">
        <v>5</v>
      </c>
      <c r="F2718" s="4">
        <v>1253.8900000000001</v>
      </c>
      <c r="G2718" s="4">
        <v>0.09</v>
      </c>
      <c r="H2718" s="4" t="s">
        <v>31</v>
      </c>
      <c r="I2718" s="6">
        <v>-577.47989999999993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0.57999999999999996</v>
      </c>
      <c r="U2718" s="5">
        <f t="shared" si="1117"/>
        <v>40199</v>
      </c>
    </row>
    <row r="2719" spans="1:21" ht="12" customHeight="1">
      <c r="A2719" s="4">
        <v>2915</v>
      </c>
      <c r="B2719" s="4">
        <v>21057</v>
      </c>
      <c r="C2719" s="5">
        <f>DATE(2012,12,31)-697</f>
        <v>40577</v>
      </c>
      <c r="D2719" s="4" t="s">
        <v>21</v>
      </c>
      <c r="E2719" s="4">
        <v>28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39.479999999999997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spans="1:21" ht="12" customHeight="1">
      <c r="A2720" s="4">
        <v>2977</v>
      </c>
      <c r="B2720" s="4">
        <v>21505</v>
      </c>
      <c r="C2720" s="5">
        <f>DATE(2012,12,31)-28</f>
        <v>41246</v>
      </c>
      <c r="D2720" s="4" t="s">
        <v>21</v>
      </c>
      <c r="E2720" s="4">
        <v>3</v>
      </c>
      <c r="F2720" s="4">
        <v>912.35</v>
      </c>
      <c r="G2720" s="4">
        <v>7.0000000000000007E-2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spans="1:21" ht="12" customHeight="1">
      <c r="A2721" s="4">
        <v>3076</v>
      </c>
      <c r="B2721" s="4">
        <v>22055</v>
      </c>
      <c r="C2721" s="5">
        <f>DATE(2012,12,31)-99</f>
        <v>41175</v>
      </c>
      <c r="D2721" s="4" t="s">
        <v>63</v>
      </c>
      <c r="E2721" s="4">
        <v>40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160.97999999999999</v>
      </c>
      <c r="K2721" s="4">
        <v>30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spans="1:21" ht="12" customHeight="1">
      <c r="A2722" s="4">
        <v>3137</v>
      </c>
      <c r="B2722" s="4">
        <v>22498</v>
      </c>
      <c r="C2722" s="5">
        <f>DATE(2012,12,31)-783</f>
        <v>40491</v>
      </c>
      <c r="D2722" s="4" t="s">
        <v>78</v>
      </c>
      <c r="E2722" s="4">
        <v>20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spans="1:21" ht="12" customHeight="1">
      <c r="A2723" s="4">
        <v>3327</v>
      </c>
      <c r="B2723" s="4">
        <v>23782</v>
      </c>
      <c r="C2723" s="5">
        <f t="shared" ref="C2723:C2724" si="1118">DATE(2012,12,31)-1086</f>
        <v>40188</v>
      </c>
      <c r="D2723" s="4" t="s">
        <v>21</v>
      </c>
      <c r="E2723" s="4">
        <v>46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spans="1:21" ht="12" customHeight="1">
      <c r="A2724" s="4">
        <v>3328</v>
      </c>
      <c r="B2724" s="4">
        <v>23782</v>
      </c>
      <c r="C2724" s="5">
        <f t="shared" si="1118"/>
        <v>40188</v>
      </c>
      <c r="D2724" s="4" t="s">
        <v>21</v>
      </c>
      <c r="E2724" s="4">
        <v>7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spans="1:21" ht="12" customHeight="1">
      <c r="A2725" s="4">
        <v>3367</v>
      </c>
      <c r="B2725" s="4">
        <v>24069</v>
      </c>
      <c r="C2725" s="5">
        <f>DATE(2012,12,31)-899</f>
        <v>40375</v>
      </c>
      <c r="D2725" s="4" t="s">
        <v>21</v>
      </c>
      <c r="E2725" s="4">
        <v>21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spans="1:21" ht="12" customHeight="1">
      <c r="A2726" s="4">
        <v>3377</v>
      </c>
      <c r="B2726" s="4">
        <v>24099</v>
      </c>
      <c r="C2726" s="5">
        <f t="shared" ref="C2726:C2727" si="1119">DATE(2012,12,31)-591</f>
        <v>40683</v>
      </c>
      <c r="D2726" s="4" t="s">
        <v>45</v>
      </c>
      <c r="E2726" s="4">
        <v>6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0">C2726+1</f>
        <v>40684</v>
      </c>
    </row>
    <row r="2727" spans="1:21" ht="12" customHeight="1">
      <c r="A2727" s="4">
        <v>3378</v>
      </c>
      <c r="B2727" s="4">
        <v>24099</v>
      </c>
      <c r="C2727" s="5">
        <f t="shared" si="1119"/>
        <v>40683</v>
      </c>
      <c r="D2727" s="4" t="s">
        <v>45</v>
      </c>
      <c r="E2727" s="4">
        <v>36</v>
      </c>
      <c r="F2727" s="4">
        <v>825.82</v>
      </c>
      <c r="G2727" s="4">
        <v>0</v>
      </c>
      <c r="H2727" s="4" t="s">
        <v>22</v>
      </c>
      <c r="I2727" s="6">
        <v>-1049.26</v>
      </c>
      <c r="J2727" s="4">
        <v>20.34</v>
      </c>
      <c r="K2727" s="4">
        <v>35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0"/>
        <v>40684</v>
      </c>
    </row>
    <row r="2728" spans="1:21" ht="12" customHeight="1">
      <c r="A2728" s="4">
        <v>3452</v>
      </c>
      <c r="B2728" s="4">
        <v>24613</v>
      </c>
      <c r="C2728" s="5">
        <f t="shared" ref="C2728:C2730" si="1121">DATE(2012,12,31)-168</f>
        <v>41106</v>
      </c>
      <c r="D2728" s="4" t="s">
        <v>21</v>
      </c>
      <c r="E2728" s="4">
        <v>16</v>
      </c>
      <c r="F2728" s="4">
        <v>9695.84</v>
      </c>
      <c r="G2728" s="4">
        <v>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2">C2728+9</f>
        <v>41115</v>
      </c>
    </row>
    <row r="2729" spans="1:21" ht="12" customHeight="1">
      <c r="A2729" s="4">
        <v>3453</v>
      </c>
      <c r="B2729" s="4">
        <v>24613</v>
      </c>
      <c r="C2729" s="5">
        <f t="shared" si="1121"/>
        <v>41106</v>
      </c>
      <c r="D2729" s="4" t="s">
        <v>21</v>
      </c>
      <c r="E2729" s="4">
        <v>36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2"/>
        <v>41115</v>
      </c>
    </row>
    <row r="2730" spans="1:21" ht="12" customHeight="1">
      <c r="A2730" s="4">
        <v>3454</v>
      </c>
      <c r="B2730" s="4">
        <v>24613</v>
      </c>
      <c r="C2730" s="5">
        <f t="shared" si="1121"/>
        <v>41106</v>
      </c>
      <c r="D2730" s="4" t="s">
        <v>21</v>
      </c>
      <c r="E2730" s="4">
        <v>39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4.0999999999999996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2"/>
        <v>41115</v>
      </c>
    </row>
    <row r="2731" spans="1:21" ht="12" customHeight="1">
      <c r="A2731" s="4">
        <v>3464</v>
      </c>
      <c r="B2731" s="4">
        <v>24672</v>
      </c>
      <c r="C2731" s="5">
        <f t="shared" ref="C2731:C2733" si="1123">DATE(2012,12,31)-289</f>
        <v>40985</v>
      </c>
      <c r="D2731" s="4" t="s">
        <v>63</v>
      </c>
      <c r="E2731" s="4">
        <v>5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spans="1:21" ht="12" customHeight="1">
      <c r="A2732" s="4">
        <v>3465</v>
      </c>
      <c r="B2732" s="4">
        <v>24672</v>
      </c>
      <c r="C2732" s="5">
        <f t="shared" si="1123"/>
        <v>40985</v>
      </c>
      <c r="D2732" s="4" t="s">
        <v>63</v>
      </c>
      <c r="E2732" s="4">
        <v>37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4">C2732+2</f>
        <v>40987</v>
      </c>
    </row>
    <row r="2733" spans="1:21" ht="12" customHeight="1">
      <c r="A2733" s="4">
        <v>3466</v>
      </c>
      <c r="B2733" s="4">
        <v>24672</v>
      </c>
      <c r="C2733" s="5">
        <f t="shared" si="1123"/>
        <v>40985</v>
      </c>
      <c r="D2733" s="4" t="s">
        <v>63</v>
      </c>
      <c r="E2733" s="4">
        <v>37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4"/>
        <v>40987</v>
      </c>
    </row>
    <row r="2734" spans="1:21" ht="12" customHeight="1">
      <c r="A2734" s="4">
        <v>3476</v>
      </c>
      <c r="B2734" s="4">
        <v>24740</v>
      </c>
      <c r="C2734" s="5">
        <f t="shared" ref="C2734:C2735" si="1125">DATE(2012,12,31)-1086</f>
        <v>40188</v>
      </c>
      <c r="D2734" s="4" t="s">
        <v>63</v>
      </c>
      <c r="E2734" s="4">
        <v>11</v>
      </c>
      <c r="F2734" s="4">
        <v>1091.47</v>
      </c>
      <c r="G2734" s="4">
        <v>0.04</v>
      </c>
      <c r="H2734" s="4" t="s">
        <v>22</v>
      </c>
      <c r="I2734" s="6">
        <v>160.47999999999999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spans="1:21" ht="12" customHeight="1">
      <c r="A2735" s="4">
        <v>3477</v>
      </c>
      <c r="B2735" s="4">
        <v>24740</v>
      </c>
      <c r="C2735" s="5">
        <f t="shared" si="1125"/>
        <v>40188</v>
      </c>
      <c r="D2735" s="4" t="s">
        <v>63</v>
      </c>
      <c r="E2735" s="4">
        <v>35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0.56000000000000005</v>
      </c>
      <c r="U2735" s="5">
        <f t="shared" ref="U2735:U2736" si="1126">C2735+0</f>
        <v>40188</v>
      </c>
    </row>
    <row r="2736" spans="1:21" ht="12" customHeight="1">
      <c r="A2736" s="4">
        <v>3578</v>
      </c>
      <c r="B2736" s="4">
        <v>25479</v>
      </c>
      <c r="C2736" s="5">
        <f>DATE(2012,12,31)-613</f>
        <v>40661</v>
      </c>
      <c r="D2736" s="4" t="s">
        <v>78</v>
      </c>
      <c r="E2736" s="4">
        <v>3</v>
      </c>
      <c r="F2736" s="4">
        <v>210.5025</v>
      </c>
      <c r="G2736" s="4">
        <v>0.04</v>
      </c>
      <c r="H2736" s="4" t="s">
        <v>22</v>
      </c>
      <c r="I2736" s="6">
        <v>-315.32600000000002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6"/>
        <v>40661</v>
      </c>
    </row>
    <row r="2737" spans="1:21" ht="12" customHeight="1">
      <c r="A2737" s="4">
        <v>3635</v>
      </c>
      <c r="B2737" s="4">
        <v>25985</v>
      </c>
      <c r="C2737" s="5">
        <f t="shared" ref="C2737:C2738" si="1127">DATE(2012,12,31)-120</f>
        <v>41154</v>
      </c>
      <c r="D2737" s="4" t="s">
        <v>21</v>
      </c>
      <c r="E2737" s="4">
        <v>50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spans="1:21" ht="12" customHeight="1">
      <c r="A2738" s="4">
        <v>3636</v>
      </c>
      <c r="B2738" s="4">
        <v>25985</v>
      </c>
      <c r="C2738" s="5">
        <f t="shared" si="1127"/>
        <v>41154</v>
      </c>
      <c r="D2738" s="4" t="s">
        <v>21</v>
      </c>
      <c r="E2738" s="4">
        <v>22</v>
      </c>
      <c r="F2738" s="4">
        <v>80.790000000000006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spans="1:21" ht="12" customHeight="1">
      <c r="A2739" s="4">
        <v>3683</v>
      </c>
      <c r="B2739" s="4">
        <v>26341</v>
      </c>
      <c r="C2739" s="5">
        <f>DATE(2012,12,31)-887</f>
        <v>40387</v>
      </c>
      <c r="D2739" s="4" t="s">
        <v>78</v>
      </c>
      <c r="E2739" s="4">
        <v>8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8">C2739+2</f>
        <v>40389</v>
      </c>
    </row>
    <row r="2740" spans="1:21" ht="12" customHeight="1">
      <c r="A2740" s="4">
        <v>3695</v>
      </c>
      <c r="B2740" s="4">
        <v>26407</v>
      </c>
      <c r="C2740" s="5">
        <f t="shared" ref="C2740:C2741" si="1129">DATE(2012,12,31)-195</f>
        <v>41079</v>
      </c>
      <c r="D2740" s="4" t="s">
        <v>78</v>
      </c>
      <c r="E2740" s="4">
        <v>34</v>
      </c>
      <c r="F2740" s="4">
        <v>9522.1200000000008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8"/>
        <v>41081</v>
      </c>
    </row>
    <row r="2741" spans="1:21" ht="12" customHeight="1">
      <c r="A2741" s="4">
        <v>3696</v>
      </c>
      <c r="B2741" s="4">
        <v>26407</v>
      </c>
      <c r="C2741" s="5">
        <f t="shared" si="1129"/>
        <v>41079</v>
      </c>
      <c r="D2741" s="4" t="s">
        <v>78</v>
      </c>
      <c r="E2741" s="4">
        <v>16</v>
      </c>
      <c r="F2741" s="4">
        <v>1985.6935000000001</v>
      </c>
      <c r="G2741" s="4">
        <v>0.1</v>
      </c>
      <c r="H2741" s="4" t="s">
        <v>22</v>
      </c>
      <c r="I2741" s="6">
        <v>35.649000000000001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0.55000000000000004</v>
      </c>
      <c r="U2741" s="5">
        <f>C2741+1</f>
        <v>41080</v>
      </c>
    </row>
    <row r="2742" spans="1:21" ht="12" customHeight="1">
      <c r="A2742" s="4">
        <v>3726</v>
      </c>
      <c r="B2742" s="4">
        <v>26630</v>
      </c>
      <c r="C2742" s="5">
        <f>DATE(2012,12,31)-765</f>
        <v>40509</v>
      </c>
      <c r="D2742" s="4" t="s">
        <v>30</v>
      </c>
      <c r="E2742" s="4">
        <v>9</v>
      </c>
      <c r="F2742" s="4">
        <v>65.67</v>
      </c>
      <c r="G2742" s="4">
        <v>0.02</v>
      </c>
      <c r="H2742" s="4" t="s">
        <v>22</v>
      </c>
      <c r="I2742" s="6">
        <v>-35.200000000000003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spans="1:21" ht="12" customHeight="1">
      <c r="A2743" s="4">
        <v>3730</v>
      </c>
      <c r="B2743" s="4">
        <v>26660</v>
      </c>
      <c r="C2743" s="5">
        <f>DATE(2012,12,31)-288</f>
        <v>40986</v>
      </c>
      <c r="D2743" s="4" t="s">
        <v>63</v>
      </c>
      <c r="E2743" s="4">
        <v>1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8.9499999999999993</v>
      </c>
      <c r="K2743" s="4">
        <v>2.0099999999999998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spans="1:21" ht="12" customHeight="1">
      <c r="A2744" s="4">
        <v>3754</v>
      </c>
      <c r="B2744" s="4">
        <v>26818</v>
      </c>
      <c r="C2744" s="5">
        <f t="shared" ref="C2744:C2746" si="1130">DATE(2012,12,31)-358</f>
        <v>40916</v>
      </c>
      <c r="D2744" s="4" t="s">
        <v>45</v>
      </c>
      <c r="E2744" s="4">
        <v>23</v>
      </c>
      <c r="F2744" s="4">
        <v>202.84</v>
      </c>
      <c r="G2744" s="4">
        <v>0.05</v>
      </c>
      <c r="H2744" s="4" t="s">
        <v>22</v>
      </c>
      <c r="I2744" s="6">
        <v>-19.481000000000002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spans="1:21" ht="12" customHeight="1">
      <c r="A2745" s="4">
        <v>3755</v>
      </c>
      <c r="B2745" s="4">
        <v>26818</v>
      </c>
      <c r="C2745" s="5">
        <f t="shared" si="1130"/>
        <v>40916</v>
      </c>
      <c r="D2745" s="4" t="s">
        <v>45</v>
      </c>
      <c r="E2745" s="4">
        <v>5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4.9800000000000004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0.57999999999999996</v>
      </c>
      <c r="U2745" s="5">
        <f>C2745+2</f>
        <v>40918</v>
      </c>
    </row>
    <row r="2746" spans="1:21" ht="12" customHeight="1">
      <c r="A2746" s="4">
        <v>3756</v>
      </c>
      <c r="B2746" s="4">
        <v>26818</v>
      </c>
      <c r="C2746" s="5">
        <f t="shared" si="1130"/>
        <v>40916</v>
      </c>
      <c r="D2746" s="4" t="s">
        <v>45</v>
      </c>
      <c r="E2746" s="4">
        <v>36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spans="1:21" ht="12" customHeight="1">
      <c r="A2747" s="4">
        <v>3790</v>
      </c>
      <c r="B2747" s="4">
        <v>27011</v>
      </c>
      <c r="C2747" s="5">
        <f>DATE(2012,12,31)-732</f>
        <v>40542</v>
      </c>
      <c r="D2747" s="4" t="s">
        <v>63</v>
      </c>
      <c r="E2747" s="4">
        <v>5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spans="1:21" ht="12" customHeight="1">
      <c r="A2748" s="4">
        <v>3903</v>
      </c>
      <c r="B2748" s="4">
        <v>27841</v>
      </c>
      <c r="C2748" s="5">
        <f>DATE(2012,12,31)-106</f>
        <v>41168</v>
      </c>
      <c r="D2748" s="4" t="s">
        <v>30</v>
      </c>
      <c r="E2748" s="4">
        <v>33</v>
      </c>
      <c r="F2748" s="4">
        <v>67.849999999999994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0.56999999999999995</v>
      </c>
      <c r="U2748" s="5">
        <f t="shared" ref="U2748:U2750" si="1131">C2748+2</f>
        <v>41170</v>
      </c>
    </row>
    <row r="2749" spans="1:21" ht="12" customHeight="1">
      <c r="A2749" s="4">
        <v>4003</v>
      </c>
      <c r="B2749" s="4">
        <v>28581</v>
      </c>
      <c r="C2749" s="5">
        <f t="shared" ref="C2749:C2750" si="1132">DATE(2012,12,31)-390</f>
        <v>40884</v>
      </c>
      <c r="D2749" s="4" t="s">
        <v>63</v>
      </c>
      <c r="E2749" s="4">
        <v>1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1"/>
        <v>40886</v>
      </c>
    </row>
    <row r="2750" spans="1:21" ht="12" customHeight="1">
      <c r="A2750" s="4">
        <v>4004</v>
      </c>
      <c r="B2750" s="4">
        <v>28581</v>
      </c>
      <c r="C2750" s="5">
        <f t="shared" si="1132"/>
        <v>40884</v>
      </c>
      <c r="D2750" s="4" t="s">
        <v>63</v>
      </c>
      <c r="E2750" s="4">
        <v>36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4.9800000000000004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1"/>
        <v>40886</v>
      </c>
    </row>
    <row r="2751" spans="1:21" ht="12" customHeight="1">
      <c r="A2751" s="4">
        <v>4008</v>
      </c>
      <c r="B2751" s="4">
        <v>28611</v>
      </c>
      <c r="C2751" s="5">
        <f t="shared" ref="C2751:C2752" si="1133">DATE(2012,12,31)-4</f>
        <v>41270</v>
      </c>
      <c r="D2751" s="4" t="s">
        <v>21</v>
      </c>
      <c r="E2751" s="4">
        <v>30</v>
      </c>
      <c r="F2751" s="4">
        <v>15337.58</v>
      </c>
      <c r="G2751" s="4">
        <v>0.1</v>
      </c>
      <c r="H2751" s="4" t="s">
        <v>22</v>
      </c>
      <c r="I2751" s="6">
        <v>6670.4089999999997</v>
      </c>
      <c r="J2751" s="4">
        <v>525.98</v>
      </c>
      <c r="K2751" s="4">
        <v>19.989999999999998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spans="1:21" ht="12" customHeight="1">
      <c r="A2752" s="4">
        <v>4009</v>
      </c>
      <c r="B2752" s="4">
        <v>28611</v>
      </c>
      <c r="C2752" s="5">
        <f t="shared" si="1133"/>
        <v>41270</v>
      </c>
      <c r="D2752" s="4" t="s">
        <v>21</v>
      </c>
      <c r="E2752" s="4">
        <v>42</v>
      </c>
      <c r="F2752" s="4">
        <v>3883.4714999999997</v>
      </c>
      <c r="G2752" s="4">
        <v>0.1</v>
      </c>
      <c r="H2752" s="4" t="s">
        <v>22</v>
      </c>
      <c r="I2752" s="6">
        <v>707.16599999999994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0.57999999999999996</v>
      </c>
      <c r="U2752" s="5">
        <f t="shared" ref="U2752:U2753" si="1134">C2752+2</f>
        <v>41272</v>
      </c>
    </row>
    <row r="2753" spans="1:21" ht="12" customHeight="1">
      <c r="A2753" s="4">
        <v>4041</v>
      </c>
      <c r="B2753" s="4">
        <v>28835</v>
      </c>
      <c r="C2753" s="5">
        <f>DATE(2012,12,31)-275</f>
        <v>40999</v>
      </c>
      <c r="D2753" s="4" t="s">
        <v>45</v>
      </c>
      <c r="E2753" s="4">
        <v>1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19.989999999999998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0.55000000000000004</v>
      </c>
      <c r="U2753" s="5">
        <f t="shared" si="1134"/>
        <v>41001</v>
      </c>
    </row>
    <row r="2754" spans="1:21" ht="12" customHeight="1">
      <c r="A2754" s="4">
        <v>4106</v>
      </c>
      <c r="B2754" s="4">
        <v>29220</v>
      </c>
      <c r="C2754" s="5">
        <f>DATE(2012,12,31)-2</f>
        <v>41272</v>
      </c>
      <c r="D2754" s="4" t="s">
        <v>63</v>
      </c>
      <c r="E2754" s="4">
        <v>36</v>
      </c>
      <c r="F2754" s="4">
        <v>12690.33</v>
      </c>
      <c r="G2754" s="4">
        <v>0.08</v>
      </c>
      <c r="H2754" s="4" t="s">
        <v>56</v>
      </c>
      <c r="I2754" s="6">
        <v>5045.3024999999998</v>
      </c>
      <c r="J2754" s="4">
        <v>367.99</v>
      </c>
      <c r="K2754" s="4">
        <v>19.989999999999998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spans="1:21" ht="12" customHeight="1">
      <c r="A2755" s="4">
        <v>4235</v>
      </c>
      <c r="B2755" s="4">
        <v>30114</v>
      </c>
      <c r="C2755" s="5">
        <f>DATE(2012,12,31)-868</f>
        <v>40406</v>
      </c>
      <c r="D2755" s="4" t="s">
        <v>21</v>
      </c>
      <c r="E2755" s="4">
        <v>7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spans="1:21" ht="12" customHeight="1">
      <c r="A2756" s="4">
        <v>4258</v>
      </c>
      <c r="B2756" s="4">
        <v>30336</v>
      </c>
      <c r="C2756" s="5">
        <f>DATE(2012,12,31)-1067</f>
        <v>40207</v>
      </c>
      <c r="D2756" s="4" t="s">
        <v>63</v>
      </c>
      <c r="E2756" s="4">
        <v>28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19.989999999999998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5">C2756+2</f>
        <v>40209</v>
      </c>
    </row>
    <row r="2757" spans="1:21" ht="12" customHeight="1">
      <c r="A2757" s="4">
        <v>4319</v>
      </c>
      <c r="B2757" s="4">
        <v>30784</v>
      </c>
      <c r="C2757" s="5">
        <f t="shared" ref="C2757:C2758" si="1136">DATE(2012,12,31)-238</f>
        <v>41036</v>
      </c>
      <c r="D2757" s="4" t="s">
        <v>63</v>
      </c>
      <c r="E2757" s="4">
        <v>10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5"/>
        <v>41038</v>
      </c>
    </row>
    <row r="2758" spans="1:21" ht="12" customHeight="1">
      <c r="A2758" s="4">
        <v>4320</v>
      </c>
      <c r="B2758" s="4">
        <v>30784</v>
      </c>
      <c r="C2758" s="5">
        <f t="shared" si="1136"/>
        <v>41036</v>
      </c>
      <c r="D2758" s="4" t="s">
        <v>63</v>
      </c>
      <c r="E2758" s="4">
        <v>48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spans="1:21" ht="12" customHeight="1">
      <c r="A2759" s="4">
        <v>4351</v>
      </c>
      <c r="B2759" s="4">
        <v>31040</v>
      </c>
      <c r="C2759" s="5">
        <f t="shared" ref="C2759:C2760" si="1137">DATE(2012,12,31)-839</f>
        <v>40435</v>
      </c>
      <c r="D2759" s="4" t="s">
        <v>45</v>
      </c>
      <c r="E2759" s="4">
        <v>23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39.979999999999997</v>
      </c>
      <c r="K2759" s="4">
        <v>4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8">C2759+2</f>
        <v>40437</v>
      </c>
    </row>
    <row r="2760" spans="1:21" ht="12" customHeight="1">
      <c r="A2760" s="4">
        <v>4352</v>
      </c>
      <c r="B2760" s="4">
        <v>31040</v>
      </c>
      <c r="C2760" s="5">
        <f t="shared" si="1137"/>
        <v>40435</v>
      </c>
      <c r="D2760" s="4" t="s">
        <v>45</v>
      </c>
      <c r="E2760" s="4">
        <v>19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8"/>
        <v>40437</v>
      </c>
    </row>
    <row r="2761" spans="1:21" ht="12" customHeight="1">
      <c r="A2761" s="4">
        <v>4469</v>
      </c>
      <c r="B2761" s="4">
        <v>31846</v>
      </c>
      <c r="C2761" s="5">
        <f>DATE(2012,12,31)-506</f>
        <v>40768</v>
      </c>
      <c r="D2761" s="4" t="s">
        <v>78</v>
      </c>
      <c r="E2761" s="4">
        <v>7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19.190000000000001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0.57999999999999996</v>
      </c>
      <c r="U2761" s="5">
        <f t="shared" si="1138"/>
        <v>40770</v>
      </c>
    </row>
    <row r="2762" spans="1:21" ht="12" customHeight="1">
      <c r="A2762" s="4">
        <v>4504</v>
      </c>
      <c r="B2762" s="4">
        <v>32065</v>
      </c>
      <c r="C2762" s="5">
        <f>DATE(2012,12,31)-395</f>
        <v>40879</v>
      </c>
      <c r="D2762" s="4" t="s">
        <v>63</v>
      </c>
      <c r="E2762" s="4">
        <v>25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39">C2762+1</f>
        <v>40880</v>
      </c>
    </row>
    <row r="2763" spans="1:21" ht="12" customHeight="1">
      <c r="A2763" s="4">
        <v>4545</v>
      </c>
      <c r="B2763" s="4">
        <v>32326</v>
      </c>
      <c r="C2763" s="5">
        <f>DATE(2012,12,31)-792</f>
        <v>40482</v>
      </c>
      <c r="D2763" s="4" t="s">
        <v>30</v>
      </c>
      <c r="E2763" s="4">
        <v>50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19.989999999999998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39"/>
        <v>40483</v>
      </c>
    </row>
    <row r="2764" spans="1:21" ht="12" customHeight="1">
      <c r="A2764" s="4">
        <v>4584</v>
      </c>
      <c r="B2764" s="4">
        <v>32613</v>
      </c>
      <c r="C2764" s="5">
        <f t="shared" ref="C2764:C2766" si="1140">DATE(2012,12,31)-381</f>
        <v>40893</v>
      </c>
      <c r="D2764" s="4" t="s">
        <v>21</v>
      </c>
      <c r="E2764" s="4">
        <v>31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0.57999999999999996</v>
      </c>
      <c r="U2764" s="5">
        <f>C2764+7</f>
        <v>40900</v>
      </c>
    </row>
    <row r="2765" spans="1:21" ht="12" customHeight="1">
      <c r="A2765" s="4">
        <v>4585</v>
      </c>
      <c r="B2765" s="4">
        <v>32613</v>
      </c>
      <c r="C2765" s="5">
        <f t="shared" si="1140"/>
        <v>40893</v>
      </c>
      <c r="D2765" s="4" t="s">
        <v>21</v>
      </c>
      <c r="E2765" s="4">
        <v>38</v>
      </c>
      <c r="F2765" s="4">
        <v>5228.2</v>
      </c>
      <c r="G2765" s="4">
        <v>0</v>
      </c>
      <c r="H2765" s="4" t="s">
        <v>22</v>
      </c>
      <c r="I2765" s="6">
        <v>-691.52</v>
      </c>
      <c r="J2765" s="4">
        <v>135.31</v>
      </c>
      <c r="K2765" s="4">
        <v>35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1">C2765+2</f>
        <v>40895</v>
      </c>
    </row>
    <row r="2766" spans="1:21" ht="12" customHeight="1">
      <c r="A2766" s="4">
        <v>4586</v>
      </c>
      <c r="B2766" s="4">
        <v>32613</v>
      </c>
      <c r="C2766" s="5">
        <f t="shared" si="1140"/>
        <v>40893</v>
      </c>
      <c r="D2766" s="4" t="s">
        <v>21</v>
      </c>
      <c r="E2766" s="4">
        <v>41</v>
      </c>
      <c r="F2766" s="4">
        <v>7174.9435000000003</v>
      </c>
      <c r="G2766" s="4">
        <v>0.02</v>
      </c>
      <c r="H2766" s="4" t="s">
        <v>56</v>
      </c>
      <c r="I2766" s="6">
        <v>2373.2370000000001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0.57999999999999996</v>
      </c>
      <c r="U2766" s="5">
        <f t="shared" si="1141"/>
        <v>40895</v>
      </c>
    </row>
    <row r="2767" spans="1:21" ht="12" customHeight="1">
      <c r="A2767" s="4">
        <v>4624</v>
      </c>
      <c r="B2767" s="4">
        <v>32903</v>
      </c>
      <c r="C2767" s="5">
        <f>DATE(2012,12,31)-158</f>
        <v>41116</v>
      </c>
      <c r="D2767" s="4" t="s">
        <v>21</v>
      </c>
      <c r="E2767" s="4">
        <v>31</v>
      </c>
      <c r="F2767" s="4">
        <v>454.58</v>
      </c>
      <c r="G2767" s="4">
        <v>7.0000000000000007E-2</v>
      </c>
      <c r="H2767" s="4" t="s">
        <v>22</v>
      </c>
      <c r="I2767" s="6">
        <v>-118.75</v>
      </c>
      <c r="J2767" s="4">
        <v>15.31</v>
      </c>
      <c r="K2767" s="4">
        <v>8.7799999999999994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0.56999999999999995</v>
      </c>
      <c r="U2767" s="5">
        <f>C2767+7</f>
        <v>41123</v>
      </c>
    </row>
    <row r="2768" spans="1:21" ht="12" customHeight="1">
      <c r="A2768" s="4">
        <v>4642</v>
      </c>
      <c r="B2768" s="4">
        <v>33031</v>
      </c>
      <c r="C2768" s="5">
        <f t="shared" ref="C2768:C2769" si="1142">DATE(2012,12,31)-129</f>
        <v>41145</v>
      </c>
      <c r="D2768" s="4" t="s">
        <v>30</v>
      </c>
      <c r="E2768" s="4">
        <v>24</v>
      </c>
      <c r="F2768" s="4">
        <v>550.67999999999995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spans="1:21" ht="12" customHeight="1">
      <c r="A2769" s="4">
        <v>4643</v>
      </c>
      <c r="B2769" s="4">
        <v>33031</v>
      </c>
      <c r="C2769" s="5">
        <f t="shared" si="1142"/>
        <v>41145</v>
      </c>
      <c r="D2769" s="4" t="s">
        <v>30</v>
      </c>
      <c r="E2769" s="4">
        <v>18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spans="1:21" ht="12" customHeight="1">
      <c r="A2770" s="4">
        <v>4654</v>
      </c>
      <c r="B2770" s="4">
        <v>33152</v>
      </c>
      <c r="C2770" s="5">
        <f>DATE(2012,12,31)-771</f>
        <v>40503</v>
      </c>
      <c r="D2770" s="4" t="s">
        <v>78</v>
      </c>
      <c r="E2770" s="4">
        <v>19</v>
      </c>
      <c r="F2770" s="4">
        <v>2569.6264999999999</v>
      </c>
      <c r="G2770" s="4">
        <v>0</v>
      </c>
      <c r="H2770" s="4" t="s">
        <v>22</v>
      </c>
      <c r="I2770" s="6">
        <v>398.00700000000001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0.55000000000000004</v>
      </c>
      <c r="U2770" s="5">
        <f t="shared" ref="U2770:U2772" si="1143">C2770+2</f>
        <v>40505</v>
      </c>
    </row>
    <row r="2771" spans="1:21" ht="12" customHeight="1">
      <c r="A2771" s="4">
        <v>4721</v>
      </c>
      <c r="B2771" s="4">
        <v>33606</v>
      </c>
      <c r="C2771" s="5">
        <f>DATE(2012,12,31)-305</f>
        <v>40969</v>
      </c>
      <c r="D2771" s="4" t="s">
        <v>30</v>
      </c>
      <c r="E2771" s="4">
        <v>46</v>
      </c>
      <c r="F2771" s="4">
        <v>410.03</v>
      </c>
      <c r="G2771" s="4">
        <v>0.05</v>
      </c>
      <c r="H2771" s="4" t="s">
        <v>22</v>
      </c>
      <c r="I2771" s="6">
        <v>-138.38999999999999</v>
      </c>
      <c r="J2771" s="4">
        <v>8.75</v>
      </c>
      <c r="K2771" s="4">
        <v>8.5399999999999991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3"/>
        <v>40971</v>
      </c>
    </row>
    <row r="2772" spans="1:21" ht="12" customHeight="1">
      <c r="A2772" s="4">
        <v>4728</v>
      </c>
      <c r="B2772" s="4">
        <v>33666</v>
      </c>
      <c r="C2772" s="5">
        <f>DATE(2012,12,31)-168</f>
        <v>41106</v>
      </c>
      <c r="D2772" s="4" t="s">
        <v>45</v>
      </c>
      <c r="E2772" s="4">
        <v>17</v>
      </c>
      <c r="F2772" s="4">
        <v>3801.27</v>
      </c>
      <c r="G2772" s="4">
        <v>0.02</v>
      </c>
      <c r="H2772" s="4" t="s">
        <v>22</v>
      </c>
      <c r="I2772" s="6">
        <v>-861.30330000000004</v>
      </c>
      <c r="J2772" s="4">
        <v>209.37</v>
      </c>
      <c r="K2772" s="4">
        <v>69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3"/>
        <v>41108</v>
      </c>
    </row>
    <row r="2773" spans="1:21" ht="12" customHeight="1">
      <c r="A2773" s="4">
        <v>4749</v>
      </c>
      <c r="B2773" s="4">
        <v>33764</v>
      </c>
      <c r="C2773" s="5">
        <f>DATE(2012,12,31)-690</f>
        <v>40584</v>
      </c>
      <c r="D2773" s="4" t="s">
        <v>78</v>
      </c>
      <c r="E2773" s="4">
        <v>31</v>
      </c>
      <c r="F2773" s="4">
        <v>226.15</v>
      </c>
      <c r="G2773" s="4">
        <v>0.01</v>
      </c>
      <c r="H2773" s="4" t="s">
        <v>22</v>
      </c>
      <c r="I2773" s="6">
        <v>35.979999999999997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spans="1:21" ht="12" customHeight="1">
      <c r="A2774" s="4">
        <v>4776</v>
      </c>
      <c r="B2774" s="4">
        <v>33921</v>
      </c>
      <c r="C2774" s="5">
        <f>DATE(2012,12,31)-1007</f>
        <v>40267</v>
      </c>
      <c r="D2774" s="4" t="s">
        <v>21</v>
      </c>
      <c r="E2774" s="4">
        <v>35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0.56000000000000005</v>
      </c>
      <c r="U2774" s="5">
        <f>C2774+9</f>
        <v>40276</v>
      </c>
    </row>
    <row r="2775" spans="1:21" ht="12" customHeight="1">
      <c r="A2775" s="4">
        <v>4781</v>
      </c>
      <c r="B2775" s="4">
        <v>33956</v>
      </c>
      <c r="C2775" s="5">
        <f>DATE(2012,12,31)-347</f>
        <v>40927</v>
      </c>
      <c r="D2775" s="4" t="s">
        <v>21</v>
      </c>
      <c r="E2775" s="4">
        <v>13</v>
      </c>
      <c r="F2775" s="4">
        <v>109.58</v>
      </c>
      <c r="G2775" s="4">
        <v>0</v>
      </c>
      <c r="H2775" s="4" t="s">
        <v>22</v>
      </c>
      <c r="I2775" s="6">
        <v>31.32</v>
      </c>
      <c r="J2775" s="4">
        <v>7.59</v>
      </c>
      <c r="K2775" s="4">
        <v>4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4">C2775+2</f>
        <v>40929</v>
      </c>
    </row>
    <row r="2776" spans="1:21" ht="12" customHeight="1">
      <c r="A2776" s="4">
        <v>4790</v>
      </c>
      <c r="B2776" s="4">
        <v>34022</v>
      </c>
      <c r="C2776" s="5">
        <f t="shared" ref="C2776:C2777" si="1145">DATE(2012,12,31)-58</f>
        <v>41216</v>
      </c>
      <c r="D2776" s="4" t="s">
        <v>45</v>
      </c>
      <c r="E2776" s="4">
        <v>6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4"/>
        <v>41218</v>
      </c>
    </row>
    <row r="2777" spans="1:21" ht="12" customHeight="1">
      <c r="A2777" s="4">
        <v>4791</v>
      </c>
      <c r="B2777" s="4">
        <v>34022</v>
      </c>
      <c r="C2777" s="5">
        <f t="shared" si="1145"/>
        <v>41216</v>
      </c>
      <c r="D2777" s="4" t="s">
        <v>45</v>
      </c>
      <c r="E2777" s="4">
        <v>50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spans="1:21" ht="12" customHeight="1">
      <c r="A2778" s="4">
        <v>4801</v>
      </c>
      <c r="B2778" s="4">
        <v>34148</v>
      </c>
      <c r="C2778" s="5">
        <f>DATE(2012,12,31)-132</f>
        <v>41142</v>
      </c>
      <c r="D2778" s="4" t="s">
        <v>78</v>
      </c>
      <c r="E2778" s="4">
        <v>33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spans="1:21" ht="12" customHeight="1">
      <c r="A2779" s="4">
        <v>4808</v>
      </c>
      <c r="B2779" s="4">
        <v>34182</v>
      </c>
      <c r="C2779" s="5">
        <f>DATE(2012,12,31)-75</f>
        <v>41199</v>
      </c>
      <c r="D2779" s="4" t="s">
        <v>78</v>
      </c>
      <c r="E2779" s="4">
        <v>31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spans="1:21" ht="12" customHeight="1">
      <c r="A2780" s="4">
        <v>4829</v>
      </c>
      <c r="B2780" s="4">
        <v>34337</v>
      </c>
      <c r="C2780" s="5">
        <f>DATE(2012,12,31)-962</f>
        <v>40312</v>
      </c>
      <c r="D2780" s="4" t="s">
        <v>63</v>
      </c>
      <c r="E2780" s="4">
        <v>36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spans="1:21" ht="12" customHeight="1">
      <c r="A2781" s="4">
        <v>4866</v>
      </c>
      <c r="B2781" s="4">
        <v>34657</v>
      </c>
      <c r="C2781" s="5">
        <f>DATE(2012,12,31)-971</f>
        <v>40303</v>
      </c>
      <c r="D2781" s="4" t="s">
        <v>21</v>
      </c>
      <c r="E2781" s="4">
        <v>46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19.510000000000002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spans="1:21" ht="12" customHeight="1">
      <c r="A2782" s="4">
        <v>4884</v>
      </c>
      <c r="B2782" s="4">
        <v>34727</v>
      </c>
      <c r="C2782" s="5">
        <f>DATE(2012,12,31)-659</f>
        <v>40615</v>
      </c>
      <c r="D2782" s="4" t="s">
        <v>21</v>
      </c>
      <c r="E2782" s="4">
        <v>20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8.0399999999999991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spans="1:21" ht="12" customHeight="1">
      <c r="A2783" s="4">
        <v>4902</v>
      </c>
      <c r="B2783" s="4">
        <v>34881</v>
      </c>
      <c r="C2783" s="5">
        <f>DATE(2012,12,31)-693</f>
        <v>40581</v>
      </c>
      <c r="D2783" s="4" t="s">
        <v>63</v>
      </c>
      <c r="E2783" s="4">
        <v>37</v>
      </c>
      <c r="F2783" s="4">
        <v>187.37</v>
      </c>
      <c r="G2783" s="4">
        <v>0.01</v>
      </c>
      <c r="H2783" s="4" t="s">
        <v>22</v>
      </c>
      <c r="I2783" s="6">
        <v>-85.007999999999996</v>
      </c>
      <c r="J2783" s="4">
        <v>4.9800000000000004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6">C2783+2</f>
        <v>40583</v>
      </c>
    </row>
    <row r="2784" spans="1:21" ht="12" customHeight="1">
      <c r="A2784" s="4">
        <v>4906</v>
      </c>
      <c r="B2784" s="4">
        <v>34916</v>
      </c>
      <c r="C2784" s="5">
        <f>DATE(2012,12,31)-875</f>
        <v>40399</v>
      </c>
      <c r="D2784" s="4" t="s">
        <v>30</v>
      </c>
      <c r="E2784" s="4">
        <v>3</v>
      </c>
      <c r="F2784" s="4">
        <v>24.36</v>
      </c>
      <c r="G2784" s="4">
        <v>0.08</v>
      </c>
      <c r="H2784" s="4" t="s">
        <v>56</v>
      </c>
      <c r="I2784" s="6">
        <v>10.039999999999999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6"/>
        <v>40401</v>
      </c>
    </row>
    <row r="2785" spans="1:21" ht="12" customHeight="1">
      <c r="A2785" s="4">
        <v>4965</v>
      </c>
      <c r="B2785" s="4">
        <v>35302</v>
      </c>
      <c r="C2785" s="5">
        <f t="shared" ref="C2785:C2786" si="1147">DATE(2012,12,31)-938</f>
        <v>40336</v>
      </c>
      <c r="D2785" s="4" t="s">
        <v>63</v>
      </c>
      <c r="E2785" s="4">
        <v>6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spans="1:21" ht="12" customHeight="1">
      <c r="A2786" s="4">
        <v>4966</v>
      </c>
      <c r="B2786" s="4">
        <v>35302</v>
      </c>
      <c r="C2786" s="5">
        <f t="shared" si="1147"/>
        <v>40336</v>
      </c>
      <c r="D2786" s="4" t="s">
        <v>63</v>
      </c>
      <c r="E2786" s="4">
        <v>13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8">C2786+1</f>
        <v>40337</v>
      </c>
    </row>
    <row r="2787" spans="1:21" ht="12" customHeight="1">
      <c r="A2787" s="4">
        <v>5027</v>
      </c>
      <c r="B2787" s="4">
        <v>35841</v>
      </c>
      <c r="C2787" s="5">
        <f t="shared" ref="C2787:C2788" si="1149">DATE(2012,12,31)-603</f>
        <v>40671</v>
      </c>
      <c r="D2787" s="4" t="s">
        <v>63</v>
      </c>
      <c r="E2787" s="4">
        <v>23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8"/>
        <v>40672</v>
      </c>
    </row>
    <row r="2788" spans="1:21" ht="12" customHeight="1">
      <c r="A2788" s="4">
        <v>5028</v>
      </c>
      <c r="B2788" s="4">
        <v>35841</v>
      </c>
      <c r="C2788" s="5">
        <f t="shared" si="1149"/>
        <v>40671</v>
      </c>
      <c r="D2788" s="4" t="s">
        <v>63</v>
      </c>
      <c r="E2788" s="4">
        <v>48</v>
      </c>
      <c r="F2788" s="4">
        <v>5163.0105000000003</v>
      </c>
      <c r="G2788" s="4">
        <v>7.0000000000000007E-2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0.56999999999999995</v>
      </c>
      <c r="U2788" s="5">
        <f t="shared" si="1148"/>
        <v>40672</v>
      </c>
    </row>
    <row r="2789" spans="1:21" ht="12" customHeight="1">
      <c r="A2789" s="4">
        <v>5054</v>
      </c>
      <c r="B2789" s="4">
        <v>36034</v>
      </c>
      <c r="C2789" s="5">
        <f>DATE(2012,12,31)-76</f>
        <v>41198</v>
      </c>
      <c r="D2789" s="4" t="s">
        <v>30</v>
      </c>
      <c r="E2789" s="4">
        <v>10</v>
      </c>
      <c r="F2789" s="4">
        <v>19.36</v>
      </c>
      <c r="G2789" s="4">
        <v>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0.56000000000000005</v>
      </c>
      <c r="U2789" s="5">
        <f>C2789+2</f>
        <v>41200</v>
      </c>
    </row>
    <row r="2790" spans="1:21" ht="12" customHeight="1">
      <c r="A2790" s="4">
        <v>5056</v>
      </c>
      <c r="B2790" s="4">
        <v>36065</v>
      </c>
      <c r="C2790" s="5">
        <f>DATE(2012,12,31)-1048</f>
        <v>40226</v>
      </c>
      <c r="D2790" s="4" t="s">
        <v>30</v>
      </c>
      <c r="E2790" s="4">
        <v>31</v>
      </c>
      <c r="F2790" s="4">
        <v>538.29999999999995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spans="1:21" ht="12" customHeight="1">
      <c r="A2791" s="4">
        <v>5165</v>
      </c>
      <c r="B2791" s="4">
        <v>36743</v>
      </c>
      <c r="C2791" s="5">
        <f>DATE(2012,12,31)-114</f>
        <v>41160</v>
      </c>
      <c r="D2791" s="4" t="s">
        <v>78</v>
      </c>
      <c r="E2791" s="4">
        <v>3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spans="1:21" ht="12" customHeight="1">
      <c r="A2792" s="4">
        <v>5186</v>
      </c>
      <c r="B2792" s="4">
        <v>36864</v>
      </c>
      <c r="C2792" s="5">
        <f>DATE(2012,12,31)-155</f>
        <v>41119</v>
      </c>
      <c r="D2792" s="4" t="s">
        <v>21</v>
      </c>
      <c r="E2792" s="4">
        <v>9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spans="1:21" ht="12" customHeight="1">
      <c r="A2793" s="4">
        <v>5224</v>
      </c>
      <c r="B2793" s="4">
        <v>37188</v>
      </c>
      <c r="C2793" s="5">
        <f>DATE(2012,12,31)-302</f>
        <v>40972</v>
      </c>
      <c r="D2793" s="4" t="s">
        <v>78</v>
      </c>
      <c r="E2793" s="4">
        <v>24</v>
      </c>
      <c r="F2793" s="4">
        <v>132.02000000000001</v>
      </c>
      <c r="G2793" s="4">
        <v>0.04</v>
      </c>
      <c r="H2793" s="4" t="s">
        <v>56</v>
      </c>
      <c r="I2793" s="6">
        <v>-123.28</v>
      </c>
      <c r="J2793" s="4">
        <v>4.9800000000000004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spans="1:21" ht="12" customHeight="1">
      <c r="A2794" s="4">
        <v>5257</v>
      </c>
      <c r="B2794" s="4">
        <v>37414</v>
      </c>
      <c r="C2794" s="5">
        <f>DATE(2012,12,31)-479</f>
        <v>40795</v>
      </c>
      <c r="D2794" s="4" t="s">
        <v>21</v>
      </c>
      <c r="E2794" s="4">
        <v>39</v>
      </c>
      <c r="F2794" s="4">
        <v>20596.580000000002</v>
      </c>
      <c r="G2794" s="4">
        <v>0.09</v>
      </c>
      <c r="H2794" s="4" t="s">
        <v>31</v>
      </c>
      <c r="I2794" s="6">
        <v>-1331.5533660000001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spans="1:21" ht="12" customHeight="1">
      <c r="A2795" s="4">
        <v>5305</v>
      </c>
      <c r="B2795" s="4">
        <v>37763</v>
      </c>
      <c r="C2795" s="5">
        <f t="shared" ref="C2795:C2796" si="1150">DATE(2012,12,31)-327</f>
        <v>40947</v>
      </c>
      <c r="D2795" s="4" t="s">
        <v>45</v>
      </c>
      <c r="E2795" s="4">
        <v>29</v>
      </c>
      <c r="F2795" s="4">
        <v>169.61</v>
      </c>
      <c r="G2795" s="4">
        <v>0.1</v>
      </c>
      <c r="H2795" s="4" t="s">
        <v>22</v>
      </c>
      <c r="I2795" s="6">
        <v>-211.05950000000001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1">C2795+1</f>
        <v>40948</v>
      </c>
    </row>
    <row r="2796" spans="1:21" ht="12" customHeight="1">
      <c r="A2796" s="4">
        <v>5306</v>
      </c>
      <c r="B2796" s="4">
        <v>37763</v>
      </c>
      <c r="C2796" s="5">
        <f t="shared" si="1150"/>
        <v>40947</v>
      </c>
      <c r="D2796" s="4" t="s">
        <v>45</v>
      </c>
      <c r="E2796" s="4">
        <v>24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65.989999999999995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0.55000000000000004</v>
      </c>
      <c r="U2796" s="5">
        <f t="shared" si="1151"/>
        <v>40948</v>
      </c>
    </row>
    <row r="2797" spans="1:21" ht="12" customHeight="1">
      <c r="A2797" s="4">
        <v>5352</v>
      </c>
      <c r="B2797" s="4">
        <v>38048</v>
      </c>
      <c r="C2797" s="5">
        <f t="shared" ref="C2797:C2798" si="1152">DATE(2012,12,31)-1072</f>
        <v>40202</v>
      </c>
      <c r="D2797" s="4" t="s">
        <v>30</v>
      </c>
      <c r="E2797" s="4">
        <v>42</v>
      </c>
      <c r="F2797" s="4">
        <v>2252.2619999999997</v>
      </c>
      <c r="G2797" s="4">
        <v>0.1</v>
      </c>
      <c r="H2797" s="4" t="s">
        <v>22</v>
      </c>
      <c r="I2797" s="6">
        <v>478.10700000000003</v>
      </c>
      <c r="J2797" s="4">
        <v>65.989999999999995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0.56000000000000005</v>
      </c>
      <c r="U2797" s="5">
        <f>C2797+0</f>
        <v>40202</v>
      </c>
    </row>
    <row r="2798" spans="1:21" ht="12" customHeight="1">
      <c r="A2798" s="4">
        <v>5353</v>
      </c>
      <c r="B2798" s="4">
        <v>38048</v>
      </c>
      <c r="C2798" s="5">
        <f t="shared" si="1152"/>
        <v>40202</v>
      </c>
      <c r="D2798" s="4" t="s">
        <v>30</v>
      </c>
      <c r="E2798" s="4">
        <v>47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0.55000000000000004</v>
      </c>
      <c r="U2798" s="5">
        <f>C2798+1</f>
        <v>40203</v>
      </c>
    </row>
    <row r="2799" spans="1:21" ht="12" customHeight="1">
      <c r="A2799" s="4">
        <v>5386</v>
      </c>
      <c r="B2799" s="4">
        <v>38305</v>
      </c>
      <c r="C2799" s="5">
        <f>DATE(2012,12,31)-611</f>
        <v>40663</v>
      </c>
      <c r="D2799" s="4" t="s">
        <v>78</v>
      </c>
      <c r="E2799" s="4">
        <v>21</v>
      </c>
      <c r="F2799" s="4">
        <v>2561.6705000000002</v>
      </c>
      <c r="G2799" s="4">
        <v>0.08</v>
      </c>
      <c r="H2799" s="4" t="s">
        <v>22</v>
      </c>
      <c r="I2799" s="6">
        <v>88.766999999999996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spans="1:21" ht="12" customHeight="1">
      <c r="A2800" s="4">
        <v>5461</v>
      </c>
      <c r="B2800" s="4">
        <v>38789</v>
      </c>
      <c r="C2800" s="5">
        <f t="shared" ref="C2800:C2801" si="1153">DATE(2012,12,31)-778</f>
        <v>40496</v>
      </c>
      <c r="D2800" s="4" t="s">
        <v>30</v>
      </c>
      <c r="E2800" s="4">
        <v>9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0.56999999999999995</v>
      </c>
      <c r="U2800" s="5">
        <f t="shared" ref="U2800:U2801" si="1154">C2800+1</f>
        <v>40497</v>
      </c>
    </row>
    <row r="2801" spans="1:21" ht="12" customHeight="1">
      <c r="A2801" s="4">
        <v>5462</v>
      </c>
      <c r="B2801" s="4">
        <v>38789</v>
      </c>
      <c r="C2801" s="5">
        <f t="shared" si="1153"/>
        <v>40496</v>
      </c>
      <c r="D2801" s="4" t="s">
        <v>30</v>
      </c>
      <c r="E2801" s="4">
        <v>4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4"/>
        <v>40497</v>
      </c>
    </row>
    <row r="2802" spans="1:21" ht="12" customHeight="1">
      <c r="A2802" s="4">
        <v>5638</v>
      </c>
      <c r="B2802" s="4">
        <v>39878</v>
      </c>
      <c r="C2802" s="5">
        <f>DATE(2012,12,31)-667</f>
        <v>40607</v>
      </c>
      <c r="D2802" s="4" t="s">
        <v>45</v>
      </c>
      <c r="E2802" s="4">
        <v>50</v>
      </c>
      <c r="F2802" s="4">
        <v>7663.74</v>
      </c>
      <c r="G2802" s="4">
        <v>0</v>
      </c>
      <c r="H2802" s="4" t="s">
        <v>31</v>
      </c>
      <c r="I2802" s="6">
        <v>-375.33210000000008</v>
      </c>
      <c r="J2802" s="4">
        <v>150.97999999999999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spans="1:21" ht="12" customHeight="1">
      <c r="A2803" s="4">
        <v>5648</v>
      </c>
      <c r="B2803" s="4">
        <v>39972</v>
      </c>
      <c r="C2803" s="5">
        <f t="shared" ref="C2803:C2805" si="1155">DATE(2012,12,31)-97</f>
        <v>41177</v>
      </c>
      <c r="D2803" s="4" t="s">
        <v>45</v>
      </c>
      <c r="E2803" s="4">
        <v>35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spans="1:21" ht="12" customHeight="1">
      <c r="A2804" s="4">
        <v>5649</v>
      </c>
      <c r="B2804" s="4">
        <v>39972</v>
      </c>
      <c r="C2804" s="5">
        <f t="shared" si="1155"/>
        <v>41177</v>
      </c>
      <c r="D2804" s="4" t="s">
        <v>45</v>
      </c>
      <c r="E2804" s="4">
        <v>36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spans="1:21" ht="12" customHeight="1">
      <c r="A2805" s="4">
        <v>5650</v>
      </c>
      <c r="B2805" s="4">
        <v>39972</v>
      </c>
      <c r="C2805" s="5">
        <f t="shared" si="1155"/>
        <v>41177</v>
      </c>
      <c r="D2805" s="4" t="s">
        <v>45</v>
      </c>
      <c r="E2805" s="4">
        <v>19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5.0599999999999996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spans="1:21" ht="12" customHeight="1">
      <c r="A2806" s="4">
        <v>5728</v>
      </c>
      <c r="B2806" s="4">
        <v>40643</v>
      </c>
      <c r="C2806" s="5">
        <f>DATE(2012,12,31)-636</f>
        <v>40638</v>
      </c>
      <c r="D2806" s="4" t="s">
        <v>78</v>
      </c>
      <c r="E2806" s="4">
        <v>23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spans="1:21" ht="12" customHeight="1">
      <c r="A2807" s="4">
        <v>5757</v>
      </c>
      <c r="B2807" s="4">
        <v>40870</v>
      </c>
      <c r="C2807" s="5">
        <f t="shared" ref="C2807:C2808" si="1156">DATE(2012,12,31)-386</f>
        <v>40888</v>
      </c>
      <c r="D2807" s="4" t="s">
        <v>78</v>
      </c>
      <c r="E2807" s="4">
        <v>43</v>
      </c>
      <c r="F2807" s="4">
        <v>12858.88</v>
      </c>
      <c r="G2807" s="4">
        <v>0.08</v>
      </c>
      <c r="H2807" s="4" t="s">
        <v>22</v>
      </c>
      <c r="I2807" s="6">
        <v>4833.2700000000004</v>
      </c>
      <c r="J2807" s="4">
        <v>300.97000000000003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spans="1:21" ht="12" customHeight="1">
      <c r="A2808" s="4">
        <v>5758</v>
      </c>
      <c r="B2808" s="4">
        <v>40870</v>
      </c>
      <c r="C2808" s="5">
        <f t="shared" si="1156"/>
        <v>40888</v>
      </c>
      <c r="D2808" s="4" t="s">
        <v>78</v>
      </c>
      <c r="E2808" s="4">
        <v>28</v>
      </c>
      <c r="F2808" s="4">
        <v>146.69</v>
      </c>
      <c r="G2808" s="4">
        <v>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spans="1:21" ht="12" customHeight="1">
      <c r="A2809" s="4">
        <v>5767</v>
      </c>
      <c r="B2809" s="4">
        <v>40934</v>
      </c>
      <c r="C2809" s="5">
        <f t="shared" ref="C2809:C2810" si="1157">DATE(2012,12,31)-414</f>
        <v>40860</v>
      </c>
      <c r="D2809" s="4" t="s">
        <v>45</v>
      </c>
      <c r="E2809" s="4">
        <v>28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0.56000000000000005</v>
      </c>
      <c r="U2809" s="5">
        <f>C2809+1</f>
        <v>40861</v>
      </c>
    </row>
    <row r="2810" spans="1:21" ht="12" customHeight="1">
      <c r="A2810" s="4">
        <v>5768</v>
      </c>
      <c r="B2810" s="4">
        <v>40934</v>
      </c>
      <c r="C2810" s="5">
        <f t="shared" si="1157"/>
        <v>40860</v>
      </c>
      <c r="D2810" s="4" t="s">
        <v>45</v>
      </c>
      <c r="E2810" s="4">
        <v>11</v>
      </c>
      <c r="F2810" s="4">
        <v>404.14949999999999</v>
      </c>
      <c r="G2810" s="4">
        <v>7.0000000000000007E-2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0.56999999999999995</v>
      </c>
      <c r="U2810" s="5">
        <f t="shared" ref="U2810:U2811" si="1158">C2810+2</f>
        <v>40862</v>
      </c>
    </row>
    <row r="2811" spans="1:21" ht="12" customHeight="1">
      <c r="A2811" s="4">
        <v>5817</v>
      </c>
      <c r="B2811" s="4">
        <v>41254</v>
      </c>
      <c r="C2811" s="5">
        <f>DATE(2012,12,31)-721</f>
        <v>40553</v>
      </c>
      <c r="D2811" s="4" t="s">
        <v>78</v>
      </c>
      <c r="E2811" s="4">
        <v>17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8"/>
        <v>40555</v>
      </c>
    </row>
    <row r="2812" spans="1:21" ht="12" customHeight="1">
      <c r="A2812" s="4">
        <v>5844</v>
      </c>
      <c r="B2812" s="4">
        <v>41472</v>
      </c>
      <c r="C2812" s="5">
        <f>DATE(2012,12,31)-1073</f>
        <v>40201</v>
      </c>
      <c r="D2812" s="4" t="s">
        <v>21</v>
      </c>
      <c r="E2812" s="4">
        <v>48</v>
      </c>
      <c r="F2812" s="4">
        <v>280.87</v>
      </c>
      <c r="G2812" s="4">
        <v>0.01</v>
      </c>
      <c r="H2812" s="4" t="s">
        <v>56</v>
      </c>
      <c r="I2812" s="6">
        <v>-214.15299999999999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59">C2812+7</f>
        <v>40208</v>
      </c>
    </row>
    <row r="2813" spans="1:21" ht="12" customHeight="1">
      <c r="A2813" s="4">
        <v>5901</v>
      </c>
      <c r="B2813" s="4">
        <v>41830</v>
      </c>
      <c r="C2813" s="5">
        <f>DATE(2012,12,31)-318</f>
        <v>40956</v>
      </c>
      <c r="D2813" s="4" t="s">
        <v>21</v>
      </c>
      <c r="E2813" s="4">
        <v>42</v>
      </c>
      <c r="F2813" s="4">
        <v>5361.08</v>
      </c>
      <c r="G2813" s="4">
        <v>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59"/>
        <v>40963</v>
      </c>
    </row>
    <row r="2814" spans="1:21" ht="12" customHeight="1">
      <c r="A2814" s="4">
        <v>5989</v>
      </c>
      <c r="B2814" s="4">
        <v>42439</v>
      </c>
      <c r="C2814" s="5">
        <f>DATE(2012,12,31)-926</f>
        <v>40348</v>
      </c>
      <c r="D2814" s="4" t="s">
        <v>45</v>
      </c>
      <c r="E2814" s="4">
        <v>28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spans="1:21" ht="12" customHeight="1">
      <c r="A2815" s="4">
        <v>6037</v>
      </c>
      <c r="B2815" s="4">
        <v>42758</v>
      </c>
      <c r="C2815" s="5">
        <f t="shared" ref="C2815:C2816" si="1160">DATE(2012,12,31)-51</f>
        <v>41223</v>
      </c>
      <c r="D2815" s="4" t="s">
        <v>78</v>
      </c>
      <c r="E2815" s="4">
        <v>12</v>
      </c>
      <c r="F2815" s="4">
        <v>1769.74</v>
      </c>
      <c r="G2815" s="4">
        <v>7.0000000000000007E-2</v>
      </c>
      <c r="H2815" s="4" t="s">
        <v>22</v>
      </c>
      <c r="I2815" s="6">
        <v>-333.69</v>
      </c>
      <c r="J2815" s="4">
        <v>152.47999999999999</v>
      </c>
      <c r="K2815" s="4">
        <v>4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spans="1:21" ht="12" customHeight="1">
      <c r="A2816" s="4">
        <v>6038</v>
      </c>
      <c r="B2816" s="4">
        <v>42758</v>
      </c>
      <c r="C2816" s="5">
        <f t="shared" si="1160"/>
        <v>41223</v>
      </c>
      <c r="D2816" s="4" t="s">
        <v>78</v>
      </c>
      <c r="E2816" s="4">
        <v>42</v>
      </c>
      <c r="F2816" s="4">
        <v>638.07000000000005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spans="1:21" ht="12" customHeight="1">
      <c r="A2817" s="4">
        <v>6057</v>
      </c>
      <c r="B2817" s="4">
        <v>42918</v>
      </c>
      <c r="C2817" s="5">
        <f>DATE(2012,12,31)-589</f>
        <v>40685</v>
      </c>
      <c r="D2817" s="4" t="s">
        <v>30</v>
      </c>
      <c r="E2817" s="4">
        <v>38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spans="1:21" ht="12" customHeight="1">
      <c r="A2818" s="4">
        <v>6064</v>
      </c>
      <c r="B2818" s="4">
        <v>42950</v>
      </c>
      <c r="C2818" s="5">
        <f>DATE(2012,12,31)-862</f>
        <v>40412</v>
      </c>
      <c r="D2818" s="4" t="s">
        <v>30</v>
      </c>
      <c r="E2818" s="4">
        <v>38</v>
      </c>
      <c r="F2818" s="4">
        <v>1142.4849999999999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0.56999999999999995</v>
      </c>
      <c r="U2818" s="5">
        <f>C2818+1</f>
        <v>40413</v>
      </c>
    </row>
    <row r="2819" spans="1:21" ht="12" customHeight="1">
      <c r="A2819" s="4">
        <v>6065</v>
      </c>
      <c r="B2819" s="4">
        <v>42951</v>
      </c>
      <c r="C2819" s="5">
        <f>DATE(2012,12,31)-106</f>
        <v>41168</v>
      </c>
      <c r="D2819" s="4" t="s">
        <v>78</v>
      </c>
      <c r="E2819" s="4">
        <v>20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8.8000000000000007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1">C2819+2</f>
        <v>41170</v>
      </c>
    </row>
    <row r="2820" spans="1:21" ht="12" customHeight="1">
      <c r="A2820" s="4">
        <v>6108</v>
      </c>
      <c r="B2820" s="4">
        <v>43270</v>
      </c>
      <c r="C2820" s="5">
        <f>DATE(2012,12,31)-121</f>
        <v>41153</v>
      </c>
      <c r="D2820" s="4" t="s">
        <v>78</v>
      </c>
      <c r="E2820" s="4">
        <v>35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1"/>
        <v>41155</v>
      </c>
    </row>
    <row r="2821" spans="1:21" ht="12" customHeight="1">
      <c r="A2821" s="4">
        <v>6109</v>
      </c>
      <c r="B2821" s="4">
        <v>43271</v>
      </c>
      <c r="C2821" s="5">
        <f>DATE(2012,12,31)-1034</f>
        <v>40240</v>
      </c>
      <c r="D2821" s="4" t="s">
        <v>63</v>
      </c>
      <c r="E2821" s="4">
        <v>2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0.57999999999999996</v>
      </c>
      <c r="U2821" s="5">
        <f>C2821+1</f>
        <v>40241</v>
      </c>
    </row>
    <row r="2822" spans="1:21" ht="12" customHeight="1">
      <c r="A2822" s="4">
        <v>6168</v>
      </c>
      <c r="B2822" s="4">
        <v>43745</v>
      </c>
      <c r="C2822" s="5">
        <f t="shared" ref="C2822:C2825" si="1162">DATE(2012,12,31)-791</f>
        <v>40483</v>
      </c>
      <c r="D2822" s="4" t="s">
        <v>21</v>
      </c>
      <c r="E2822" s="4">
        <v>43</v>
      </c>
      <c r="F2822" s="4">
        <v>2433.5300000000002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0.56999999999999995</v>
      </c>
      <c r="U2822" s="5">
        <f>C2822+0</f>
        <v>40483</v>
      </c>
    </row>
    <row r="2823" spans="1:21" ht="12" customHeight="1">
      <c r="A2823" s="4">
        <v>6169</v>
      </c>
      <c r="B2823" s="4">
        <v>43745</v>
      </c>
      <c r="C2823" s="5">
        <f t="shared" si="1162"/>
        <v>40483</v>
      </c>
      <c r="D2823" s="4" t="s">
        <v>21</v>
      </c>
      <c r="E2823" s="4">
        <v>26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3">C2823+2</f>
        <v>40485</v>
      </c>
    </row>
    <row r="2824" spans="1:21" ht="12" customHeight="1">
      <c r="A2824" s="4">
        <v>6170</v>
      </c>
      <c r="B2824" s="4">
        <v>43745</v>
      </c>
      <c r="C2824" s="5">
        <f t="shared" si="1162"/>
        <v>40483</v>
      </c>
      <c r="D2824" s="4" t="s">
        <v>21</v>
      </c>
      <c r="E2824" s="4">
        <v>41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3"/>
        <v>40485</v>
      </c>
    </row>
    <row r="2825" spans="1:21" ht="12" customHeight="1">
      <c r="A2825" s="4">
        <v>6171</v>
      </c>
      <c r="B2825" s="4">
        <v>43745</v>
      </c>
      <c r="C2825" s="5">
        <f t="shared" si="1162"/>
        <v>40483</v>
      </c>
      <c r="D2825" s="4" t="s">
        <v>21</v>
      </c>
      <c r="E2825" s="4">
        <v>32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0.56000000000000005</v>
      </c>
      <c r="U2825" s="5">
        <f t="shared" ref="U2825:U2826" si="1164">C2825+0</f>
        <v>40483</v>
      </c>
    </row>
    <row r="2826" spans="1:21" ht="12" customHeight="1">
      <c r="A2826" s="4">
        <v>6194</v>
      </c>
      <c r="B2826" s="4">
        <v>43877</v>
      </c>
      <c r="C2826" s="5">
        <f>DATE(2012,12,31)-1022</f>
        <v>40252</v>
      </c>
      <c r="D2826" s="4" t="s">
        <v>21</v>
      </c>
      <c r="E2826" s="4">
        <v>36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0.57999999999999996</v>
      </c>
      <c r="U2826" s="5">
        <f t="shared" si="1164"/>
        <v>40252</v>
      </c>
    </row>
    <row r="2827" spans="1:21" ht="12" customHeight="1">
      <c r="A2827" s="4">
        <v>6198</v>
      </c>
      <c r="B2827" s="4">
        <v>43907</v>
      </c>
      <c r="C2827" s="5">
        <f>DATE(2012,12,31)-166</f>
        <v>41108</v>
      </c>
      <c r="D2827" s="4" t="s">
        <v>78</v>
      </c>
      <c r="E2827" s="4">
        <v>42</v>
      </c>
      <c r="F2827" s="4">
        <v>1392.77</v>
      </c>
      <c r="G2827" s="4">
        <v>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spans="1:21" ht="12" customHeight="1">
      <c r="A2828" s="4">
        <v>6204</v>
      </c>
      <c r="B2828" s="4">
        <v>43940</v>
      </c>
      <c r="C2828" s="5">
        <f t="shared" ref="C2828:C2829" si="1165">DATE(2012,12,31)-1044</f>
        <v>40230</v>
      </c>
      <c r="D2828" s="4" t="s">
        <v>78</v>
      </c>
      <c r="E2828" s="4">
        <v>12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6">C2828+1</f>
        <v>40231</v>
      </c>
    </row>
    <row r="2829" spans="1:21" ht="12" customHeight="1">
      <c r="A2829" s="4">
        <v>6205</v>
      </c>
      <c r="B2829" s="4">
        <v>43940</v>
      </c>
      <c r="C2829" s="5">
        <f t="shared" si="1165"/>
        <v>40230</v>
      </c>
      <c r="D2829" s="4" t="s">
        <v>78</v>
      </c>
      <c r="E2829" s="4">
        <v>44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6"/>
        <v>40231</v>
      </c>
    </row>
    <row r="2830" spans="1:21" ht="12" customHeight="1">
      <c r="A2830" s="4">
        <v>6218</v>
      </c>
      <c r="B2830" s="4">
        <v>44036</v>
      </c>
      <c r="C2830" s="5">
        <f>DATE(2012,12,31)-355</f>
        <v>40919</v>
      </c>
      <c r="D2830" s="4" t="s">
        <v>30</v>
      </c>
      <c r="E2830" s="4">
        <v>40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0.55000000000000004</v>
      </c>
      <c r="U2830" s="5">
        <f>C2830+2</f>
        <v>40921</v>
      </c>
    </row>
    <row r="2831" spans="1:21" ht="12" customHeight="1">
      <c r="A2831" s="4">
        <v>6511</v>
      </c>
      <c r="B2831" s="4">
        <v>46337</v>
      </c>
      <c r="C2831" s="5">
        <f>DATE(2012,12,31)-248</f>
        <v>41026</v>
      </c>
      <c r="D2831" s="4" t="s">
        <v>21</v>
      </c>
      <c r="E2831" s="4">
        <v>34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0.56000000000000005</v>
      </c>
      <c r="U2831" s="5">
        <f>C2831+5</f>
        <v>41031</v>
      </c>
    </row>
    <row r="2832" spans="1:21" ht="12" customHeight="1">
      <c r="A2832" s="4">
        <v>6547</v>
      </c>
      <c r="B2832" s="4">
        <v>46562</v>
      </c>
      <c r="C2832" s="5">
        <f>DATE(2012,12,31)-688</f>
        <v>40586</v>
      </c>
      <c r="D2832" s="4" t="s">
        <v>45</v>
      </c>
      <c r="E2832" s="4">
        <v>35</v>
      </c>
      <c r="F2832" s="4">
        <v>5407.9</v>
      </c>
      <c r="G2832" s="4">
        <v>0.01</v>
      </c>
      <c r="H2832" s="4" t="s">
        <v>31</v>
      </c>
      <c r="I2832" s="6">
        <v>-352.78986600000002</v>
      </c>
      <c r="J2832" s="4">
        <v>145.97999999999999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7">C2832+2</f>
        <v>40588</v>
      </c>
    </row>
    <row r="2833" spans="1:21" ht="12" customHeight="1">
      <c r="A2833" s="4">
        <v>6570</v>
      </c>
      <c r="B2833" s="4">
        <v>46725</v>
      </c>
      <c r="C2833" s="5">
        <f t="shared" ref="C2833:C2834" si="1168">DATE(2012,12,31)-833</f>
        <v>40441</v>
      </c>
      <c r="D2833" s="4" t="s">
        <v>45</v>
      </c>
      <c r="E2833" s="4">
        <v>13</v>
      </c>
      <c r="F2833" s="4">
        <v>80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0.55000000000000004</v>
      </c>
      <c r="U2833" s="5">
        <f t="shared" si="1167"/>
        <v>40443</v>
      </c>
    </row>
    <row r="2834" spans="1:21" ht="12" customHeight="1">
      <c r="A2834" s="4">
        <v>6571</v>
      </c>
      <c r="B2834" s="4">
        <v>46725</v>
      </c>
      <c r="C2834" s="5">
        <f t="shared" si="1168"/>
        <v>40441</v>
      </c>
      <c r="D2834" s="4" t="s">
        <v>45</v>
      </c>
      <c r="E2834" s="4">
        <v>8</v>
      </c>
      <c r="F2834" s="4">
        <v>137.41999999999999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0.57999999999999996</v>
      </c>
      <c r="U2834" s="5">
        <f>C2834+1</f>
        <v>40442</v>
      </c>
    </row>
    <row r="2835" spans="1:21" ht="12" customHeight="1">
      <c r="A2835" s="4">
        <v>6575</v>
      </c>
      <c r="B2835" s="4">
        <v>46787</v>
      </c>
      <c r="C2835" s="5">
        <f t="shared" ref="C2835:C2836" si="1169">DATE(2012,12,31)-277</f>
        <v>40997</v>
      </c>
      <c r="D2835" s="4" t="s">
        <v>63</v>
      </c>
      <c r="E2835" s="4">
        <v>28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0">C2835+2</f>
        <v>40999</v>
      </c>
    </row>
    <row r="2836" spans="1:21" ht="12" customHeight="1">
      <c r="A2836" s="4">
        <v>6576</v>
      </c>
      <c r="B2836" s="4">
        <v>46787</v>
      </c>
      <c r="C2836" s="5">
        <f t="shared" si="1169"/>
        <v>40997</v>
      </c>
      <c r="D2836" s="4" t="s">
        <v>63</v>
      </c>
      <c r="E2836" s="4">
        <v>32</v>
      </c>
      <c r="F2836" s="4">
        <v>693.17</v>
      </c>
      <c r="G2836" s="4">
        <v>7.0000000000000007E-2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0.56999999999999995</v>
      </c>
      <c r="U2836" s="5">
        <f t="shared" si="1170"/>
        <v>40999</v>
      </c>
    </row>
    <row r="2837" spans="1:21" ht="12" customHeight="1">
      <c r="A2837" s="4">
        <v>6592</v>
      </c>
      <c r="B2837" s="4">
        <v>46916</v>
      </c>
      <c r="C2837" s="5">
        <f>DATE(2012,12,31)-455</f>
        <v>40819</v>
      </c>
      <c r="D2837" s="4" t="s">
        <v>30</v>
      </c>
      <c r="E2837" s="4">
        <v>40</v>
      </c>
      <c r="F2837" s="4">
        <v>115.51</v>
      </c>
      <c r="G2837" s="4">
        <v>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0"/>
        <v>40821</v>
      </c>
    </row>
    <row r="2838" spans="1:21" ht="12" customHeight="1">
      <c r="A2838" s="4">
        <v>6643</v>
      </c>
      <c r="B2838" s="4">
        <v>47265</v>
      </c>
      <c r="C2838" s="5">
        <f>DATE(2012,12,31)-387</f>
        <v>40887</v>
      </c>
      <c r="D2838" s="4" t="s">
        <v>78</v>
      </c>
      <c r="E2838" s="4">
        <v>31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spans="1:21" ht="12" customHeight="1">
      <c r="A2839" s="4">
        <v>6813</v>
      </c>
      <c r="B2839" s="4">
        <v>48487</v>
      </c>
      <c r="C2839" s="5">
        <f>DATE(2012,12,31)-1085</f>
        <v>40189</v>
      </c>
      <c r="D2839" s="4" t="s">
        <v>21</v>
      </c>
      <c r="E2839" s="4">
        <v>27</v>
      </c>
      <c r="F2839" s="4">
        <v>360.7</v>
      </c>
      <c r="G2839" s="4">
        <v>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1">C2839+2</f>
        <v>40191</v>
      </c>
    </row>
    <row r="2840" spans="1:21" ht="12" customHeight="1">
      <c r="A2840" s="4">
        <v>6850</v>
      </c>
      <c r="B2840" s="4">
        <v>48774</v>
      </c>
      <c r="C2840" s="5">
        <f>DATE(2012,12,31)-144</f>
        <v>41130</v>
      </c>
      <c r="D2840" s="4" t="s">
        <v>30</v>
      </c>
      <c r="E2840" s="4">
        <v>31</v>
      </c>
      <c r="F2840" s="4">
        <v>7323.78</v>
      </c>
      <c r="G2840" s="4">
        <v>0.04</v>
      </c>
      <c r="H2840" s="4" t="s">
        <v>31</v>
      </c>
      <c r="I2840" s="6">
        <v>573.54999999999995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0.56999999999999995</v>
      </c>
      <c r="U2840" s="5">
        <f t="shared" si="1171"/>
        <v>41132</v>
      </c>
    </row>
    <row r="2841" spans="1:21" ht="12" customHeight="1">
      <c r="A2841" s="4">
        <v>6924</v>
      </c>
      <c r="B2841" s="4">
        <v>49381</v>
      </c>
      <c r="C2841" s="5">
        <f>DATE(2012,12,31)-18</f>
        <v>41256</v>
      </c>
      <c r="D2841" s="4" t="s">
        <v>45</v>
      </c>
      <c r="E2841" s="4">
        <v>21</v>
      </c>
      <c r="F2841" s="4">
        <v>1537.5</v>
      </c>
      <c r="G2841" s="4">
        <v>0.04</v>
      </c>
      <c r="H2841" s="4" t="s">
        <v>22</v>
      </c>
      <c r="I2841" s="6">
        <v>-531.91999999999996</v>
      </c>
      <c r="J2841" s="4">
        <v>70.98</v>
      </c>
      <c r="K2841" s="4">
        <v>35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spans="1:21" ht="12" customHeight="1">
      <c r="A2842" s="4">
        <v>6959</v>
      </c>
      <c r="B2842" s="4">
        <v>49762</v>
      </c>
      <c r="C2842" s="5">
        <f>DATE(2012,12,31)-565</f>
        <v>40709</v>
      </c>
      <c r="D2842" s="4" t="s">
        <v>30</v>
      </c>
      <c r="E2842" s="4">
        <v>35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2">C2842+2</f>
        <v>40711</v>
      </c>
    </row>
    <row r="2843" spans="1:21" ht="12" customHeight="1">
      <c r="A2843" s="4">
        <v>6976</v>
      </c>
      <c r="B2843" s="4">
        <v>49831</v>
      </c>
      <c r="C2843" s="5">
        <f>DATE(2012,12,31)-861</f>
        <v>40413</v>
      </c>
      <c r="D2843" s="4" t="s">
        <v>78</v>
      </c>
      <c r="E2843" s="4">
        <v>18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2"/>
        <v>40415</v>
      </c>
    </row>
    <row r="2844" spans="1:21" ht="12" customHeight="1">
      <c r="A2844" s="4">
        <v>6982</v>
      </c>
      <c r="B2844" s="4">
        <v>49892</v>
      </c>
      <c r="C2844" s="5">
        <f>DATE(2012,12,31)-690</f>
        <v>40584</v>
      </c>
      <c r="D2844" s="4" t="s">
        <v>21</v>
      </c>
      <c r="E2844" s="4">
        <v>26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4.4800000000000004</v>
      </c>
      <c r="K2844" s="4">
        <v>49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spans="1:21" ht="12" customHeight="1">
      <c r="A2845" s="4">
        <v>7001</v>
      </c>
      <c r="B2845" s="4">
        <v>49988</v>
      </c>
      <c r="C2845" s="5">
        <f t="shared" ref="C2845:C2847" si="1173">DATE(2012,12,31)-742</f>
        <v>40532</v>
      </c>
      <c r="D2845" s="4" t="s">
        <v>30</v>
      </c>
      <c r="E2845" s="4">
        <v>43</v>
      </c>
      <c r="F2845" s="4">
        <v>7731.09</v>
      </c>
      <c r="G2845" s="4">
        <v>0</v>
      </c>
      <c r="H2845" s="4" t="s">
        <v>22</v>
      </c>
      <c r="I2845" s="6">
        <v>-222.17</v>
      </c>
      <c r="J2845" s="4">
        <v>167.27</v>
      </c>
      <c r="K2845" s="4">
        <v>35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spans="1:21" ht="12" customHeight="1">
      <c r="A2846" s="4">
        <v>7002</v>
      </c>
      <c r="B2846" s="4">
        <v>49988</v>
      </c>
      <c r="C2846" s="5">
        <f t="shared" si="1173"/>
        <v>40532</v>
      </c>
      <c r="D2846" s="4" t="s">
        <v>30</v>
      </c>
      <c r="E2846" s="4">
        <v>33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spans="1:21" ht="12" customHeight="1">
      <c r="A2847" s="4">
        <v>7003</v>
      </c>
      <c r="B2847" s="4">
        <v>49988</v>
      </c>
      <c r="C2847" s="5">
        <f t="shared" si="1173"/>
        <v>40532</v>
      </c>
      <c r="D2847" s="4" t="s">
        <v>30</v>
      </c>
      <c r="E2847" s="4">
        <v>33</v>
      </c>
      <c r="F2847" s="4">
        <v>5834.6464999999998</v>
      </c>
      <c r="G2847" s="4">
        <v>0.01</v>
      </c>
      <c r="H2847" s="4" t="s">
        <v>22</v>
      </c>
      <c r="I2847" s="6">
        <v>1619.6579999999999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0.57999999999999996</v>
      </c>
      <c r="U2847" s="5">
        <f>C2847+3</f>
        <v>40535</v>
      </c>
    </row>
    <row r="2848" spans="1:21" ht="12" customHeight="1">
      <c r="A2848" s="4">
        <v>7049</v>
      </c>
      <c r="B2848" s="4">
        <v>50308</v>
      </c>
      <c r="C2848" s="5">
        <f>DATE(2012,12,31)-74</f>
        <v>41200</v>
      </c>
      <c r="D2848" s="4" t="s">
        <v>21</v>
      </c>
      <c r="E2848" s="4">
        <v>19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spans="1:21" ht="12" customHeight="1">
      <c r="A2849" s="4">
        <v>7104</v>
      </c>
      <c r="B2849" s="4">
        <v>50692</v>
      </c>
      <c r="C2849" s="5">
        <f t="shared" ref="C2849:C2850" si="1174">DATE(2012,12,31)-836</f>
        <v>40438</v>
      </c>
      <c r="D2849" s="4" t="s">
        <v>30</v>
      </c>
      <c r="E2849" s="4">
        <v>28</v>
      </c>
      <c r="F2849" s="4">
        <v>327.95</v>
      </c>
      <c r="G2849" s="4">
        <v>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5">C2849+2</f>
        <v>40440</v>
      </c>
    </row>
    <row r="2850" spans="1:21" ht="12" customHeight="1">
      <c r="A2850" s="4">
        <v>7105</v>
      </c>
      <c r="B2850" s="4">
        <v>50692</v>
      </c>
      <c r="C2850" s="5">
        <f t="shared" si="1174"/>
        <v>40438</v>
      </c>
      <c r="D2850" s="4" t="s">
        <v>30</v>
      </c>
      <c r="E2850" s="4">
        <v>47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5"/>
        <v>40440</v>
      </c>
    </row>
    <row r="2851" spans="1:21" ht="12" customHeight="1">
      <c r="A2851" s="4">
        <v>7107</v>
      </c>
      <c r="B2851" s="4">
        <v>50725</v>
      </c>
      <c r="C2851" s="5">
        <f>DATE(2012,12,31)-769</f>
        <v>40505</v>
      </c>
      <c r="D2851" s="4" t="s">
        <v>63</v>
      </c>
      <c r="E2851" s="4">
        <v>1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6">C2851+1</f>
        <v>40506</v>
      </c>
    </row>
    <row r="2852" spans="1:21" ht="12" customHeight="1">
      <c r="A2852" s="4">
        <v>7146</v>
      </c>
      <c r="B2852" s="4">
        <v>50982</v>
      </c>
      <c r="C2852" s="5">
        <f>DATE(2012,12,31)-259</f>
        <v>41015</v>
      </c>
      <c r="D2852" s="4" t="s">
        <v>30</v>
      </c>
      <c r="E2852" s="4">
        <v>23</v>
      </c>
      <c r="F2852" s="4">
        <v>86.53</v>
      </c>
      <c r="G2852" s="4">
        <v>0.05</v>
      </c>
      <c r="H2852" s="4" t="s">
        <v>22</v>
      </c>
      <c r="I2852" s="6">
        <v>35.619999999999997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6"/>
        <v>41016</v>
      </c>
    </row>
    <row r="2853" spans="1:21" ht="12" customHeight="1">
      <c r="A2853" s="4">
        <v>7149</v>
      </c>
      <c r="B2853" s="4">
        <v>51008</v>
      </c>
      <c r="C2853" s="5">
        <f>DATE(2012,12,31)-499</f>
        <v>40775</v>
      </c>
      <c r="D2853" s="4" t="s">
        <v>30</v>
      </c>
      <c r="E2853" s="4">
        <v>20</v>
      </c>
      <c r="F2853" s="4">
        <v>269.66000000000003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spans="1:21" ht="12" customHeight="1">
      <c r="A2854" s="4">
        <v>7211</v>
      </c>
      <c r="B2854" s="4">
        <v>51463</v>
      </c>
      <c r="C2854" s="5">
        <f t="shared" ref="C2854:C2855" si="1177">DATE(2012,12,31)-380</f>
        <v>40894</v>
      </c>
      <c r="D2854" s="4" t="s">
        <v>21</v>
      </c>
      <c r="E2854" s="4">
        <v>4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4.9800000000000004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spans="1:21" ht="12" customHeight="1">
      <c r="A2855" s="4">
        <v>7212</v>
      </c>
      <c r="B2855" s="4">
        <v>51463</v>
      </c>
      <c r="C2855" s="5">
        <f t="shared" si="1177"/>
        <v>40894</v>
      </c>
      <c r="D2855" s="4" t="s">
        <v>21</v>
      </c>
      <c r="E2855" s="4">
        <v>7</v>
      </c>
      <c r="F2855" s="4">
        <v>405.33949999999999</v>
      </c>
      <c r="G2855" s="4">
        <v>0.01</v>
      </c>
      <c r="H2855" s="4" t="s">
        <v>56</v>
      </c>
      <c r="I2855" s="6">
        <v>-147.88399999999999</v>
      </c>
      <c r="J2855" s="4">
        <v>65.989999999999995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0.55000000000000004</v>
      </c>
      <c r="U2855" s="5">
        <f>C2855+0</f>
        <v>40894</v>
      </c>
    </row>
    <row r="2856" spans="1:21" ht="12" customHeight="1">
      <c r="A2856" s="4">
        <v>7299</v>
      </c>
      <c r="B2856" s="4">
        <v>52039</v>
      </c>
      <c r="C2856" s="5">
        <f>DATE(2012,12,31)-151</f>
        <v>41123</v>
      </c>
      <c r="D2856" s="4" t="s">
        <v>78</v>
      </c>
      <c r="E2856" s="4">
        <v>48</v>
      </c>
      <c r="F2856" s="4">
        <v>2006.38</v>
      </c>
      <c r="G2856" s="4">
        <v>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spans="1:21" ht="12" customHeight="1">
      <c r="A2857" s="4">
        <v>7336</v>
      </c>
      <c r="B2857" s="4">
        <v>52290</v>
      </c>
      <c r="C2857" s="5">
        <f t="shared" ref="C2857:C2858" si="1178">DATE(2012,12,31)-224</f>
        <v>41050</v>
      </c>
      <c r="D2857" s="4" t="s">
        <v>21</v>
      </c>
      <c r="E2857" s="4">
        <v>7</v>
      </c>
      <c r="F2857" s="4">
        <v>1134.05</v>
      </c>
      <c r="G2857" s="4">
        <v>0.08</v>
      </c>
      <c r="H2857" s="4" t="s">
        <v>22</v>
      </c>
      <c r="I2857" s="6">
        <v>149.49799999999999</v>
      </c>
      <c r="J2857" s="4">
        <v>172.99</v>
      </c>
      <c r="K2857" s="4">
        <v>19.989999999999998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spans="1:21" ht="12" customHeight="1">
      <c r="A2858" s="4">
        <v>7337</v>
      </c>
      <c r="B2858" s="4">
        <v>52290</v>
      </c>
      <c r="C2858" s="5">
        <f t="shared" si="1178"/>
        <v>41050</v>
      </c>
      <c r="D2858" s="4" t="s">
        <v>21</v>
      </c>
      <c r="E2858" s="4">
        <v>28</v>
      </c>
      <c r="F2858" s="4">
        <v>1470.0495000000001</v>
      </c>
      <c r="G2858" s="4">
        <v>0.1</v>
      </c>
      <c r="H2858" s="4" t="s">
        <v>22</v>
      </c>
      <c r="I2858" s="6">
        <v>185.94</v>
      </c>
      <c r="J2858" s="4">
        <v>65.989999999999995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0.56999999999999995</v>
      </c>
      <c r="U2858" s="5">
        <f>C2858+9</f>
        <v>41059</v>
      </c>
    </row>
    <row r="2859" spans="1:21" ht="12" customHeight="1">
      <c r="A2859" s="4">
        <v>7362</v>
      </c>
      <c r="B2859" s="4">
        <v>52480</v>
      </c>
      <c r="C2859" s="5">
        <f>DATE(2012,12,31)-888</f>
        <v>40386</v>
      </c>
      <c r="D2859" s="4" t="s">
        <v>45</v>
      </c>
      <c r="E2859" s="4">
        <v>47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spans="1:21" ht="12" customHeight="1">
      <c r="A2860" s="4">
        <v>7365</v>
      </c>
      <c r="B2860" s="4">
        <v>52486</v>
      </c>
      <c r="C2860" s="5">
        <f>DATE(2012,12,31)-727</f>
        <v>40547</v>
      </c>
      <c r="D2860" s="4" t="s">
        <v>45</v>
      </c>
      <c r="E2860" s="4">
        <v>41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300.97000000000003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spans="1:21" ht="12" customHeight="1">
      <c r="A2861" s="4">
        <v>7372</v>
      </c>
      <c r="B2861" s="4">
        <v>52519</v>
      </c>
      <c r="C2861" s="5">
        <f>DATE(2012,12,31)-246</f>
        <v>41028</v>
      </c>
      <c r="D2861" s="4" t="s">
        <v>30</v>
      </c>
      <c r="E2861" s="4">
        <v>6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0.57999999999999996</v>
      </c>
      <c r="U2861" s="5">
        <f>C2861+2</f>
        <v>41030</v>
      </c>
    </row>
    <row r="2862" spans="1:21" ht="12" customHeight="1">
      <c r="A2862" s="4">
        <v>7454</v>
      </c>
      <c r="B2862" s="4">
        <v>53188</v>
      </c>
      <c r="C2862" s="5">
        <f>DATE(2012,12,31)-56</f>
        <v>41218</v>
      </c>
      <c r="D2862" s="4" t="s">
        <v>30</v>
      </c>
      <c r="E2862" s="4">
        <v>22</v>
      </c>
      <c r="F2862" s="4">
        <v>621.21</v>
      </c>
      <c r="G2862" s="4">
        <v>7.0000000000000007E-2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spans="1:21" ht="12" customHeight="1">
      <c r="A2863" s="4">
        <v>7461</v>
      </c>
      <c r="B2863" s="4">
        <v>53223</v>
      </c>
      <c r="C2863" s="5">
        <f>DATE(2012,12,31)-170</f>
        <v>41104</v>
      </c>
      <c r="D2863" s="4" t="s">
        <v>21</v>
      </c>
      <c r="E2863" s="4">
        <v>2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spans="1:21" ht="12" customHeight="1">
      <c r="A2864" s="4">
        <v>7462</v>
      </c>
      <c r="B2864" s="4">
        <v>53248</v>
      </c>
      <c r="C2864" s="5">
        <f>DATE(2012,12,31)-794</f>
        <v>40480</v>
      </c>
      <c r="D2864" s="4" t="s">
        <v>78</v>
      </c>
      <c r="E2864" s="4">
        <v>7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79">C2864+1</f>
        <v>40481</v>
      </c>
    </row>
    <row r="2865" spans="1:21" ht="12" customHeight="1">
      <c r="A2865" s="4">
        <v>7481</v>
      </c>
      <c r="B2865" s="4">
        <v>53411</v>
      </c>
      <c r="C2865" s="5">
        <f>DATE(2012,12,31)-398</f>
        <v>40876</v>
      </c>
      <c r="D2865" s="4" t="s">
        <v>78</v>
      </c>
      <c r="E2865" s="4">
        <v>25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79"/>
        <v>40877</v>
      </c>
    </row>
    <row r="2866" spans="1:21" ht="12" customHeight="1">
      <c r="A2866" s="4">
        <v>7517</v>
      </c>
      <c r="B2866" s="4">
        <v>53668</v>
      </c>
      <c r="C2866" s="5">
        <f>DATE(2012,12,31)-1006</f>
        <v>40268</v>
      </c>
      <c r="D2866" s="4" t="s">
        <v>45</v>
      </c>
      <c r="E2866" s="4">
        <v>9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0.56999999999999995</v>
      </c>
      <c r="U2866" s="5">
        <f t="shared" si="1179"/>
        <v>40269</v>
      </c>
    </row>
    <row r="2867" spans="1:21" ht="12" customHeight="1">
      <c r="A2867" s="4">
        <v>7524</v>
      </c>
      <c r="B2867" s="4">
        <v>53730</v>
      </c>
      <c r="C2867" s="5">
        <f>DATE(2012,12,31)-2</f>
        <v>41272</v>
      </c>
      <c r="D2867" s="4" t="s">
        <v>30</v>
      </c>
      <c r="E2867" s="4">
        <v>40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79"/>
        <v>41273</v>
      </c>
    </row>
    <row r="2868" spans="1:21" ht="12" customHeight="1">
      <c r="A2868" s="4">
        <v>7550</v>
      </c>
      <c r="B2868" s="4">
        <v>54020</v>
      </c>
      <c r="C2868" s="5">
        <f t="shared" ref="C2868:C2869" si="1180">DATE(2012,12,31)-335</f>
        <v>40939</v>
      </c>
      <c r="D2868" s="4" t="s">
        <v>21</v>
      </c>
      <c r="E2868" s="4">
        <v>35</v>
      </c>
      <c r="F2868" s="4">
        <v>648.58000000000004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spans="1:21" ht="12" customHeight="1">
      <c r="A2869" s="4">
        <v>7551</v>
      </c>
      <c r="B2869" s="4">
        <v>54020</v>
      </c>
      <c r="C2869" s="5">
        <f t="shared" si="1180"/>
        <v>40939</v>
      </c>
      <c r="D2869" s="4" t="s">
        <v>21</v>
      </c>
      <c r="E2869" s="4">
        <v>43</v>
      </c>
      <c r="F2869" s="4">
        <v>270.56</v>
      </c>
      <c r="G2869" s="4">
        <v>0.09</v>
      </c>
      <c r="H2869" s="4" t="s">
        <v>22</v>
      </c>
      <c r="I2869" s="6">
        <v>-140.47999999999999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spans="1:21" ht="12" customHeight="1">
      <c r="A2870" s="4">
        <v>7596</v>
      </c>
      <c r="B2870" s="4">
        <v>54368</v>
      </c>
      <c r="C2870" s="5">
        <f t="shared" ref="C2870:C2872" si="1181">DATE(2012,12,31)-426</f>
        <v>40848</v>
      </c>
      <c r="D2870" s="4" t="s">
        <v>45</v>
      </c>
      <c r="E2870" s="4">
        <v>31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spans="1:21" ht="12" customHeight="1">
      <c r="A2871" s="4">
        <v>7597</v>
      </c>
      <c r="B2871" s="4">
        <v>54368</v>
      </c>
      <c r="C2871" s="5">
        <f t="shared" si="1181"/>
        <v>40848</v>
      </c>
      <c r="D2871" s="4" t="s">
        <v>45</v>
      </c>
      <c r="E2871" s="4">
        <v>16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4.9800000000000004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2">C2871+1</f>
        <v>40849</v>
      </c>
    </row>
    <row r="2872" spans="1:21" ht="12" customHeight="1">
      <c r="A2872" s="4">
        <v>7598</v>
      </c>
      <c r="B2872" s="4">
        <v>54368</v>
      </c>
      <c r="C2872" s="5">
        <f t="shared" si="1181"/>
        <v>40848</v>
      </c>
      <c r="D2872" s="4" t="s">
        <v>45</v>
      </c>
      <c r="E2872" s="4">
        <v>43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0.56000000000000005</v>
      </c>
      <c r="U2872" s="5">
        <f t="shared" si="1182"/>
        <v>40849</v>
      </c>
    </row>
    <row r="2873" spans="1:21" ht="12" customHeight="1">
      <c r="A2873" s="4">
        <v>7640</v>
      </c>
      <c r="B2873" s="4">
        <v>54721</v>
      </c>
      <c r="C2873" s="5">
        <f>DATE(2012,12,31)-74</f>
        <v>41200</v>
      </c>
      <c r="D2873" s="4" t="s">
        <v>45</v>
      </c>
      <c r="E2873" s="4">
        <v>19</v>
      </c>
      <c r="F2873" s="4">
        <v>2002.4</v>
      </c>
      <c r="G2873" s="4">
        <v>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2"/>
        <v>41201</v>
      </c>
    </row>
    <row r="2874" spans="1:21" ht="12" customHeight="1">
      <c r="A2874" s="4">
        <v>7673</v>
      </c>
      <c r="B2874" s="4">
        <v>55013</v>
      </c>
      <c r="C2874" s="5">
        <f t="shared" ref="C2874:C2875" si="1183">DATE(2012,12,31)-538</f>
        <v>40736</v>
      </c>
      <c r="D2874" s="4" t="s">
        <v>21</v>
      </c>
      <c r="E2874" s="4">
        <v>5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spans="1:21" ht="12" customHeight="1">
      <c r="A2875" s="4">
        <v>7674</v>
      </c>
      <c r="B2875" s="4">
        <v>55013</v>
      </c>
      <c r="C2875" s="5">
        <f t="shared" si="1183"/>
        <v>40736</v>
      </c>
      <c r="D2875" s="4" t="s">
        <v>21</v>
      </c>
      <c r="E2875" s="4">
        <v>14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spans="1:21" ht="12" customHeight="1">
      <c r="A2876" s="4">
        <v>7686</v>
      </c>
      <c r="B2876" s="4">
        <v>55077</v>
      </c>
      <c r="C2876" s="5">
        <f t="shared" ref="C2876:C2877" si="1184">DATE(2012,12,31)-454</f>
        <v>40820</v>
      </c>
      <c r="D2876" s="4" t="s">
        <v>78</v>
      </c>
      <c r="E2876" s="4">
        <v>2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5">C2876+2</f>
        <v>40822</v>
      </c>
    </row>
    <row r="2877" spans="1:21" ht="12" customHeight="1">
      <c r="A2877" s="4">
        <v>7687</v>
      </c>
      <c r="B2877" s="4">
        <v>55077</v>
      </c>
      <c r="C2877" s="5">
        <f t="shared" si="1184"/>
        <v>40820</v>
      </c>
      <c r="D2877" s="4" t="s">
        <v>78</v>
      </c>
      <c r="E2877" s="4">
        <v>3</v>
      </c>
      <c r="F2877" s="4">
        <v>143.98149999999998</v>
      </c>
      <c r="G2877" s="4">
        <v>0.08</v>
      </c>
      <c r="H2877" s="4" t="s">
        <v>22</v>
      </c>
      <c r="I2877" s="6">
        <v>-283.22800000000001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5"/>
        <v>40822</v>
      </c>
    </row>
    <row r="2878" spans="1:21" ht="12" customHeight="1">
      <c r="A2878" s="4">
        <v>7703</v>
      </c>
      <c r="B2878" s="4">
        <v>55206</v>
      </c>
      <c r="C2878" s="5">
        <f>DATE(2012,12,31)-425</f>
        <v>40849</v>
      </c>
      <c r="D2878" s="4" t="s">
        <v>63</v>
      </c>
      <c r="E2878" s="4">
        <v>20</v>
      </c>
      <c r="F2878" s="4">
        <v>52.7</v>
      </c>
      <c r="G2878" s="4">
        <v>0.03</v>
      </c>
      <c r="H2878" s="4" t="s">
        <v>56</v>
      </c>
      <c r="I2878" s="6">
        <v>-64.882999999999996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spans="1:21" ht="12" customHeight="1">
      <c r="A2879" s="4">
        <v>7755</v>
      </c>
      <c r="B2879" s="4">
        <v>55492</v>
      </c>
      <c r="C2879" s="5">
        <f>DATE(2012,12,31)-469</f>
        <v>40805</v>
      </c>
      <c r="D2879" s="4" t="s">
        <v>78</v>
      </c>
      <c r="E2879" s="4">
        <v>10</v>
      </c>
      <c r="F2879" s="4">
        <v>1124.2440000000001</v>
      </c>
      <c r="G2879" s="4">
        <v>0.03</v>
      </c>
      <c r="H2879" s="4" t="s">
        <v>56</v>
      </c>
      <c r="I2879" s="6">
        <v>-126.44499999999999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0.57999999999999996</v>
      </c>
      <c r="U2879" s="5">
        <f>C2879+2</f>
        <v>40807</v>
      </c>
    </row>
    <row r="2880" spans="1:21" ht="12" customHeight="1">
      <c r="A2880" s="4">
        <v>7789</v>
      </c>
      <c r="B2880" s="4">
        <v>55744</v>
      </c>
      <c r="C2880" s="5">
        <f>DATE(2012,12,31)-438</f>
        <v>40836</v>
      </c>
      <c r="D2880" s="4" t="s">
        <v>78</v>
      </c>
      <c r="E2880" s="4">
        <v>23</v>
      </c>
      <c r="F2880" s="4">
        <v>415.05500000000001</v>
      </c>
      <c r="G2880" s="4">
        <v>0.02</v>
      </c>
      <c r="H2880" s="4" t="s">
        <v>22</v>
      </c>
      <c r="I2880" s="6">
        <v>-44.131999999999998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spans="1:21" ht="12" customHeight="1">
      <c r="A2881" s="4">
        <v>7828</v>
      </c>
      <c r="B2881" s="4">
        <v>55968</v>
      </c>
      <c r="C2881" s="5">
        <f>DATE(2012,12,31)-92</f>
        <v>41182</v>
      </c>
      <c r="D2881" s="4" t="s">
        <v>21</v>
      </c>
      <c r="E2881" s="4">
        <v>40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spans="1:21" ht="12" customHeight="1">
      <c r="A2882" s="4">
        <v>7868</v>
      </c>
      <c r="B2882" s="4">
        <v>56288</v>
      </c>
      <c r="C2882" s="5">
        <f t="shared" ref="C2882:C2883" si="1186">DATE(2012,12,31)-915</f>
        <v>40359</v>
      </c>
      <c r="D2882" s="4" t="s">
        <v>45</v>
      </c>
      <c r="E2882" s="4">
        <v>37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spans="1:21" ht="12" customHeight="1">
      <c r="A2883" s="4">
        <v>7869</v>
      </c>
      <c r="B2883" s="4">
        <v>56288</v>
      </c>
      <c r="C2883" s="5">
        <f t="shared" si="1186"/>
        <v>40359</v>
      </c>
      <c r="D2883" s="4" t="s">
        <v>45</v>
      </c>
      <c r="E2883" s="4">
        <v>39</v>
      </c>
      <c r="F2883" s="4">
        <v>585.36</v>
      </c>
      <c r="G2883" s="4">
        <v>7.0000000000000007E-2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7">C2883+2</f>
        <v>40361</v>
      </c>
    </row>
    <row r="2884" spans="1:21" ht="12" customHeight="1">
      <c r="A2884" s="4">
        <v>7870</v>
      </c>
      <c r="B2884" s="4">
        <v>56291</v>
      </c>
      <c r="C2884" s="5">
        <f t="shared" ref="C2884:C2886" si="1188">DATE(2012,12,31)-105</f>
        <v>41169</v>
      </c>
      <c r="D2884" s="4" t="s">
        <v>45</v>
      </c>
      <c r="E2884" s="4">
        <v>22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7"/>
        <v>41171</v>
      </c>
    </row>
    <row r="2885" spans="1:21" ht="12" customHeight="1">
      <c r="A2885" s="4">
        <v>7871</v>
      </c>
      <c r="B2885" s="4">
        <v>56291</v>
      </c>
      <c r="C2885" s="5">
        <f t="shared" si="1188"/>
        <v>41169</v>
      </c>
      <c r="D2885" s="4" t="s">
        <v>45</v>
      </c>
      <c r="E2885" s="4">
        <v>25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spans="1:21" ht="12" customHeight="1">
      <c r="A2886" s="4">
        <v>7872</v>
      </c>
      <c r="B2886" s="4">
        <v>56291</v>
      </c>
      <c r="C2886" s="5">
        <f t="shared" si="1188"/>
        <v>41169</v>
      </c>
      <c r="D2886" s="4" t="s">
        <v>45</v>
      </c>
      <c r="E2886" s="4">
        <v>47</v>
      </c>
      <c r="F2886" s="4">
        <v>1200.7</v>
      </c>
      <c r="G2886" s="4">
        <v>0.06</v>
      </c>
      <c r="H2886" s="4" t="s">
        <v>22</v>
      </c>
      <c r="I2886" s="6">
        <v>-37.270000000000003</v>
      </c>
      <c r="J2886" s="4">
        <v>24.98</v>
      </c>
      <c r="K2886" s="4">
        <v>8.7899999999999991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spans="1:21" ht="12" customHeight="1">
      <c r="A2887" s="4">
        <v>7899</v>
      </c>
      <c r="B2887" s="4">
        <v>56514</v>
      </c>
      <c r="C2887" s="5">
        <f t="shared" ref="C2887:C2888" si="1189">DATE(2012,12,31)-324</f>
        <v>40950</v>
      </c>
      <c r="D2887" s="4" t="s">
        <v>21</v>
      </c>
      <c r="E2887" s="4">
        <v>3</v>
      </c>
      <c r="F2887" s="4">
        <v>110</v>
      </c>
      <c r="G2887" s="4">
        <v>0.02</v>
      </c>
      <c r="H2887" s="4" t="s">
        <v>22</v>
      </c>
      <c r="I2887" s="6">
        <v>-24.425999999999998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0">C2887+7</f>
        <v>40957</v>
      </c>
    </row>
    <row r="2888" spans="1:21" ht="12" customHeight="1">
      <c r="A2888" s="4">
        <v>7900</v>
      </c>
      <c r="B2888" s="4">
        <v>56514</v>
      </c>
      <c r="C2888" s="5">
        <f t="shared" si="1189"/>
        <v>40950</v>
      </c>
      <c r="D2888" s="4" t="s">
        <v>21</v>
      </c>
      <c r="E2888" s="4">
        <v>35</v>
      </c>
      <c r="F2888" s="4">
        <v>186.89</v>
      </c>
      <c r="G2888" s="4">
        <v>0.02</v>
      </c>
      <c r="H2888" s="4" t="s">
        <v>22</v>
      </c>
      <c r="I2888" s="6">
        <v>-153.19999999999999</v>
      </c>
      <c r="J2888" s="4">
        <v>4.9800000000000004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0"/>
        <v>40957</v>
      </c>
    </row>
    <row r="2889" spans="1:21" ht="12" customHeight="1">
      <c r="A2889" s="4">
        <v>7928</v>
      </c>
      <c r="B2889" s="4">
        <v>56672</v>
      </c>
      <c r="C2889" s="5">
        <f t="shared" ref="C2889:C2891" si="1191">DATE(2012,12,31)-233</f>
        <v>41041</v>
      </c>
      <c r="D2889" s="4" t="s">
        <v>30</v>
      </c>
      <c r="E2889" s="4">
        <v>34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36.549999999999997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spans="1:21" ht="12" customHeight="1">
      <c r="A2890" s="4">
        <v>7929</v>
      </c>
      <c r="B2890" s="4">
        <v>56672</v>
      </c>
      <c r="C2890" s="5">
        <f t="shared" si="1191"/>
        <v>41041</v>
      </c>
      <c r="D2890" s="4" t="s">
        <v>30</v>
      </c>
      <c r="E2890" s="4">
        <v>8</v>
      </c>
      <c r="F2890" s="4">
        <v>593.64</v>
      </c>
      <c r="G2890" s="4">
        <v>0.02</v>
      </c>
      <c r="H2890" s="4" t="s">
        <v>31</v>
      </c>
      <c r="I2890" s="6">
        <v>65.246849999999995</v>
      </c>
      <c r="J2890" s="4">
        <v>85.29</v>
      </c>
      <c r="K2890" s="4">
        <v>60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0.56000000000000005</v>
      </c>
      <c r="U2890" s="5">
        <f t="shared" ref="U2890:U2895" si="1192">C2890+2</f>
        <v>41043</v>
      </c>
    </row>
    <row r="2891" spans="1:21" ht="12" customHeight="1">
      <c r="A2891" s="4">
        <v>7930</v>
      </c>
      <c r="B2891" s="4">
        <v>56672</v>
      </c>
      <c r="C2891" s="5">
        <f t="shared" si="1191"/>
        <v>41041</v>
      </c>
      <c r="D2891" s="4" t="s">
        <v>30</v>
      </c>
      <c r="E2891" s="4">
        <v>45</v>
      </c>
      <c r="F2891" s="4">
        <v>2438.3694999999998</v>
      </c>
      <c r="G2891" s="4">
        <v>0.1</v>
      </c>
      <c r="H2891" s="4" t="s">
        <v>22</v>
      </c>
      <c r="I2891" s="6">
        <v>317.19600000000003</v>
      </c>
      <c r="J2891" s="4">
        <v>65.989999999999995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2"/>
        <v>41043</v>
      </c>
    </row>
    <row r="2892" spans="1:21" ht="12" customHeight="1">
      <c r="A2892" s="4">
        <v>7966</v>
      </c>
      <c r="B2892" s="4">
        <v>56931</v>
      </c>
      <c r="C2892" s="5">
        <f>DATE(2012,12,31)-1062</f>
        <v>40212</v>
      </c>
      <c r="D2892" s="4" t="s">
        <v>30</v>
      </c>
      <c r="E2892" s="4">
        <v>34</v>
      </c>
      <c r="F2892" s="4">
        <v>232.41550000000001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2"/>
        <v>40214</v>
      </c>
    </row>
    <row r="2893" spans="1:21" ht="12" customHeight="1">
      <c r="A2893" s="4">
        <v>7971</v>
      </c>
      <c r="B2893" s="4">
        <v>57025</v>
      </c>
      <c r="C2893" s="5">
        <f>DATE(2012,12,31)-188</f>
        <v>41086</v>
      </c>
      <c r="D2893" s="4" t="s">
        <v>63</v>
      </c>
      <c r="E2893" s="4">
        <v>8</v>
      </c>
      <c r="F2893" s="4">
        <v>71.099999999999994</v>
      </c>
      <c r="G2893" s="4">
        <v>0.03</v>
      </c>
      <c r="H2893" s="4" t="s">
        <v>22</v>
      </c>
      <c r="I2893" s="6">
        <v>2.2865000000000002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2"/>
        <v>41088</v>
      </c>
    </row>
    <row r="2894" spans="1:21" ht="12" customHeight="1">
      <c r="A2894" s="4">
        <v>8008</v>
      </c>
      <c r="B2894" s="4">
        <v>57217</v>
      </c>
      <c r="C2894" s="5">
        <f>DATE(2012,12,31)-710</f>
        <v>40564</v>
      </c>
      <c r="D2894" s="4" t="s">
        <v>63</v>
      </c>
      <c r="E2894" s="4">
        <v>35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0.57999999999999996</v>
      </c>
      <c r="U2894" s="5">
        <f t="shared" si="1192"/>
        <v>40566</v>
      </c>
    </row>
    <row r="2895" spans="1:21" ht="12" customHeight="1">
      <c r="A2895" s="4">
        <v>8183</v>
      </c>
      <c r="B2895" s="4">
        <v>58496</v>
      </c>
      <c r="C2895" s="5">
        <f>DATE(2012,12,31)-569</f>
        <v>40705</v>
      </c>
      <c r="D2895" s="4" t="s">
        <v>45</v>
      </c>
      <c r="E2895" s="4">
        <v>20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10.050000000000001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2"/>
        <v>40707</v>
      </c>
    </row>
    <row r="2896" spans="1:21" ht="12" customHeight="1">
      <c r="A2896" s="4">
        <v>8234</v>
      </c>
      <c r="B2896" s="4">
        <v>58854</v>
      </c>
      <c r="C2896" s="5">
        <f t="shared" ref="C2896:C2897" si="1193">DATE(2012,12,31)-982</f>
        <v>40292</v>
      </c>
      <c r="D2896" s="4" t="s">
        <v>78</v>
      </c>
      <c r="E2896" s="4">
        <v>35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spans="1:21" ht="12" customHeight="1">
      <c r="A2897" s="4">
        <v>8235</v>
      </c>
      <c r="B2897" s="4">
        <v>58854</v>
      </c>
      <c r="C2897" s="5">
        <f t="shared" si="1193"/>
        <v>40292</v>
      </c>
      <c r="D2897" s="4" t="s">
        <v>78</v>
      </c>
      <c r="E2897" s="4">
        <v>10</v>
      </c>
      <c r="F2897" s="4">
        <v>193.20500000000001</v>
      </c>
      <c r="G2897" s="4">
        <v>0</v>
      </c>
      <c r="H2897" s="4" t="s">
        <v>22</v>
      </c>
      <c r="I2897" s="6">
        <v>-52.239000000000004</v>
      </c>
      <c r="J2897" s="4">
        <v>20.99</v>
      </c>
      <c r="K2897" s="4">
        <v>4.8099999999999996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0.57999999999999996</v>
      </c>
      <c r="U2897" s="5">
        <f>C2897+2</f>
        <v>40294</v>
      </c>
    </row>
    <row r="2898" spans="1:21" ht="12" customHeight="1">
      <c r="A2898" s="4">
        <v>8243</v>
      </c>
      <c r="B2898" s="4">
        <v>58917</v>
      </c>
      <c r="C2898" s="5">
        <f t="shared" ref="C2898:C2899" si="1194">DATE(2012,12,31)-304</f>
        <v>40970</v>
      </c>
      <c r="D2898" s="4" t="s">
        <v>30</v>
      </c>
      <c r="E2898" s="4">
        <v>27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spans="1:21" ht="12" customHeight="1">
      <c r="A2899" s="4">
        <v>8244</v>
      </c>
      <c r="B2899" s="4">
        <v>58917</v>
      </c>
      <c r="C2899" s="5">
        <f t="shared" si="1194"/>
        <v>40970</v>
      </c>
      <c r="D2899" s="4" t="s">
        <v>30</v>
      </c>
      <c r="E2899" s="4">
        <v>3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0.55000000000000004</v>
      </c>
      <c r="U2899" s="5">
        <f>C2899+0</f>
        <v>40970</v>
      </c>
    </row>
    <row r="2900" spans="1:21" ht="12" customHeight="1">
      <c r="A2900" s="4">
        <v>66</v>
      </c>
      <c r="B2900" s="4">
        <v>386</v>
      </c>
      <c r="C2900" s="5">
        <f t="shared" ref="C2900:C2901" si="1195">DATE(2012,12,31)-707</f>
        <v>40567</v>
      </c>
      <c r="D2900" s="4" t="s">
        <v>30</v>
      </c>
      <c r="E2900" s="4">
        <v>4</v>
      </c>
      <c r="F2900" s="4">
        <v>14.96</v>
      </c>
      <c r="G2900" s="4">
        <v>0.02</v>
      </c>
      <c r="H2900" s="4" t="s">
        <v>22</v>
      </c>
      <c r="I2900" s="6">
        <v>-3.0000000000000249E-2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6">C2900+2</f>
        <v>40569</v>
      </c>
    </row>
    <row r="2901" spans="1:21" ht="12" customHeight="1">
      <c r="A2901" s="4">
        <v>67</v>
      </c>
      <c r="B2901" s="4">
        <v>386</v>
      </c>
      <c r="C2901" s="5">
        <f t="shared" si="1195"/>
        <v>40567</v>
      </c>
      <c r="D2901" s="4" t="s">
        <v>30</v>
      </c>
      <c r="E2901" s="4">
        <v>4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6"/>
        <v>40569</v>
      </c>
    </row>
    <row r="2902" spans="1:21" ht="12" customHeight="1">
      <c r="A2902" s="4">
        <v>69</v>
      </c>
      <c r="B2902" s="4">
        <v>416</v>
      </c>
      <c r="C2902" s="5">
        <f>DATE(2012,12,31)-827</f>
        <v>40447</v>
      </c>
      <c r="D2902" s="4" t="s">
        <v>21</v>
      </c>
      <c r="E2902" s="4">
        <v>20</v>
      </c>
      <c r="F2902" s="4">
        <v>1156.6714999999999</v>
      </c>
      <c r="G2902" s="4">
        <v>0.01</v>
      </c>
      <c r="H2902" s="4" t="s">
        <v>56</v>
      </c>
      <c r="I2902" s="6">
        <v>88.524000000000001</v>
      </c>
      <c r="J2902" s="4">
        <v>65.989999999999995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spans="1:21" ht="12" customHeight="1">
      <c r="A2903" s="4">
        <v>84</v>
      </c>
      <c r="B2903" s="4">
        <v>513</v>
      </c>
      <c r="C2903" s="5">
        <f>DATE(2012,12,31)-611</f>
        <v>40663</v>
      </c>
      <c r="D2903" s="4" t="s">
        <v>30</v>
      </c>
      <c r="E2903" s="4">
        <v>33</v>
      </c>
      <c r="F2903" s="4">
        <v>5437.92</v>
      </c>
      <c r="G2903" s="4">
        <v>0</v>
      </c>
      <c r="H2903" s="4" t="s">
        <v>31</v>
      </c>
      <c r="I2903" s="6">
        <v>-684.57</v>
      </c>
      <c r="J2903" s="4">
        <v>150.88999999999999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spans="1:21" ht="12" customHeight="1">
      <c r="A2904" s="4">
        <v>94</v>
      </c>
      <c r="B2904" s="4">
        <v>611</v>
      </c>
      <c r="C2904" s="5">
        <f>DATE(2012,12,31)-1070</f>
        <v>40204</v>
      </c>
      <c r="D2904" s="4" t="s">
        <v>78</v>
      </c>
      <c r="E2904" s="4">
        <v>47</v>
      </c>
      <c r="F2904" s="4">
        <v>840.04</v>
      </c>
      <c r="G2904" s="4">
        <v>0.04</v>
      </c>
      <c r="H2904" s="4" t="s">
        <v>22</v>
      </c>
      <c r="I2904" s="6">
        <v>-131.27000000000001</v>
      </c>
      <c r="J2904" s="4">
        <v>17.7</v>
      </c>
      <c r="K2904" s="4">
        <v>9.4700000000000006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7">C2904+2</f>
        <v>40206</v>
      </c>
    </row>
    <row r="2905" spans="1:21" ht="12" customHeight="1">
      <c r="A2905" s="4">
        <v>124</v>
      </c>
      <c r="B2905" s="4">
        <v>802</v>
      </c>
      <c r="C2905" s="5">
        <f t="shared" ref="C2905:C2906" si="1198">DATE(2012,12,31)-727</f>
        <v>40547</v>
      </c>
      <c r="D2905" s="4" t="s">
        <v>78</v>
      </c>
      <c r="E2905" s="4">
        <v>33</v>
      </c>
      <c r="F2905" s="4">
        <v>378.6</v>
      </c>
      <c r="G2905" s="4">
        <v>0.08</v>
      </c>
      <c r="H2905" s="4" t="s">
        <v>22</v>
      </c>
      <c r="I2905" s="6">
        <v>12.724500000000001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7"/>
        <v>40549</v>
      </c>
    </row>
    <row r="2906" spans="1:21" ht="12" customHeight="1">
      <c r="A2906" s="4">
        <v>125</v>
      </c>
      <c r="B2906" s="4">
        <v>802</v>
      </c>
      <c r="C2906" s="5">
        <f t="shared" si="1198"/>
        <v>40547</v>
      </c>
      <c r="D2906" s="4" t="s">
        <v>78</v>
      </c>
      <c r="E2906" s="4">
        <v>2</v>
      </c>
      <c r="F2906" s="4">
        <v>38.5</v>
      </c>
      <c r="G2906" s="4">
        <v>0.09</v>
      </c>
      <c r="H2906" s="4" t="s">
        <v>22</v>
      </c>
      <c r="I2906" s="6">
        <v>-52.139099999999999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spans="1:21" ht="12" customHeight="1">
      <c r="A2907" s="4">
        <v>155</v>
      </c>
      <c r="B2907" s="4">
        <v>965</v>
      </c>
      <c r="C2907" s="5">
        <f>DATE(2012,12,31)-597</f>
        <v>40677</v>
      </c>
      <c r="D2907" s="4" t="s">
        <v>21</v>
      </c>
      <c r="E2907" s="4">
        <v>42</v>
      </c>
      <c r="F2907" s="4">
        <v>11230.25</v>
      </c>
      <c r="G2907" s="4">
        <v>7.0000000000000007E-2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spans="1:21" ht="12" customHeight="1">
      <c r="A2908" s="4">
        <v>174</v>
      </c>
      <c r="B2908" s="4">
        <v>1127</v>
      </c>
      <c r="C2908" s="5">
        <f>DATE(2012,12,31)-470</f>
        <v>40804</v>
      </c>
      <c r="D2908" s="4" t="s">
        <v>45</v>
      </c>
      <c r="E2908" s="4">
        <v>48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spans="1:21" ht="12" customHeight="1">
      <c r="A2909" s="4">
        <v>226</v>
      </c>
      <c r="B2909" s="4">
        <v>1507</v>
      </c>
      <c r="C2909" s="5">
        <f>DATE(2012,12,31)-810</f>
        <v>40464</v>
      </c>
      <c r="D2909" s="4" t="s">
        <v>63</v>
      </c>
      <c r="E2909" s="4">
        <v>29</v>
      </c>
      <c r="F2909" s="4">
        <v>4345.8599999999997</v>
      </c>
      <c r="G2909" s="4">
        <v>0.09</v>
      </c>
      <c r="H2909" s="4" t="s">
        <v>22</v>
      </c>
      <c r="I2909" s="6">
        <v>126.62</v>
      </c>
      <c r="J2909" s="4">
        <v>152.47999999999999</v>
      </c>
      <c r="K2909" s="4">
        <v>4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spans="1:21" ht="12" customHeight="1">
      <c r="A2910" s="4">
        <v>282</v>
      </c>
      <c r="B2910" s="4">
        <v>1953</v>
      </c>
      <c r="C2910" s="5">
        <f>DATE(2012,12,31)-763</f>
        <v>40511</v>
      </c>
      <c r="D2910" s="4" t="s">
        <v>63</v>
      </c>
      <c r="E2910" s="4">
        <v>13</v>
      </c>
      <c r="F2910" s="4">
        <v>137.63999999999999</v>
      </c>
      <c r="G2910" s="4">
        <v>0.06</v>
      </c>
      <c r="H2910" s="4" t="s">
        <v>22</v>
      </c>
      <c r="I2910" s="6">
        <v>19.592500000000001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spans="1:21" ht="12" customHeight="1">
      <c r="A2911" s="4">
        <v>323</v>
      </c>
      <c r="B2911" s="4">
        <v>2213</v>
      </c>
      <c r="C2911" s="5">
        <f>DATE(2012,12,31)-1082</f>
        <v>40192</v>
      </c>
      <c r="D2911" s="4" t="s">
        <v>45</v>
      </c>
      <c r="E2911" s="4">
        <v>6</v>
      </c>
      <c r="F2911" s="4">
        <v>40.31</v>
      </c>
      <c r="G2911" s="4">
        <v>0.08</v>
      </c>
      <c r="H2911" s="4" t="s">
        <v>22</v>
      </c>
      <c r="I2911" s="6">
        <v>-32.270000000000003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spans="1:21" ht="12" customHeight="1">
      <c r="A2912" s="4">
        <v>344</v>
      </c>
      <c r="B2912" s="4">
        <v>2368</v>
      </c>
      <c r="C2912" s="5">
        <f>DATE(2012,12,31)-865</f>
        <v>40409</v>
      </c>
      <c r="D2912" s="4" t="s">
        <v>78</v>
      </c>
      <c r="E2912" s="4">
        <v>36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spans="1:21" ht="12" customHeight="1">
      <c r="A2913" s="4">
        <v>365</v>
      </c>
      <c r="B2913" s="4">
        <v>2560</v>
      </c>
      <c r="C2913" s="5">
        <f t="shared" ref="C2913:C2914" si="1199">DATE(2012,12,31)-118</f>
        <v>41156</v>
      </c>
      <c r="D2913" s="4" t="s">
        <v>78</v>
      </c>
      <c r="E2913" s="4">
        <v>32</v>
      </c>
      <c r="F2913" s="4">
        <v>731.22</v>
      </c>
      <c r="G2913" s="4">
        <v>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spans="1:21" ht="12" customHeight="1">
      <c r="A2914" s="4">
        <v>366</v>
      </c>
      <c r="B2914" s="4">
        <v>2560</v>
      </c>
      <c r="C2914" s="5">
        <f t="shared" si="1199"/>
        <v>41156</v>
      </c>
      <c r="D2914" s="4" t="s">
        <v>78</v>
      </c>
      <c r="E2914" s="4">
        <v>23</v>
      </c>
      <c r="F2914" s="4">
        <v>114.14</v>
      </c>
      <c r="G2914" s="4">
        <v>7.0000000000000007E-2</v>
      </c>
      <c r="H2914" s="4" t="s">
        <v>22</v>
      </c>
      <c r="I2914" s="6">
        <v>-65.62</v>
      </c>
      <c r="J2914" s="4">
        <v>4.9800000000000004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spans="1:21" ht="12" customHeight="1">
      <c r="A2915" s="4">
        <v>402</v>
      </c>
      <c r="B2915" s="4">
        <v>2755</v>
      </c>
      <c r="C2915" s="5">
        <f t="shared" ref="C2915:C2916" si="1200">DATE(2012,12,31)-329</f>
        <v>40945</v>
      </c>
      <c r="D2915" s="4" t="s">
        <v>45</v>
      </c>
      <c r="E2915" s="4">
        <v>30</v>
      </c>
      <c r="F2915" s="4">
        <v>736.3</v>
      </c>
      <c r="G2915" s="4">
        <v>0.03</v>
      </c>
      <c r="H2915" s="4" t="s">
        <v>22</v>
      </c>
      <c r="I2915" s="6">
        <v>259.07150000000001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1">C2915+0</f>
        <v>40945</v>
      </c>
    </row>
    <row r="2916" spans="1:21" ht="12" customHeight="1">
      <c r="A2916" s="4">
        <v>403</v>
      </c>
      <c r="B2916" s="4">
        <v>2755</v>
      </c>
      <c r="C2916" s="5">
        <f t="shared" si="1200"/>
        <v>40945</v>
      </c>
      <c r="D2916" s="4" t="s">
        <v>45</v>
      </c>
      <c r="E2916" s="4">
        <v>50</v>
      </c>
      <c r="F2916" s="4">
        <v>346.06</v>
      </c>
      <c r="G2916" s="4">
        <v>0</v>
      </c>
      <c r="H2916" s="4" t="s">
        <v>22</v>
      </c>
      <c r="I2916" s="6">
        <v>-76.540000000000006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1"/>
        <v>40945</v>
      </c>
    </row>
    <row r="2917" spans="1:21" ht="12" customHeight="1">
      <c r="A2917" s="4">
        <v>481</v>
      </c>
      <c r="B2917" s="4">
        <v>3333</v>
      </c>
      <c r="C2917" s="5">
        <f t="shared" ref="C2917:C2918" si="1202">DATE(2012,12,31)-107</f>
        <v>41167</v>
      </c>
      <c r="D2917" s="4" t="s">
        <v>45</v>
      </c>
      <c r="E2917" s="4">
        <v>42</v>
      </c>
      <c r="F2917" s="4">
        <v>927.97</v>
      </c>
      <c r="G2917" s="4">
        <v>0.08</v>
      </c>
      <c r="H2917" s="4" t="s">
        <v>22</v>
      </c>
      <c r="I2917" s="6">
        <v>162.16999999999999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0.55000000000000004</v>
      </c>
      <c r="U2917" s="5">
        <f>C2917+2</f>
        <v>41169</v>
      </c>
    </row>
    <row r="2918" spans="1:21" ht="12" customHeight="1">
      <c r="A2918" s="4">
        <v>482</v>
      </c>
      <c r="B2918" s="4">
        <v>3333</v>
      </c>
      <c r="C2918" s="5">
        <f t="shared" si="1202"/>
        <v>41167</v>
      </c>
      <c r="D2918" s="4" t="s">
        <v>45</v>
      </c>
      <c r="E2918" s="4">
        <v>9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spans="1:21" ht="12" customHeight="1">
      <c r="A2919" s="4">
        <v>500</v>
      </c>
      <c r="B2919" s="4">
        <v>3460</v>
      </c>
      <c r="C2919" s="5">
        <f>DATE(2012,12,31)-456</f>
        <v>40818</v>
      </c>
      <c r="D2919" s="4" t="s">
        <v>30</v>
      </c>
      <c r="E2919" s="4">
        <v>27</v>
      </c>
      <c r="F2919" s="4">
        <v>153.22999999999999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4.6900000000000004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3">C2919+2</f>
        <v>40820</v>
      </c>
    </row>
    <row r="2920" spans="1:21" ht="12" customHeight="1">
      <c r="A2920" s="4">
        <v>530</v>
      </c>
      <c r="B2920" s="4">
        <v>3591</v>
      </c>
      <c r="C2920" s="5">
        <f t="shared" ref="C2920:C2921" si="1204">DATE(2012,12,31)-755</f>
        <v>40519</v>
      </c>
      <c r="D2920" s="4" t="s">
        <v>63</v>
      </c>
      <c r="E2920" s="4">
        <v>3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0.56999999999999995</v>
      </c>
      <c r="U2920" s="5">
        <f t="shared" si="1203"/>
        <v>40521</v>
      </c>
    </row>
    <row r="2921" spans="1:21" ht="12" customHeight="1">
      <c r="A2921" s="4">
        <v>531</v>
      </c>
      <c r="B2921" s="4">
        <v>3591</v>
      </c>
      <c r="C2921" s="5">
        <f t="shared" si="1204"/>
        <v>40519</v>
      </c>
      <c r="D2921" s="4" t="s">
        <v>63</v>
      </c>
      <c r="E2921" s="4">
        <v>12</v>
      </c>
      <c r="F2921" s="4">
        <v>1085.1600000000001</v>
      </c>
      <c r="G2921" s="4">
        <v>0.08</v>
      </c>
      <c r="H2921" s="4" t="s">
        <v>31</v>
      </c>
      <c r="I2921" s="6">
        <v>-311.54000000000002</v>
      </c>
      <c r="J2921" s="4">
        <v>89.99</v>
      </c>
      <c r="K2921" s="4">
        <v>42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5">C2921+1</f>
        <v>40520</v>
      </c>
    </row>
    <row r="2922" spans="1:21" ht="12" customHeight="1">
      <c r="A2922" s="4">
        <v>586</v>
      </c>
      <c r="B2922" s="4">
        <v>4006</v>
      </c>
      <c r="C2922" s="5">
        <f>DATE(2012,12,31)-728</f>
        <v>40546</v>
      </c>
      <c r="D2922" s="4" t="s">
        <v>63</v>
      </c>
      <c r="E2922" s="4">
        <v>38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5"/>
        <v>40547</v>
      </c>
    </row>
    <row r="2923" spans="1:21" ht="12" customHeight="1">
      <c r="A2923" s="4">
        <v>627</v>
      </c>
      <c r="B2923" s="4">
        <v>4387</v>
      </c>
      <c r="C2923" s="5">
        <f>DATE(2012,12,31)-436</f>
        <v>40838</v>
      </c>
      <c r="D2923" s="4" t="s">
        <v>78</v>
      </c>
      <c r="E2923" s="4">
        <v>4</v>
      </c>
      <c r="F2923" s="4">
        <v>640.21</v>
      </c>
      <c r="G2923" s="4">
        <v>7.0000000000000007E-2</v>
      </c>
      <c r="H2923" s="4" t="s">
        <v>31</v>
      </c>
      <c r="I2923" s="6">
        <v>-388.51670000000001</v>
      </c>
      <c r="J2923" s="4">
        <v>150.97999999999999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5"/>
        <v>40839</v>
      </c>
    </row>
    <row r="2924" spans="1:21" ht="12" customHeight="1">
      <c r="A2924" s="4">
        <v>639</v>
      </c>
      <c r="B2924" s="4">
        <v>4512</v>
      </c>
      <c r="C2924" s="5">
        <f>DATE(2012,12,31)-434</f>
        <v>40840</v>
      </c>
      <c r="D2924" s="4" t="s">
        <v>21</v>
      </c>
      <c r="E2924" s="4">
        <v>43</v>
      </c>
      <c r="F2924" s="4">
        <v>6077.11</v>
      </c>
      <c r="G2924" s="4">
        <v>0.06</v>
      </c>
      <c r="H2924" s="4" t="s">
        <v>31</v>
      </c>
      <c r="I2924" s="6">
        <v>-353.65987800000011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spans="1:21" ht="12" customHeight="1">
      <c r="A2925" s="4">
        <v>685</v>
      </c>
      <c r="B2925" s="4">
        <v>4773</v>
      </c>
      <c r="C2925" s="5">
        <f>DATE(2012,12,31)-375</f>
        <v>40899</v>
      </c>
      <c r="D2925" s="4" t="s">
        <v>78</v>
      </c>
      <c r="E2925" s="4">
        <v>48</v>
      </c>
      <c r="F2925" s="4">
        <v>6746.3119999999999</v>
      </c>
      <c r="G2925" s="4">
        <v>7.0000000000000007E-2</v>
      </c>
      <c r="H2925" s="4" t="s">
        <v>31</v>
      </c>
      <c r="I2925" s="6">
        <v>-433.29014300000011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spans="1:21" ht="12" customHeight="1">
      <c r="A2926" s="4">
        <v>705</v>
      </c>
      <c r="B2926" s="4">
        <v>4935</v>
      </c>
      <c r="C2926" s="5">
        <f>DATE(2012,12,31)-952</f>
        <v>40322</v>
      </c>
      <c r="D2926" s="4" t="s">
        <v>45</v>
      </c>
      <c r="E2926" s="4">
        <v>30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spans="1:21" ht="12" customHeight="1">
      <c r="A2927" s="4">
        <v>891</v>
      </c>
      <c r="B2927" s="4">
        <v>6403</v>
      </c>
      <c r="C2927" s="5">
        <f>DATE(2012,12,31)-689</f>
        <v>40585</v>
      </c>
      <c r="D2927" s="4" t="s">
        <v>21</v>
      </c>
      <c r="E2927" s="4">
        <v>41</v>
      </c>
      <c r="F2927" s="4">
        <v>17874.259999999998</v>
      </c>
      <c r="G2927" s="4">
        <v>0</v>
      </c>
      <c r="H2927" s="4" t="s">
        <v>22</v>
      </c>
      <c r="I2927" s="6">
        <v>6247.95</v>
      </c>
      <c r="J2927" s="4">
        <v>419.19</v>
      </c>
      <c r="K2927" s="4">
        <v>19.989999999999998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0.57999999999999996</v>
      </c>
      <c r="U2927" s="5">
        <f t="shared" ref="U2927:U2928" si="1206">C2927+2</f>
        <v>40587</v>
      </c>
    </row>
    <row r="2928" spans="1:21" ht="12" customHeight="1">
      <c r="A2928" s="4">
        <v>932</v>
      </c>
      <c r="B2928" s="4">
        <v>6754</v>
      </c>
      <c r="C2928" s="5">
        <f>DATE(2012,12,31)-508</f>
        <v>40766</v>
      </c>
      <c r="D2928" s="4" t="s">
        <v>30</v>
      </c>
      <c r="E2928" s="4">
        <v>13</v>
      </c>
      <c r="F2928" s="4">
        <v>2388.636</v>
      </c>
      <c r="G2928" s="4">
        <v>0.01</v>
      </c>
      <c r="H2928" s="4" t="s">
        <v>22</v>
      </c>
      <c r="I2928" s="6">
        <v>190.99799999999999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0.56000000000000005</v>
      </c>
      <c r="U2928" s="5">
        <f t="shared" si="1206"/>
        <v>40768</v>
      </c>
    </row>
    <row r="2929" spans="1:21" ht="12" customHeight="1">
      <c r="A2929" s="4">
        <v>1040</v>
      </c>
      <c r="B2929" s="4">
        <v>7619</v>
      </c>
      <c r="C2929" s="5">
        <f>DATE(2012,12,31)-815</f>
        <v>40459</v>
      </c>
      <c r="D2929" s="4" t="s">
        <v>45</v>
      </c>
      <c r="E2929" s="4">
        <v>8</v>
      </c>
      <c r="F2929" s="4">
        <v>141.77000000000001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spans="1:21" ht="12" customHeight="1">
      <c r="A2930" s="4">
        <v>1089</v>
      </c>
      <c r="B2930" s="4">
        <v>8006</v>
      </c>
      <c r="C2930" s="5">
        <f>DATE(2012,12,31)-577</f>
        <v>40697</v>
      </c>
      <c r="D2930" s="4" t="s">
        <v>63</v>
      </c>
      <c r="E2930" s="4">
        <v>27</v>
      </c>
      <c r="F2930" s="4">
        <v>197.15</v>
      </c>
      <c r="G2930" s="4">
        <v>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7">C2930+2</f>
        <v>40699</v>
      </c>
    </row>
    <row r="2931" spans="1:21" ht="12" customHeight="1">
      <c r="A2931" s="4">
        <v>1121</v>
      </c>
      <c r="B2931" s="4">
        <v>8224</v>
      </c>
      <c r="C2931" s="5">
        <f>DATE(2012,12,31)-328</f>
        <v>40946</v>
      </c>
      <c r="D2931" s="4" t="s">
        <v>45</v>
      </c>
      <c r="E2931" s="4">
        <v>41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7"/>
        <v>40948</v>
      </c>
    </row>
    <row r="2932" spans="1:21" ht="12" customHeight="1">
      <c r="A2932" s="4">
        <v>1143</v>
      </c>
      <c r="B2932" s="4">
        <v>8323</v>
      </c>
      <c r="C2932" s="5">
        <f>DATE(2012,12,31)-482</f>
        <v>40792</v>
      </c>
      <c r="D2932" s="4" t="s">
        <v>30</v>
      </c>
      <c r="E2932" s="4">
        <v>45</v>
      </c>
      <c r="F2932" s="4">
        <v>766.96349999999995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spans="1:21" ht="12" customHeight="1">
      <c r="A2933" s="4">
        <v>1163</v>
      </c>
      <c r="B2933" s="4">
        <v>8480</v>
      </c>
      <c r="C2933" s="5">
        <f t="shared" ref="C2933:C2934" si="1208">DATE(2012,12,31)-702</f>
        <v>40572</v>
      </c>
      <c r="D2933" s="4" t="s">
        <v>30</v>
      </c>
      <c r="E2933" s="4">
        <v>11</v>
      </c>
      <c r="F2933" s="4">
        <v>76.36</v>
      </c>
      <c r="G2933" s="4">
        <v>7.0000000000000007E-2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09">C2933+2</f>
        <v>40574</v>
      </c>
    </row>
    <row r="2934" spans="1:21" ht="12" customHeight="1">
      <c r="A2934" s="4">
        <v>1164</v>
      </c>
      <c r="B2934" s="4">
        <v>8480</v>
      </c>
      <c r="C2934" s="5">
        <f t="shared" si="1208"/>
        <v>40572</v>
      </c>
      <c r="D2934" s="4" t="s">
        <v>30</v>
      </c>
      <c r="E2934" s="4">
        <v>3</v>
      </c>
      <c r="F2934" s="4">
        <v>309.9015</v>
      </c>
      <c r="G2934" s="4">
        <v>0.09</v>
      </c>
      <c r="H2934" s="4" t="s">
        <v>22</v>
      </c>
      <c r="I2934" s="6">
        <v>-558.41499999999996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0.57999999999999996</v>
      </c>
      <c r="U2934" s="5">
        <f t="shared" si="1209"/>
        <v>40574</v>
      </c>
    </row>
    <row r="2935" spans="1:21" ht="12" customHeight="1">
      <c r="A2935" s="4">
        <v>1304</v>
      </c>
      <c r="B2935" s="4">
        <v>9568</v>
      </c>
      <c r="C2935" s="5">
        <f>DATE(2012,12,31)-1030</f>
        <v>40244</v>
      </c>
      <c r="D2935" s="4" t="s">
        <v>45</v>
      </c>
      <c r="E2935" s="4">
        <v>46</v>
      </c>
      <c r="F2935" s="4">
        <v>3725.53</v>
      </c>
      <c r="G2935" s="4">
        <v>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09"/>
        <v>40246</v>
      </c>
    </row>
    <row r="2936" spans="1:21" ht="12" customHeight="1">
      <c r="A2936" s="4">
        <v>1331</v>
      </c>
      <c r="B2936" s="4">
        <v>9701</v>
      </c>
      <c r="C2936" s="5">
        <f t="shared" ref="C2936:C2937" si="1210">DATE(2012,12,31)-1038</f>
        <v>40236</v>
      </c>
      <c r="D2936" s="4" t="s">
        <v>21</v>
      </c>
      <c r="E2936" s="4">
        <v>8</v>
      </c>
      <c r="F2936" s="4">
        <v>103.75</v>
      </c>
      <c r="G2936" s="4">
        <v>0.01</v>
      </c>
      <c r="H2936" s="4" t="s">
        <v>22</v>
      </c>
      <c r="I2936" s="6">
        <v>25.134499999999999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spans="1:21" ht="12" customHeight="1">
      <c r="A2937" s="4">
        <v>1332</v>
      </c>
      <c r="B2937" s="4">
        <v>9701</v>
      </c>
      <c r="C2937" s="5">
        <f t="shared" si="1210"/>
        <v>40236</v>
      </c>
      <c r="D2937" s="4" t="s">
        <v>21</v>
      </c>
      <c r="E2937" s="4">
        <v>9</v>
      </c>
      <c r="F2937" s="4">
        <v>855.86500000000001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0.56999999999999995</v>
      </c>
      <c r="U2937" s="5">
        <f>C2937+4</f>
        <v>40240</v>
      </c>
    </row>
    <row r="2938" spans="1:21" ht="12" customHeight="1">
      <c r="A2938" s="4">
        <v>1439</v>
      </c>
      <c r="B2938" s="4">
        <v>10373</v>
      </c>
      <c r="C2938" s="5">
        <f>DATE(2012,12,31)-920</f>
        <v>40354</v>
      </c>
      <c r="D2938" s="4" t="s">
        <v>78</v>
      </c>
      <c r="E2938" s="4">
        <v>28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1">C2938+2</f>
        <v>40356</v>
      </c>
    </row>
    <row r="2939" spans="1:21" ht="12" customHeight="1">
      <c r="A2939" s="4">
        <v>1452</v>
      </c>
      <c r="B2939" s="4">
        <v>10470</v>
      </c>
      <c r="C2939" s="5">
        <f t="shared" ref="C2939:C2941" si="1212">DATE(2012,12,31)-241</f>
        <v>41033</v>
      </c>
      <c r="D2939" s="4" t="s">
        <v>21</v>
      </c>
      <c r="E2939" s="4">
        <v>40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1"/>
        <v>41035</v>
      </c>
    </row>
    <row r="2940" spans="1:21" ht="12" customHeight="1">
      <c r="A2940" s="4">
        <v>1453</v>
      </c>
      <c r="B2940" s="4">
        <v>10470</v>
      </c>
      <c r="C2940" s="5">
        <f t="shared" si="1212"/>
        <v>41033</v>
      </c>
      <c r="D2940" s="4" t="s">
        <v>21</v>
      </c>
      <c r="E2940" s="4">
        <v>8</v>
      </c>
      <c r="F2940" s="4">
        <v>137.26</v>
      </c>
      <c r="G2940" s="4">
        <v>0.03</v>
      </c>
      <c r="H2940" s="4" t="s">
        <v>22</v>
      </c>
      <c r="I2940" s="6">
        <v>-54.613500000000002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spans="1:21" ht="12" customHeight="1">
      <c r="A2941" s="4">
        <v>1454</v>
      </c>
      <c r="B2941" s="4">
        <v>10470</v>
      </c>
      <c r="C2941" s="5">
        <f t="shared" si="1212"/>
        <v>41033</v>
      </c>
      <c r="D2941" s="4" t="s">
        <v>21</v>
      </c>
      <c r="E2941" s="4">
        <v>20</v>
      </c>
      <c r="F2941" s="4">
        <v>2913.1455000000001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3">C2941+2</f>
        <v>41035</v>
      </c>
    </row>
    <row r="2942" spans="1:21" ht="12" customHeight="1">
      <c r="A2942" s="4">
        <v>1542</v>
      </c>
      <c r="B2942" s="4">
        <v>11111</v>
      </c>
      <c r="C2942" s="5">
        <f t="shared" ref="C2942:C2943" si="1214">DATE(2012,12,31)-714</f>
        <v>40560</v>
      </c>
      <c r="D2942" s="4" t="s">
        <v>63</v>
      </c>
      <c r="E2942" s="4">
        <v>7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34.200000000000003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3"/>
        <v>40562</v>
      </c>
    </row>
    <row r="2943" spans="1:21" ht="12" customHeight="1">
      <c r="A2943" s="4">
        <v>1543</v>
      </c>
      <c r="B2943" s="4">
        <v>11111</v>
      </c>
      <c r="C2943" s="5">
        <f t="shared" si="1214"/>
        <v>40560</v>
      </c>
      <c r="D2943" s="4" t="s">
        <v>63</v>
      </c>
      <c r="E2943" s="4">
        <v>29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3"/>
        <v>40562</v>
      </c>
    </row>
    <row r="2944" spans="1:21" ht="12" customHeight="1">
      <c r="A2944" s="4">
        <v>1549</v>
      </c>
      <c r="B2944" s="4">
        <v>11173</v>
      </c>
      <c r="C2944" s="5">
        <f>DATE(2012,12,31)-276</f>
        <v>40998</v>
      </c>
      <c r="D2944" s="4" t="s">
        <v>78</v>
      </c>
      <c r="E2944" s="4">
        <v>37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3"/>
        <v>41000</v>
      </c>
    </row>
    <row r="2945" spans="1:21" ht="12" customHeight="1">
      <c r="A2945" s="4">
        <v>1559</v>
      </c>
      <c r="B2945" s="4">
        <v>11239</v>
      </c>
      <c r="C2945" s="5">
        <f>DATE(2012,12,31)-326</f>
        <v>40948</v>
      </c>
      <c r="D2945" s="4" t="s">
        <v>78</v>
      </c>
      <c r="E2945" s="4">
        <v>33</v>
      </c>
      <c r="F2945" s="4">
        <v>6170.02</v>
      </c>
      <c r="G2945" s="4">
        <v>0.03</v>
      </c>
      <c r="H2945" s="4" t="s">
        <v>31</v>
      </c>
      <c r="I2945" s="6">
        <v>-433.29014300000011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3"/>
        <v>40950</v>
      </c>
    </row>
    <row r="2946" spans="1:21" ht="12" customHeight="1">
      <c r="A2946" s="4">
        <v>1576</v>
      </c>
      <c r="B2946" s="4">
        <v>11396</v>
      </c>
      <c r="C2946" s="5">
        <f>DATE(2012,12,31)-163</f>
        <v>41111</v>
      </c>
      <c r="D2946" s="4" t="s">
        <v>78</v>
      </c>
      <c r="E2946" s="4">
        <v>42</v>
      </c>
      <c r="F2946" s="4">
        <v>12270.3</v>
      </c>
      <c r="G2946" s="4">
        <v>7.0000000000000007E-2</v>
      </c>
      <c r="H2946" s="4" t="s">
        <v>22</v>
      </c>
      <c r="I2946" s="6">
        <v>4842.3734999999997</v>
      </c>
      <c r="J2946" s="4">
        <v>304.99</v>
      </c>
      <c r="K2946" s="4">
        <v>19.989999999999998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5">C2946+1</f>
        <v>41112</v>
      </c>
    </row>
    <row r="2947" spans="1:21" ht="12" customHeight="1">
      <c r="A2947" s="4">
        <v>1633</v>
      </c>
      <c r="B2947" s="4">
        <v>11808</v>
      </c>
      <c r="C2947" s="5">
        <f>DATE(2012,12,31)-153</f>
        <v>41121</v>
      </c>
      <c r="D2947" s="4" t="s">
        <v>45</v>
      </c>
      <c r="E2947" s="4">
        <v>1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150.97999999999999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5"/>
        <v>41122</v>
      </c>
    </row>
    <row r="2948" spans="1:21" ht="12" customHeight="1">
      <c r="A2948" s="4">
        <v>1642</v>
      </c>
      <c r="B2948" s="4">
        <v>11874</v>
      </c>
      <c r="C2948" s="5">
        <f t="shared" ref="C2948:C2949" si="1216">DATE(2012,12,31)-113</f>
        <v>41161</v>
      </c>
      <c r="D2948" s="4" t="s">
        <v>63</v>
      </c>
      <c r="E2948" s="4">
        <v>1</v>
      </c>
      <c r="F2948" s="4">
        <v>40.29</v>
      </c>
      <c r="G2948" s="4">
        <v>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spans="1:21" ht="12" customHeight="1">
      <c r="A2949" s="4">
        <v>1643</v>
      </c>
      <c r="B2949" s="4">
        <v>11874</v>
      </c>
      <c r="C2949" s="5">
        <f t="shared" si="1216"/>
        <v>41161</v>
      </c>
      <c r="D2949" s="4" t="s">
        <v>63</v>
      </c>
      <c r="E2949" s="4">
        <v>20</v>
      </c>
      <c r="F2949" s="4">
        <v>775.77</v>
      </c>
      <c r="G2949" s="4">
        <v>7.0000000000000007E-2</v>
      </c>
      <c r="H2949" s="4" t="s">
        <v>22</v>
      </c>
      <c r="I2949" s="6">
        <v>179.37</v>
      </c>
      <c r="J2949" s="4">
        <v>39.979999999999997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spans="1:21" ht="12" customHeight="1">
      <c r="A2950" s="4">
        <v>1714</v>
      </c>
      <c r="B2950" s="4">
        <v>12322</v>
      </c>
      <c r="C2950" s="5">
        <f>DATE(2012,12,31)-600</f>
        <v>40674</v>
      </c>
      <c r="D2950" s="4" t="s">
        <v>78</v>
      </c>
      <c r="E2950" s="4">
        <v>36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7">C2950+2</f>
        <v>40676</v>
      </c>
    </row>
    <row r="2951" spans="1:21" ht="12" customHeight="1">
      <c r="A2951" s="4">
        <v>1820</v>
      </c>
      <c r="B2951" s="4">
        <v>13088</v>
      </c>
      <c r="C2951" s="5">
        <f>DATE(2012,12,31)-984</f>
        <v>40290</v>
      </c>
      <c r="D2951" s="4" t="s">
        <v>45</v>
      </c>
      <c r="E2951" s="4">
        <v>46</v>
      </c>
      <c r="F2951" s="4">
        <v>187.92</v>
      </c>
      <c r="G2951" s="4">
        <v>0.08</v>
      </c>
      <c r="H2951" s="4" t="s">
        <v>22</v>
      </c>
      <c r="I2951" s="6">
        <v>-2149.8000000000002</v>
      </c>
      <c r="J2951" s="4">
        <v>3.25</v>
      </c>
      <c r="K2951" s="4">
        <v>49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0.56000000000000005</v>
      </c>
      <c r="U2951" s="5">
        <f t="shared" si="1217"/>
        <v>40292</v>
      </c>
    </row>
    <row r="2952" spans="1:21" ht="12" customHeight="1">
      <c r="A2952" s="4">
        <v>1828</v>
      </c>
      <c r="B2952" s="4">
        <v>13121</v>
      </c>
      <c r="C2952" s="5">
        <f t="shared" ref="C2952:C2953" si="1218">DATE(2012,12,31)-1030</f>
        <v>40244</v>
      </c>
      <c r="D2952" s="4" t="s">
        <v>30</v>
      </c>
      <c r="E2952" s="4">
        <v>36</v>
      </c>
      <c r="F2952" s="4">
        <v>1211</v>
      </c>
      <c r="G2952" s="4">
        <v>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spans="1:21" ht="12" customHeight="1">
      <c r="A2953" s="4">
        <v>1829</v>
      </c>
      <c r="B2953" s="4">
        <v>13121</v>
      </c>
      <c r="C2953" s="5">
        <f t="shared" si="1218"/>
        <v>40244</v>
      </c>
      <c r="D2953" s="4" t="s">
        <v>30</v>
      </c>
      <c r="E2953" s="4">
        <v>28</v>
      </c>
      <c r="F2953" s="4">
        <v>4924.1350000000002</v>
      </c>
      <c r="G2953" s="4">
        <v>7.0000000000000007E-2</v>
      </c>
      <c r="H2953" s="4" t="s">
        <v>22</v>
      </c>
      <c r="I2953" s="6">
        <v>1049.5350000000001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0.57999999999999996</v>
      </c>
      <c r="U2953" s="5">
        <f>C2953+3</f>
        <v>40247</v>
      </c>
    </row>
    <row r="2954" spans="1:21" ht="12" customHeight="1">
      <c r="A2954" s="4">
        <v>1857</v>
      </c>
      <c r="B2954" s="4">
        <v>13348</v>
      </c>
      <c r="C2954" s="5">
        <f>DATE(2012,12,31)-785</f>
        <v>40489</v>
      </c>
      <c r="D2954" s="4" t="s">
        <v>63</v>
      </c>
      <c r="E2954" s="4">
        <v>35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19.989999999999998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spans="1:21" ht="12" customHeight="1">
      <c r="A2955" s="4">
        <v>1866</v>
      </c>
      <c r="B2955" s="4">
        <v>13413</v>
      </c>
      <c r="C2955" s="5">
        <f>DATE(2012,12,31)-1067</f>
        <v>40207</v>
      </c>
      <c r="D2955" s="4" t="s">
        <v>78</v>
      </c>
      <c r="E2955" s="4">
        <v>29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4.9800000000000004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19">C2955+2</f>
        <v>40209</v>
      </c>
    </row>
    <row r="2956" spans="1:21" ht="12" customHeight="1">
      <c r="A2956" s="4">
        <v>1869</v>
      </c>
      <c r="B2956" s="4">
        <v>13447</v>
      </c>
      <c r="C2956" s="5">
        <f>DATE(2012,12,31)-1088</f>
        <v>40186</v>
      </c>
      <c r="D2956" s="4" t="s">
        <v>30</v>
      </c>
      <c r="E2956" s="4">
        <v>24</v>
      </c>
      <c r="F2956" s="4">
        <v>436.48349999999999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4.8099999999999996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0.57999999999999996</v>
      </c>
      <c r="U2956" s="5">
        <f t="shared" si="1219"/>
        <v>40188</v>
      </c>
    </row>
    <row r="2957" spans="1:21" ht="12" customHeight="1">
      <c r="A2957" s="4">
        <v>1910</v>
      </c>
      <c r="B2957" s="4">
        <v>13638</v>
      </c>
      <c r="C2957" s="5">
        <f>DATE(2012,12,31)-458</f>
        <v>40816</v>
      </c>
      <c r="D2957" s="4" t="s">
        <v>30</v>
      </c>
      <c r="E2957" s="4">
        <v>49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19"/>
        <v>40818</v>
      </c>
    </row>
    <row r="2958" spans="1:21" ht="12" customHeight="1">
      <c r="A2958" s="4">
        <v>1999</v>
      </c>
      <c r="B2958" s="4">
        <v>14247</v>
      </c>
      <c r="C2958" s="5">
        <f>DATE(2012,12,31)-503</f>
        <v>40771</v>
      </c>
      <c r="D2958" s="4" t="s">
        <v>78</v>
      </c>
      <c r="E2958" s="4">
        <v>4</v>
      </c>
      <c r="F2958" s="4">
        <v>14.75</v>
      </c>
      <c r="G2958" s="4">
        <v>0.03</v>
      </c>
      <c r="H2958" s="4" t="s">
        <v>22</v>
      </c>
      <c r="I2958" s="6">
        <v>-2.4900000000000002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19"/>
        <v>40773</v>
      </c>
    </row>
    <row r="2959" spans="1:21" ht="12" customHeight="1">
      <c r="A2959" s="4">
        <v>2061</v>
      </c>
      <c r="B2959" s="4">
        <v>14755</v>
      </c>
      <c r="C2959" s="5">
        <f t="shared" ref="C2959:C2960" si="1220">DATE(2012,12,31)-1091</f>
        <v>40183</v>
      </c>
      <c r="D2959" s="4" t="s">
        <v>30</v>
      </c>
      <c r="E2959" s="4">
        <v>31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spans="1:21" ht="12" customHeight="1">
      <c r="A2960" s="4">
        <v>2062</v>
      </c>
      <c r="B2960" s="4">
        <v>14755</v>
      </c>
      <c r="C2960" s="5">
        <f t="shared" si="1220"/>
        <v>40183</v>
      </c>
      <c r="D2960" s="4" t="s">
        <v>30</v>
      </c>
      <c r="E2960" s="4">
        <v>44</v>
      </c>
      <c r="F2960" s="4">
        <v>2322.8119999999999</v>
      </c>
      <c r="G2960" s="4">
        <v>0.1</v>
      </c>
      <c r="H2960" s="4" t="s">
        <v>56</v>
      </c>
      <c r="I2960" s="6">
        <v>454.38299999999998</v>
      </c>
      <c r="J2960" s="4">
        <v>65.989999999999995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spans="1:21" ht="12" customHeight="1">
      <c r="A2961" s="4">
        <v>2078</v>
      </c>
      <c r="B2961" s="4">
        <v>14854</v>
      </c>
      <c r="C2961" s="5">
        <f>DATE(2012,12,31)-978</f>
        <v>40296</v>
      </c>
      <c r="D2961" s="4" t="s">
        <v>21</v>
      </c>
      <c r="E2961" s="4">
        <v>24</v>
      </c>
      <c r="F2961" s="4">
        <v>391.23</v>
      </c>
      <c r="G2961" s="4">
        <v>7.0000000000000007E-2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0.57999999999999996</v>
      </c>
      <c r="U2961" s="5">
        <f>C2961+4</f>
        <v>40300</v>
      </c>
    </row>
    <row r="2962" spans="1:21" ht="12" customHeight="1">
      <c r="A2962" s="4">
        <v>2109</v>
      </c>
      <c r="B2962" s="4">
        <v>15078</v>
      </c>
      <c r="C2962" s="5">
        <f>DATE(2012,12,31)-783</f>
        <v>40491</v>
      </c>
      <c r="D2962" s="4" t="s">
        <v>30</v>
      </c>
      <c r="E2962" s="4">
        <v>33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1">C2962+1</f>
        <v>40492</v>
      </c>
    </row>
    <row r="2963" spans="1:21" ht="12" customHeight="1">
      <c r="A2963" s="4">
        <v>2186</v>
      </c>
      <c r="B2963" s="4">
        <v>15744</v>
      </c>
      <c r="C2963" s="5">
        <f>DATE(2012,12,31)-1016</f>
        <v>40258</v>
      </c>
      <c r="D2963" s="4" t="s">
        <v>78</v>
      </c>
      <c r="E2963" s="4">
        <v>16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1"/>
        <v>40259</v>
      </c>
    </row>
    <row r="2964" spans="1:21" ht="12" customHeight="1">
      <c r="A2964" s="4">
        <v>2285</v>
      </c>
      <c r="B2964" s="4">
        <v>16454</v>
      </c>
      <c r="C2964" s="5">
        <f>DATE(2012,12,31)-234</f>
        <v>41040</v>
      </c>
      <c r="D2964" s="4" t="s">
        <v>63</v>
      </c>
      <c r="E2964" s="4">
        <v>12</v>
      </c>
      <c r="F2964" s="4">
        <v>94.39</v>
      </c>
      <c r="G2964" s="4">
        <v>0.04</v>
      </c>
      <c r="H2964" s="4" t="s">
        <v>22</v>
      </c>
      <c r="I2964" s="6">
        <v>-29.486000000000001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spans="1:21" ht="12" customHeight="1">
      <c r="A2965" s="4">
        <v>2344</v>
      </c>
      <c r="B2965" s="4">
        <v>16897</v>
      </c>
      <c r="C2965" s="5">
        <f t="shared" ref="C2965:C2966" si="1222">DATE(2012,12,31)-199</f>
        <v>41075</v>
      </c>
      <c r="D2965" s="4" t="s">
        <v>45</v>
      </c>
      <c r="E2965" s="4">
        <v>1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0.56999999999999995</v>
      </c>
      <c r="U2965" s="5">
        <f t="shared" ref="U2965:U2966" si="1223">C2965+2</f>
        <v>41077</v>
      </c>
    </row>
    <row r="2966" spans="1:21" ht="12" customHeight="1">
      <c r="A2966" s="4">
        <v>2345</v>
      </c>
      <c r="B2966" s="4">
        <v>16897</v>
      </c>
      <c r="C2966" s="5">
        <f t="shared" si="1222"/>
        <v>41075</v>
      </c>
      <c r="D2966" s="4" t="s">
        <v>45</v>
      </c>
      <c r="E2966" s="4">
        <v>48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3"/>
        <v>41077</v>
      </c>
    </row>
    <row r="2967" spans="1:21" ht="12" customHeight="1">
      <c r="A2967" s="4">
        <v>2364</v>
      </c>
      <c r="B2967" s="4">
        <v>17091</v>
      </c>
      <c r="C2967" s="5">
        <f>DATE(2012,12,31)-163</f>
        <v>41111</v>
      </c>
      <c r="D2967" s="4" t="s">
        <v>63</v>
      </c>
      <c r="E2967" s="4">
        <v>45</v>
      </c>
      <c r="F2967" s="4">
        <v>2604.3150000000001</v>
      </c>
      <c r="G2967" s="4">
        <v>0</v>
      </c>
      <c r="H2967" s="4" t="s">
        <v>22</v>
      </c>
      <c r="I2967" s="6">
        <v>750.87</v>
      </c>
      <c r="J2967" s="4">
        <v>65.989999999999995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0.56000000000000005</v>
      </c>
      <c r="U2967" s="5">
        <f>C2967+1</f>
        <v>41112</v>
      </c>
    </row>
    <row r="2968" spans="1:21" ht="12" customHeight="1">
      <c r="A2968" s="4">
        <v>2376</v>
      </c>
      <c r="B2968" s="4">
        <v>17249</v>
      </c>
      <c r="C2968" s="5">
        <f>DATE(2012,12,31)-828</f>
        <v>40446</v>
      </c>
      <c r="D2968" s="4" t="s">
        <v>21</v>
      </c>
      <c r="E2968" s="4">
        <v>37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4">C2968+2</f>
        <v>40448</v>
      </c>
    </row>
    <row r="2969" spans="1:21" ht="12" customHeight="1">
      <c r="A2969" s="4">
        <v>2448</v>
      </c>
      <c r="B2969" s="4">
        <v>17797</v>
      </c>
      <c r="C2969" s="5">
        <f t="shared" ref="C2969:C2970" si="1225">DATE(2012,12,31)-174</f>
        <v>41100</v>
      </c>
      <c r="D2969" s="4" t="s">
        <v>21</v>
      </c>
      <c r="E2969" s="4">
        <v>10</v>
      </c>
      <c r="F2969" s="4">
        <v>1077.28</v>
      </c>
      <c r="G2969" s="4">
        <v>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4"/>
        <v>41102</v>
      </c>
    </row>
    <row r="2970" spans="1:21" ht="12" customHeight="1">
      <c r="A2970" s="4">
        <v>2449</v>
      </c>
      <c r="B2970" s="4">
        <v>17797</v>
      </c>
      <c r="C2970" s="5">
        <f t="shared" si="1225"/>
        <v>41100</v>
      </c>
      <c r="D2970" s="4" t="s">
        <v>21</v>
      </c>
      <c r="E2970" s="4">
        <v>16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spans="1:21" ht="12" customHeight="1">
      <c r="A2971" s="4">
        <v>2508</v>
      </c>
      <c r="B2971" s="4">
        <v>18213</v>
      </c>
      <c r="C2971" s="5">
        <f>DATE(2012,12,31)-843</f>
        <v>40431</v>
      </c>
      <c r="D2971" s="4" t="s">
        <v>63</v>
      </c>
      <c r="E2971" s="4">
        <v>29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19.989999999999998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6">C2971+2</f>
        <v>40433</v>
      </c>
    </row>
    <row r="2972" spans="1:21" ht="12" customHeight="1">
      <c r="A2972" s="4">
        <v>2510</v>
      </c>
      <c r="B2972" s="4">
        <v>18241</v>
      </c>
      <c r="C2972" s="5">
        <f t="shared" ref="C2972:C2973" si="1227">DATE(2012,12,31)-888</f>
        <v>40386</v>
      </c>
      <c r="D2972" s="4" t="s">
        <v>21</v>
      </c>
      <c r="E2972" s="4">
        <v>3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6"/>
        <v>40388</v>
      </c>
    </row>
    <row r="2973" spans="1:21" ht="12" customHeight="1">
      <c r="A2973" s="4">
        <v>2511</v>
      </c>
      <c r="B2973" s="4">
        <v>18241</v>
      </c>
      <c r="C2973" s="5">
        <f t="shared" si="1227"/>
        <v>40386</v>
      </c>
      <c r="D2973" s="4" t="s">
        <v>21</v>
      </c>
      <c r="E2973" s="4">
        <v>25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6"/>
        <v>40388</v>
      </c>
    </row>
    <row r="2974" spans="1:21" ht="12" customHeight="1">
      <c r="A2974" s="4">
        <v>2512</v>
      </c>
      <c r="B2974" s="4">
        <v>18244</v>
      </c>
      <c r="C2974" s="5">
        <f>DATE(2012,12,31)-689</f>
        <v>40585</v>
      </c>
      <c r="D2974" s="4" t="s">
        <v>78</v>
      </c>
      <c r="E2974" s="4">
        <v>1</v>
      </c>
      <c r="F2974" s="4">
        <v>172.34</v>
      </c>
      <c r="G2974" s="4">
        <v>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0.56999999999999995</v>
      </c>
      <c r="U2974" s="5">
        <f t="shared" si="1226"/>
        <v>40587</v>
      </c>
    </row>
    <row r="2975" spans="1:21" ht="12" customHeight="1">
      <c r="A2975" s="4">
        <v>2548</v>
      </c>
      <c r="B2975" s="4">
        <v>18465</v>
      </c>
      <c r="C2975" s="5">
        <f>DATE(2012,12,31)-991</f>
        <v>40283</v>
      </c>
      <c r="D2975" s="4" t="s">
        <v>30</v>
      </c>
      <c r="E2975" s="4">
        <v>12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64.650000000000006</v>
      </c>
      <c r="K2975" s="4">
        <v>35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6"/>
        <v>40285</v>
      </c>
    </row>
    <row r="2976" spans="1:21" ht="12" customHeight="1">
      <c r="A2976" s="4">
        <v>2561</v>
      </c>
      <c r="B2976" s="4">
        <v>18528</v>
      </c>
      <c r="C2976" s="5">
        <f t="shared" ref="C2976:C2977" si="1228">DATE(2012,12,31)-611</f>
        <v>40663</v>
      </c>
      <c r="D2976" s="4" t="s">
        <v>78</v>
      </c>
      <c r="E2976" s="4">
        <v>33</v>
      </c>
      <c r="F2976" s="4">
        <v>340.97</v>
      </c>
      <c r="G2976" s="4">
        <v>7.0000000000000007E-2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0.57999999999999996</v>
      </c>
      <c r="U2976" s="5">
        <f>C2976+1</f>
        <v>40664</v>
      </c>
    </row>
    <row r="2977" spans="1:21" ht="12" customHeight="1">
      <c r="A2977" s="4">
        <v>2562</v>
      </c>
      <c r="B2977" s="4">
        <v>18528</v>
      </c>
      <c r="C2977" s="5">
        <f t="shared" si="1228"/>
        <v>40663</v>
      </c>
      <c r="D2977" s="4" t="s">
        <v>78</v>
      </c>
      <c r="E2977" s="4">
        <v>22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29">C2977+2</f>
        <v>40665</v>
      </c>
    </row>
    <row r="2978" spans="1:21" ht="12" customHeight="1">
      <c r="A2978" s="4">
        <v>2616</v>
      </c>
      <c r="B2978" s="4">
        <v>18917</v>
      </c>
      <c r="C2978" s="5">
        <f>DATE(2012,12,31)-242</f>
        <v>41032</v>
      </c>
      <c r="D2978" s="4" t="s">
        <v>78</v>
      </c>
      <c r="E2978" s="4">
        <v>14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29"/>
        <v>41034</v>
      </c>
    </row>
    <row r="2979" spans="1:21" ht="12" customHeight="1">
      <c r="A2979" s="4">
        <v>2714</v>
      </c>
      <c r="B2979" s="4">
        <v>19616</v>
      </c>
      <c r="C2979" s="5">
        <f t="shared" ref="C2979:C2980" si="1230">DATE(2012,12,31)-375</f>
        <v>40899</v>
      </c>
      <c r="D2979" s="4" t="s">
        <v>30</v>
      </c>
      <c r="E2979" s="4">
        <v>3</v>
      </c>
      <c r="F2979" s="4">
        <v>92.31</v>
      </c>
      <c r="G2979" s="4">
        <v>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0.55000000000000004</v>
      </c>
      <c r="U2979" s="5">
        <f t="shared" ref="U2979:U2980" si="1231">C2979+1</f>
        <v>40900</v>
      </c>
    </row>
    <row r="2980" spans="1:21" ht="12" customHeight="1">
      <c r="A2980" s="4">
        <v>2715</v>
      </c>
      <c r="B2980" s="4">
        <v>19616</v>
      </c>
      <c r="C2980" s="5">
        <f t="shared" si="1230"/>
        <v>40899</v>
      </c>
      <c r="D2980" s="4" t="s">
        <v>30</v>
      </c>
      <c r="E2980" s="4">
        <v>42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1"/>
        <v>40900</v>
      </c>
    </row>
    <row r="2981" spans="1:21" ht="12" customHeight="1">
      <c r="A2981" s="4">
        <v>2834</v>
      </c>
      <c r="B2981" s="4">
        <v>20451</v>
      </c>
      <c r="C2981" s="5">
        <f t="shared" ref="C2981:C2983" si="1232">DATE(2012,12,31)-220</f>
        <v>41054</v>
      </c>
      <c r="D2981" s="4" t="s">
        <v>78</v>
      </c>
      <c r="E2981" s="4">
        <v>6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8.9499999999999993</v>
      </c>
      <c r="K2981" s="4">
        <v>2.0099999999999998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3">C2981+2</f>
        <v>41056</v>
      </c>
    </row>
    <row r="2982" spans="1:21" ht="12" customHeight="1">
      <c r="A2982" s="4">
        <v>2835</v>
      </c>
      <c r="B2982" s="4">
        <v>20451</v>
      </c>
      <c r="C2982" s="5">
        <f t="shared" si="1232"/>
        <v>41054</v>
      </c>
      <c r="D2982" s="4" t="s">
        <v>78</v>
      </c>
      <c r="E2982" s="4">
        <v>33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3"/>
        <v>41056</v>
      </c>
    </row>
    <row r="2983" spans="1:21" ht="12" customHeight="1">
      <c r="A2983" s="4">
        <v>2836</v>
      </c>
      <c r="B2983" s="4">
        <v>20451</v>
      </c>
      <c r="C2983" s="5">
        <f t="shared" si="1232"/>
        <v>41054</v>
      </c>
      <c r="D2983" s="4" t="s">
        <v>78</v>
      </c>
      <c r="E2983" s="4">
        <v>17</v>
      </c>
      <c r="F2983" s="4">
        <v>9150.09</v>
      </c>
      <c r="G2983" s="4">
        <v>0.1</v>
      </c>
      <c r="H2983" s="4" t="s">
        <v>31</v>
      </c>
      <c r="I2983" s="6">
        <v>-1331.5533660000001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3"/>
        <v>41056</v>
      </c>
    </row>
    <row r="2984" spans="1:21" ht="12" customHeight="1">
      <c r="A2984" s="4">
        <v>2845</v>
      </c>
      <c r="B2984" s="4">
        <v>20486</v>
      </c>
      <c r="C2984" s="5">
        <f t="shared" ref="C2984:C2985" si="1234">DATE(2012,12,31)-667</f>
        <v>40607</v>
      </c>
      <c r="D2984" s="4" t="s">
        <v>30</v>
      </c>
      <c r="E2984" s="4">
        <v>34</v>
      </c>
      <c r="F2984" s="4">
        <v>306.3</v>
      </c>
      <c r="G2984" s="4">
        <v>7.0000000000000007E-2</v>
      </c>
      <c r="H2984" s="4" t="s">
        <v>22</v>
      </c>
      <c r="I2984" s="6">
        <v>18.73</v>
      </c>
      <c r="J2984" s="4">
        <v>9.27</v>
      </c>
      <c r="K2984" s="4">
        <v>4.3899999999999997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5">C2984+1</f>
        <v>40608</v>
      </c>
    </row>
    <row r="2985" spans="1:21" ht="12" customHeight="1">
      <c r="A2985" s="4">
        <v>2846</v>
      </c>
      <c r="B2985" s="4">
        <v>20486</v>
      </c>
      <c r="C2985" s="5">
        <f t="shared" si="1234"/>
        <v>40607</v>
      </c>
      <c r="D2985" s="4" t="s">
        <v>30</v>
      </c>
      <c r="E2985" s="4">
        <v>42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5"/>
        <v>40608</v>
      </c>
    </row>
    <row r="2986" spans="1:21" ht="12" customHeight="1">
      <c r="A2986" s="4">
        <v>2895</v>
      </c>
      <c r="B2986" s="4">
        <v>20899</v>
      </c>
      <c r="C2986" s="5">
        <f>DATE(2012,12,31)-994</f>
        <v>40280</v>
      </c>
      <c r="D2986" s="4" t="s">
        <v>21</v>
      </c>
      <c r="E2986" s="4">
        <v>9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spans="1:21" ht="12" customHeight="1">
      <c r="A2987" s="4">
        <v>2918</v>
      </c>
      <c r="B2987" s="4">
        <v>21089</v>
      </c>
      <c r="C2987" s="5">
        <f>DATE(2012,12,31)-522</f>
        <v>40752</v>
      </c>
      <c r="D2987" s="4" t="s">
        <v>63</v>
      </c>
      <c r="E2987" s="4">
        <v>4</v>
      </c>
      <c r="F2987" s="4">
        <v>559.75</v>
      </c>
      <c r="G2987" s="4">
        <v>7.0000000000000007E-2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spans="1:21" ht="12" customHeight="1">
      <c r="A2988" s="4">
        <v>3001</v>
      </c>
      <c r="B2988" s="4">
        <v>21634</v>
      </c>
      <c r="C2988" s="5">
        <f t="shared" ref="C2988:C2989" si="1236">DATE(2012,12,31)-64</f>
        <v>41210</v>
      </c>
      <c r="D2988" s="4" t="s">
        <v>45</v>
      </c>
      <c r="E2988" s="4">
        <v>8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0.57999999999999996</v>
      </c>
      <c r="U2988" s="5">
        <f>C2988+1</f>
        <v>41211</v>
      </c>
    </row>
    <row r="2989" spans="1:21" ht="12" customHeight="1">
      <c r="A2989" s="4">
        <v>3002</v>
      </c>
      <c r="B2989" s="4">
        <v>21634</v>
      </c>
      <c r="C2989" s="5">
        <f t="shared" si="1236"/>
        <v>41210</v>
      </c>
      <c r="D2989" s="4" t="s">
        <v>45</v>
      </c>
      <c r="E2989" s="4">
        <v>1</v>
      </c>
      <c r="F2989" s="4">
        <v>1946.55</v>
      </c>
      <c r="G2989" s="4">
        <v>7.0000000000000007E-2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spans="1:21" ht="12" customHeight="1">
      <c r="A2990" s="4">
        <v>3012</v>
      </c>
      <c r="B2990" s="4">
        <v>21665</v>
      </c>
      <c r="C2990" s="5">
        <f>DATE(2012,12,31)-77</f>
        <v>41197</v>
      </c>
      <c r="D2990" s="4" t="s">
        <v>30</v>
      </c>
      <c r="E2990" s="4">
        <v>5</v>
      </c>
      <c r="F2990" s="4">
        <v>474.79300000000001</v>
      </c>
      <c r="G2990" s="4">
        <v>0.09</v>
      </c>
      <c r="H2990" s="4" t="s">
        <v>56</v>
      </c>
      <c r="I2990" s="6">
        <v>-407.26400000000001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0.57999999999999996</v>
      </c>
      <c r="U2990" s="5">
        <f>C2990+1</f>
        <v>41198</v>
      </c>
    </row>
    <row r="2991" spans="1:21" ht="12" customHeight="1">
      <c r="A2991" s="4">
        <v>3020</v>
      </c>
      <c r="B2991" s="4">
        <v>21729</v>
      </c>
      <c r="C2991" s="5">
        <f t="shared" ref="C2991:C2992" si="1237">DATE(2012,12,31)-25</f>
        <v>41249</v>
      </c>
      <c r="D2991" s="4" t="s">
        <v>21</v>
      </c>
      <c r="E2991" s="4">
        <v>28</v>
      </c>
      <c r="F2991" s="4">
        <v>120.98</v>
      </c>
      <c r="G2991" s="4">
        <v>0</v>
      </c>
      <c r="H2991" s="4" t="s">
        <v>22</v>
      </c>
      <c r="I2991" s="6">
        <v>-92.850999999999999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spans="1:21" ht="12" customHeight="1">
      <c r="A2992" s="4">
        <v>3021</v>
      </c>
      <c r="B2992" s="4">
        <v>21729</v>
      </c>
      <c r="C2992" s="5">
        <f t="shared" si="1237"/>
        <v>41249</v>
      </c>
      <c r="D2992" s="4" t="s">
        <v>21</v>
      </c>
      <c r="E2992" s="4">
        <v>14</v>
      </c>
      <c r="F2992" s="4">
        <v>1082.6600000000001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spans="1:21" ht="12" customHeight="1">
      <c r="A2993" s="4">
        <v>3032</v>
      </c>
      <c r="B2993" s="4">
        <v>21796</v>
      </c>
      <c r="C2993" s="5">
        <f t="shared" ref="C2993:C2996" si="1238">DATE(2012,12,31)-239</f>
        <v>41035</v>
      </c>
      <c r="D2993" s="4" t="s">
        <v>21</v>
      </c>
      <c r="E2993" s="4">
        <v>46</v>
      </c>
      <c r="F2993" s="4">
        <v>4744.6400000000003</v>
      </c>
      <c r="G2993" s="4">
        <v>0.04</v>
      </c>
      <c r="H2993" s="4" t="s">
        <v>22</v>
      </c>
      <c r="I2993" s="6">
        <v>1033.3800000000001</v>
      </c>
      <c r="J2993" s="4">
        <v>99.99</v>
      </c>
      <c r="K2993" s="4">
        <v>19.989999999999998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spans="1:21" ht="12" customHeight="1">
      <c r="A2994" s="4">
        <v>3033</v>
      </c>
      <c r="B2994" s="4">
        <v>21796</v>
      </c>
      <c r="C2994" s="5">
        <f t="shared" si="1238"/>
        <v>41035</v>
      </c>
      <c r="D2994" s="4" t="s">
        <v>21</v>
      </c>
      <c r="E2994" s="4">
        <v>2</v>
      </c>
      <c r="F2994" s="4">
        <v>40.825499999999998</v>
      </c>
      <c r="G2994" s="4">
        <v>0.01</v>
      </c>
      <c r="H2994" s="4" t="s">
        <v>22</v>
      </c>
      <c r="I2994" s="6">
        <v>-99.978999999999999</v>
      </c>
      <c r="J2994" s="4">
        <v>20.99</v>
      </c>
      <c r="K2994" s="4">
        <v>4.8099999999999996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0.57999999999999996</v>
      </c>
      <c r="U2994" s="5">
        <f>C2994+0</f>
        <v>41035</v>
      </c>
    </row>
    <row r="2995" spans="1:21" ht="12" customHeight="1">
      <c r="A2995" s="4">
        <v>3034</v>
      </c>
      <c r="B2995" s="4">
        <v>21796</v>
      </c>
      <c r="C2995" s="5">
        <f t="shared" si="1238"/>
        <v>41035</v>
      </c>
      <c r="D2995" s="4" t="s">
        <v>21</v>
      </c>
      <c r="E2995" s="4">
        <v>41</v>
      </c>
      <c r="F2995" s="4">
        <v>607.13</v>
      </c>
      <c r="G2995" s="4">
        <v>0.1</v>
      </c>
      <c r="H2995" s="4" t="s">
        <v>22</v>
      </c>
      <c r="I2995" s="6">
        <v>274.66000000000003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spans="1:21" ht="12" customHeight="1">
      <c r="A2996" s="4">
        <v>3035</v>
      </c>
      <c r="B2996" s="4">
        <v>21796</v>
      </c>
      <c r="C2996" s="5">
        <f t="shared" si="1238"/>
        <v>41035</v>
      </c>
      <c r="D2996" s="4" t="s">
        <v>21</v>
      </c>
      <c r="E2996" s="4">
        <v>31</v>
      </c>
      <c r="F2996" s="4">
        <v>34.22</v>
      </c>
      <c r="G2996" s="4">
        <v>7.0000000000000007E-2</v>
      </c>
      <c r="H2996" s="4" t="s">
        <v>22</v>
      </c>
      <c r="I2996" s="6">
        <v>-3.19</v>
      </c>
      <c r="J2996" s="4">
        <v>1.1399999999999999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spans="1:21" ht="12" customHeight="1">
      <c r="A2997" s="4">
        <v>3130</v>
      </c>
      <c r="B2997" s="4">
        <v>22468</v>
      </c>
      <c r="C2997" s="5">
        <f t="shared" ref="C2997:C2999" si="1239">DATE(2012,12,31)-935</f>
        <v>40339</v>
      </c>
      <c r="D2997" s="4" t="s">
        <v>45</v>
      </c>
      <c r="E2997" s="4">
        <v>14</v>
      </c>
      <c r="F2997" s="4">
        <v>323.11</v>
      </c>
      <c r="G2997" s="4">
        <v>0</v>
      </c>
      <c r="H2997" s="4" t="s">
        <v>22</v>
      </c>
      <c r="I2997" s="6">
        <v>41.522500000000001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spans="1:21" ht="12" customHeight="1">
      <c r="A2998" s="4">
        <v>3131</v>
      </c>
      <c r="B2998" s="4">
        <v>22468</v>
      </c>
      <c r="C2998" s="5">
        <f t="shared" si="1239"/>
        <v>40339</v>
      </c>
      <c r="D2998" s="4" t="s">
        <v>45</v>
      </c>
      <c r="E2998" s="4">
        <v>11</v>
      </c>
      <c r="F2998" s="4">
        <v>65.099999999999994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spans="1:21" ht="12" customHeight="1">
      <c r="A2999" s="4">
        <v>3132</v>
      </c>
      <c r="B2999" s="4">
        <v>22468</v>
      </c>
      <c r="C2999" s="5">
        <f t="shared" si="1239"/>
        <v>40339</v>
      </c>
      <c r="D2999" s="4" t="s">
        <v>45</v>
      </c>
      <c r="E2999" s="4">
        <v>19</v>
      </c>
      <c r="F2999" s="4">
        <v>163.75</v>
      </c>
      <c r="G2999" s="4">
        <v>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0">C2999+2</f>
        <v>40341</v>
      </c>
    </row>
    <row r="3000" spans="1:21" ht="12" customHeight="1">
      <c r="A3000" s="4">
        <v>3149</v>
      </c>
      <c r="B3000" s="4">
        <v>22626</v>
      </c>
      <c r="C3000" s="5">
        <f t="shared" ref="C3000:C3001" si="1241">DATE(2012,12,31)-916</f>
        <v>40358</v>
      </c>
      <c r="D3000" s="4" t="s">
        <v>78</v>
      </c>
      <c r="E3000" s="4">
        <v>17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0"/>
        <v>40360</v>
      </c>
    </row>
    <row r="3001" spans="1:21" ht="12" customHeight="1">
      <c r="A3001" s="4">
        <v>3150</v>
      </c>
      <c r="B3001" s="4">
        <v>22626</v>
      </c>
      <c r="C3001" s="5">
        <f t="shared" si="1241"/>
        <v>40358</v>
      </c>
      <c r="D3001" s="4" t="s">
        <v>78</v>
      </c>
      <c r="E3001" s="4">
        <v>35</v>
      </c>
      <c r="F3001" s="4">
        <v>6170.9120000000003</v>
      </c>
      <c r="G3001" s="4">
        <v>0.04</v>
      </c>
      <c r="H3001" s="4" t="s">
        <v>31</v>
      </c>
      <c r="I3001" s="6">
        <v>-528.65312500000005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0"/>
        <v>40360</v>
      </c>
    </row>
    <row r="3002" spans="1:21" ht="12" customHeight="1">
      <c r="A3002" s="4">
        <v>3271</v>
      </c>
      <c r="B3002" s="4">
        <v>23394</v>
      </c>
      <c r="C3002" s="5">
        <f>DATE(2012,12,31)-977</f>
        <v>40297</v>
      </c>
      <c r="D3002" s="4" t="s">
        <v>30</v>
      </c>
      <c r="E3002" s="4">
        <v>45</v>
      </c>
      <c r="F3002" s="4">
        <v>101.57</v>
      </c>
      <c r="G3002" s="4">
        <v>0.01</v>
      </c>
      <c r="H3002" s="4" t="s">
        <v>22</v>
      </c>
      <c r="I3002" s="6">
        <v>-5.9915000000000003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spans="1:21" ht="12" customHeight="1">
      <c r="A3003" s="4">
        <v>3421</v>
      </c>
      <c r="B3003" s="4">
        <v>24390</v>
      </c>
      <c r="C3003" s="5">
        <f>DATE(2012,12,31)-208</f>
        <v>41066</v>
      </c>
      <c r="D3003" s="4" t="s">
        <v>21</v>
      </c>
      <c r="E3003" s="4">
        <v>2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2">C3003+2</f>
        <v>41068</v>
      </c>
    </row>
    <row r="3004" spans="1:21" ht="12" customHeight="1">
      <c r="A3004" s="4">
        <v>3457</v>
      </c>
      <c r="B3004" s="4">
        <v>24643</v>
      </c>
      <c r="C3004" s="5">
        <f>DATE(2012,12,31)-246</f>
        <v>41028</v>
      </c>
      <c r="D3004" s="4" t="s">
        <v>63</v>
      </c>
      <c r="E3004" s="4">
        <v>30</v>
      </c>
      <c r="F3004" s="4">
        <v>2368.1679999999997</v>
      </c>
      <c r="G3004" s="4">
        <v>0</v>
      </c>
      <c r="H3004" s="4" t="s">
        <v>22</v>
      </c>
      <c r="I3004" s="6">
        <v>1181.2950000000001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2"/>
        <v>41030</v>
      </c>
    </row>
    <row r="3005" spans="1:21" ht="12" customHeight="1">
      <c r="A3005" s="4">
        <v>3468</v>
      </c>
      <c r="B3005" s="4">
        <v>24679</v>
      </c>
      <c r="C3005" s="5">
        <f>DATE(2012,12,31)-604</f>
        <v>40670</v>
      </c>
      <c r="D3005" s="4" t="s">
        <v>45</v>
      </c>
      <c r="E3005" s="4">
        <v>7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4.7699999999999996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spans="1:21" ht="12" customHeight="1">
      <c r="A3006" s="4">
        <v>3520</v>
      </c>
      <c r="B3006" s="4">
        <v>25062</v>
      </c>
      <c r="C3006" s="5">
        <f t="shared" ref="C3006:C3007" si="1243">DATE(2012,12,31)-793</f>
        <v>40481</v>
      </c>
      <c r="D3006" s="4" t="s">
        <v>78</v>
      </c>
      <c r="E3006" s="4">
        <v>5</v>
      </c>
      <c r="F3006" s="4">
        <v>78.790000000000006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4">C3006+2</f>
        <v>40483</v>
      </c>
    </row>
    <row r="3007" spans="1:21" ht="12" customHeight="1">
      <c r="A3007" s="4">
        <v>3521</v>
      </c>
      <c r="B3007" s="4">
        <v>25062</v>
      </c>
      <c r="C3007" s="5">
        <f t="shared" si="1243"/>
        <v>40481</v>
      </c>
      <c r="D3007" s="4" t="s">
        <v>78</v>
      </c>
      <c r="E3007" s="4">
        <v>9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19.989999999999998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4"/>
        <v>40483</v>
      </c>
    </row>
    <row r="3008" spans="1:21" ht="12" customHeight="1">
      <c r="A3008" s="4">
        <v>3532</v>
      </c>
      <c r="B3008" s="4">
        <v>25152</v>
      </c>
      <c r="C3008" s="5">
        <f>DATE(2012,12,31)-77</f>
        <v>41197</v>
      </c>
      <c r="D3008" s="4" t="s">
        <v>78</v>
      </c>
      <c r="E3008" s="4">
        <v>29</v>
      </c>
      <c r="F3008" s="4">
        <v>195.21</v>
      </c>
      <c r="G3008" s="4">
        <v>7.0000000000000007E-2</v>
      </c>
      <c r="H3008" s="4" t="s">
        <v>22</v>
      </c>
      <c r="I3008" s="6">
        <v>16.399999999999999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4"/>
        <v>41199</v>
      </c>
    </row>
    <row r="3009" spans="1:21" ht="12" customHeight="1">
      <c r="A3009" s="4">
        <v>3576</v>
      </c>
      <c r="B3009" s="4">
        <v>25478</v>
      </c>
      <c r="C3009" s="5">
        <f t="shared" ref="C3009:C3010" si="1245">DATE(2012,12,31)-251</f>
        <v>41023</v>
      </c>
      <c r="D3009" s="4" t="s">
        <v>78</v>
      </c>
      <c r="E3009" s="4">
        <v>47</v>
      </c>
      <c r="F3009" s="4">
        <v>4725.0905000000002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0.56999999999999995</v>
      </c>
      <c r="U3009" s="5">
        <f>C3009+0</f>
        <v>41023</v>
      </c>
    </row>
    <row r="3010" spans="1:21" ht="12" customHeight="1">
      <c r="A3010" s="4">
        <v>3577</v>
      </c>
      <c r="B3010" s="4">
        <v>25478</v>
      </c>
      <c r="C3010" s="5">
        <f t="shared" si="1245"/>
        <v>41023</v>
      </c>
      <c r="D3010" s="4" t="s">
        <v>78</v>
      </c>
      <c r="E3010" s="4">
        <v>50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6">C3010+2</f>
        <v>41025</v>
      </c>
    </row>
    <row r="3011" spans="1:21" ht="12" customHeight="1">
      <c r="A3011" s="4">
        <v>3708</v>
      </c>
      <c r="B3011" s="4">
        <v>26469</v>
      </c>
      <c r="C3011" s="5">
        <f t="shared" ref="C3011:C3012" si="1247">DATE(2012,12,31)-154</f>
        <v>41120</v>
      </c>
      <c r="D3011" s="4" t="s">
        <v>63</v>
      </c>
      <c r="E3011" s="4">
        <v>4</v>
      </c>
      <c r="F3011" s="4">
        <v>7406.49</v>
      </c>
      <c r="G3011" s="4">
        <v>0.03</v>
      </c>
      <c r="H3011" s="4" t="s">
        <v>22</v>
      </c>
      <c r="I3011" s="6">
        <v>701.21600000000001</v>
      </c>
      <c r="J3011" s="4">
        <v>1889.99</v>
      </c>
      <c r="K3011" s="4">
        <v>19.989999999999998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6"/>
        <v>41122</v>
      </c>
    </row>
    <row r="3012" spans="1:21" ht="12" customHeight="1">
      <c r="A3012" s="4">
        <v>3709</v>
      </c>
      <c r="B3012" s="4">
        <v>26469</v>
      </c>
      <c r="C3012" s="5">
        <f t="shared" si="1247"/>
        <v>41120</v>
      </c>
      <c r="D3012" s="4" t="s">
        <v>63</v>
      </c>
      <c r="E3012" s="4">
        <v>50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spans="1:21" ht="12" customHeight="1">
      <c r="A3013" s="4">
        <v>3758</v>
      </c>
      <c r="B3013" s="4">
        <v>26852</v>
      </c>
      <c r="C3013" s="5">
        <f>DATE(2012,12,31)-1031</f>
        <v>40243</v>
      </c>
      <c r="D3013" s="4" t="s">
        <v>78</v>
      </c>
      <c r="E3013" s="4">
        <v>2</v>
      </c>
      <c r="F3013" s="4">
        <v>15.81</v>
      </c>
      <c r="G3013" s="4">
        <v>0.06</v>
      </c>
      <c r="H3013" s="4" t="s">
        <v>22</v>
      </c>
      <c r="I3013" s="6">
        <v>-9.8800000000000008</v>
      </c>
      <c r="J3013" s="4">
        <v>4.9800000000000004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8">C3013+2</f>
        <v>40245</v>
      </c>
    </row>
    <row r="3014" spans="1:21" ht="12" customHeight="1">
      <c r="A3014" s="4">
        <v>3829</v>
      </c>
      <c r="B3014" s="4">
        <v>27299</v>
      </c>
      <c r="C3014" s="5">
        <f>DATE(2012,12,31)-148</f>
        <v>41126</v>
      </c>
      <c r="D3014" s="4" t="s">
        <v>78</v>
      </c>
      <c r="E3014" s="4">
        <v>41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19.940000000000001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0.56999999999999995</v>
      </c>
      <c r="U3014" s="5">
        <f t="shared" si="1248"/>
        <v>41128</v>
      </c>
    </row>
    <row r="3015" spans="1:21" ht="12" customHeight="1">
      <c r="A3015" s="4">
        <v>3830</v>
      </c>
      <c r="B3015" s="4">
        <v>27300</v>
      </c>
      <c r="C3015" s="5">
        <f t="shared" ref="C3015:C3016" si="1249">DATE(2012,12,31)-92</f>
        <v>41182</v>
      </c>
      <c r="D3015" s="4" t="s">
        <v>45</v>
      </c>
      <c r="E3015" s="4">
        <v>50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spans="1:21" ht="12" customHeight="1">
      <c r="A3016" s="4">
        <v>3831</v>
      </c>
      <c r="B3016" s="4">
        <v>27300</v>
      </c>
      <c r="C3016" s="5">
        <f t="shared" si="1249"/>
        <v>41182</v>
      </c>
      <c r="D3016" s="4" t="s">
        <v>45</v>
      </c>
      <c r="E3016" s="4">
        <v>27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0.56999999999999995</v>
      </c>
      <c r="U3016" s="5">
        <f>C3016+0</f>
        <v>41182</v>
      </c>
    </row>
    <row r="3017" spans="1:21" ht="12" customHeight="1">
      <c r="A3017" s="4">
        <v>3864</v>
      </c>
      <c r="B3017" s="4">
        <v>27557</v>
      </c>
      <c r="C3017" s="5">
        <f>DATE(2012,12,31)-327</f>
        <v>40947</v>
      </c>
      <c r="D3017" s="4" t="s">
        <v>21</v>
      </c>
      <c r="E3017" s="4">
        <v>18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spans="1:21" ht="12" customHeight="1">
      <c r="A3018" s="4">
        <v>3872</v>
      </c>
      <c r="B3018" s="4">
        <v>27654</v>
      </c>
      <c r="C3018" s="5">
        <f>DATE(2012,12,31)-829</f>
        <v>40445</v>
      </c>
      <c r="D3018" s="4" t="s">
        <v>30</v>
      </c>
      <c r="E3018" s="4">
        <v>12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0">C3018+2</f>
        <v>40447</v>
      </c>
    </row>
    <row r="3019" spans="1:21" ht="12" customHeight="1">
      <c r="A3019" s="4">
        <v>3877</v>
      </c>
      <c r="B3019" s="4">
        <v>27684</v>
      </c>
      <c r="C3019" s="5">
        <f>DATE(2012,12,31)-483</f>
        <v>40791</v>
      </c>
      <c r="D3019" s="4" t="s">
        <v>21</v>
      </c>
      <c r="E3019" s="4">
        <v>1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0"/>
        <v>40793</v>
      </c>
    </row>
    <row r="3020" spans="1:21" ht="12" customHeight="1">
      <c r="A3020" s="4">
        <v>3899</v>
      </c>
      <c r="B3020" s="4">
        <v>27811</v>
      </c>
      <c r="C3020" s="5">
        <f>DATE(2012,12,31)-668</f>
        <v>40606</v>
      </c>
      <c r="D3020" s="4" t="s">
        <v>45</v>
      </c>
      <c r="E3020" s="4">
        <v>31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0"/>
        <v>40608</v>
      </c>
    </row>
    <row r="3021" spans="1:21" ht="12" customHeight="1">
      <c r="A3021" s="4">
        <v>3938</v>
      </c>
      <c r="B3021" s="4">
        <v>28064</v>
      </c>
      <c r="C3021" s="5">
        <f t="shared" ref="C3021:C3022" si="1251">DATE(2012,12,31)-851</f>
        <v>40423</v>
      </c>
      <c r="D3021" s="4" t="s">
        <v>63</v>
      </c>
      <c r="E3021" s="4">
        <v>43</v>
      </c>
      <c r="F3021" s="4">
        <v>856.45</v>
      </c>
      <c r="G3021" s="4">
        <v>0.03</v>
      </c>
      <c r="H3021" s="4" t="s">
        <v>22</v>
      </c>
      <c r="I3021" s="6">
        <v>265.10000000000002</v>
      </c>
      <c r="J3021" s="4">
        <v>19.84</v>
      </c>
      <c r="K3021" s="4">
        <v>4.0999999999999996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2">C3021+0</f>
        <v>40423</v>
      </c>
    </row>
    <row r="3022" spans="1:21" ht="12" customHeight="1">
      <c r="A3022" s="4">
        <v>3939</v>
      </c>
      <c r="B3022" s="4">
        <v>28064</v>
      </c>
      <c r="C3022" s="5">
        <f t="shared" si="1251"/>
        <v>40423</v>
      </c>
      <c r="D3022" s="4" t="s">
        <v>63</v>
      </c>
      <c r="E3022" s="4">
        <v>1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2"/>
        <v>40423</v>
      </c>
    </row>
    <row r="3023" spans="1:21" ht="12" customHeight="1">
      <c r="A3023" s="4">
        <v>3968</v>
      </c>
      <c r="B3023" s="4">
        <v>28321</v>
      </c>
      <c r="C3023" s="5">
        <f>DATE(2012,12,31)-883</f>
        <v>40391</v>
      </c>
      <c r="D3023" s="4" t="s">
        <v>63</v>
      </c>
      <c r="E3023" s="4">
        <v>28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2"/>
        <v>40391</v>
      </c>
    </row>
    <row r="3024" spans="1:21" ht="12" customHeight="1">
      <c r="A3024" s="4">
        <v>3985</v>
      </c>
      <c r="B3024" s="4">
        <v>28454</v>
      </c>
      <c r="C3024" s="5">
        <f>DATE(2012,12,31)-147</f>
        <v>41127</v>
      </c>
      <c r="D3024" s="4" t="s">
        <v>63</v>
      </c>
      <c r="E3024" s="4">
        <v>25</v>
      </c>
      <c r="F3024" s="4">
        <v>157.4</v>
      </c>
      <c r="G3024" s="4">
        <v>7.0000000000000007E-2</v>
      </c>
      <c r="H3024" s="4" t="s">
        <v>22</v>
      </c>
      <c r="I3024" s="6">
        <v>-84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spans="1:21" ht="12" customHeight="1">
      <c r="A3025" s="4">
        <v>4112</v>
      </c>
      <c r="B3025" s="4">
        <v>29255</v>
      </c>
      <c r="C3025" s="5">
        <f>DATE(2012,12,31)-394</f>
        <v>40880</v>
      </c>
      <c r="D3025" s="4" t="s">
        <v>21</v>
      </c>
      <c r="E3025" s="4">
        <v>11</v>
      </c>
      <c r="F3025" s="4">
        <v>617.21899999999994</v>
      </c>
      <c r="G3025" s="4">
        <v>0.03</v>
      </c>
      <c r="H3025" s="4" t="s">
        <v>56</v>
      </c>
      <c r="I3025" s="6">
        <v>-136.09199999999998</v>
      </c>
      <c r="J3025" s="4">
        <v>65.989999999999995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0.57999999999999996</v>
      </c>
      <c r="U3025" s="5">
        <f>C3025+4</f>
        <v>40884</v>
      </c>
    </row>
    <row r="3026" spans="1:21" ht="12" customHeight="1">
      <c r="A3026" s="4">
        <v>4139</v>
      </c>
      <c r="B3026" s="4">
        <v>29383</v>
      </c>
      <c r="C3026" s="5">
        <f t="shared" ref="C3026:C3029" si="1253">DATE(2012,12,31)-409</f>
        <v>40865</v>
      </c>
      <c r="D3026" s="4" t="s">
        <v>63</v>
      </c>
      <c r="E3026" s="4">
        <v>20</v>
      </c>
      <c r="F3026" s="4">
        <v>157.13</v>
      </c>
      <c r="G3026" s="4">
        <v>7.0000000000000007E-2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spans="1:21" ht="12" customHeight="1">
      <c r="A3027" s="4">
        <v>4140</v>
      </c>
      <c r="B3027" s="4">
        <v>29383</v>
      </c>
      <c r="C3027" s="5">
        <f t="shared" si="1253"/>
        <v>40865</v>
      </c>
      <c r="D3027" s="4" t="s">
        <v>63</v>
      </c>
      <c r="E3027" s="4">
        <v>28</v>
      </c>
      <c r="F3027" s="4">
        <v>195.11</v>
      </c>
      <c r="G3027" s="4">
        <v>0.04</v>
      </c>
      <c r="H3027" s="4" t="s">
        <v>22</v>
      </c>
      <c r="I3027" s="6">
        <v>-129.41999999999999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spans="1:21" ht="12" customHeight="1">
      <c r="A3028" s="4">
        <v>4141</v>
      </c>
      <c r="B3028" s="4">
        <v>29383</v>
      </c>
      <c r="C3028" s="5">
        <f t="shared" si="1253"/>
        <v>40865</v>
      </c>
      <c r="D3028" s="4" t="s">
        <v>63</v>
      </c>
      <c r="E3028" s="4">
        <v>29</v>
      </c>
      <c r="F3028" s="4">
        <v>2738.7849999999999</v>
      </c>
      <c r="G3028" s="4">
        <v>7.0000000000000007E-2</v>
      </c>
      <c r="H3028" s="4" t="s">
        <v>22</v>
      </c>
      <c r="I3028" s="6">
        <v>556.83000000000004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0.57999999999999996</v>
      </c>
      <c r="U3028" s="5">
        <f>C3028+2</f>
        <v>40867</v>
      </c>
    </row>
    <row r="3029" spans="1:21" ht="12" customHeight="1">
      <c r="A3029" s="4">
        <v>4142</v>
      </c>
      <c r="B3029" s="4">
        <v>29383</v>
      </c>
      <c r="C3029" s="5">
        <f t="shared" si="1253"/>
        <v>40865</v>
      </c>
      <c r="D3029" s="4" t="s">
        <v>63</v>
      </c>
      <c r="E3029" s="4">
        <v>30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spans="1:21" ht="12" customHeight="1">
      <c r="A3030" s="4">
        <v>4162</v>
      </c>
      <c r="B3030" s="4">
        <v>29507</v>
      </c>
      <c r="C3030" s="5">
        <f t="shared" ref="C3030:C3031" si="1254">DATE(2012,12,31)-326</f>
        <v>40948</v>
      </c>
      <c r="D3030" s="4" t="s">
        <v>21</v>
      </c>
      <c r="E3030" s="4">
        <v>14</v>
      </c>
      <c r="F3030" s="4">
        <v>3049.6320000000001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spans="1:21" ht="12" customHeight="1">
      <c r="A3031" s="4">
        <v>4163</v>
      </c>
      <c r="B3031" s="4">
        <v>29507</v>
      </c>
      <c r="C3031" s="5">
        <f t="shared" si="1254"/>
        <v>40948</v>
      </c>
      <c r="D3031" s="4" t="s">
        <v>21</v>
      </c>
      <c r="E3031" s="4">
        <v>41</v>
      </c>
      <c r="F3031" s="4">
        <v>1274.9490000000001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1.1000000000000001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0.55000000000000004</v>
      </c>
      <c r="U3031" s="5">
        <f>C3031+5</f>
        <v>40953</v>
      </c>
    </row>
    <row r="3032" spans="1:21" ht="12" customHeight="1">
      <c r="A3032" s="4">
        <v>4172</v>
      </c>
      <c r="B3032" s="4">
        <v>29572</v>
      </c>
      <c r="C3032" s="5">
        <f>DATE(2012,12,31)-942</f>
        <v>40332</v>
      </c>
      <c r="D3032" s="4" t="s">
        <v>45</v>
      </c>
      <c r="E3032" s="4">
        <v>18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150.97999999999999</v>
      </c>
      <c r="K3032" s="4">
        <v>16.010000000000002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spans="1:21" ht="12" customHeight="1">
      <c r="A3033" s="4">
        <v>4206</v>
      </c>
      <c r="B3033" s="4">
        <v>29894</v>
      </c>
      <c r="C3033" s="5">
        <f t="shared" ref="C3033:C3034" si="1255">DATE(2012,12,31)-846</f>
        <v>40428</v>
      </c>
      <c r="D3033" s="4" t="s">
        <v>21</v>
      </c>
      <c r="E3033" s="4">
        <v>43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6">C3033+9</f>
        <v>40437</v>
      </c>
    </row>
    <row r="3034" spans="1:21" ht="12" customHeight="1">
      <c r="A3034" s="4">
        <v>4207</v>
      </c>
      <c r="B3034" s="4">
        <v>29894</v>
      </c>
      <c r="C3034" s="5">
        <f t="shared" si="1255"/>
        <v>40428</v>
      </c>
      <c r="D3034" s="4" t="s">
        <v>21</v>
      </c>
      <c r="E3034" s="4">
        <v>48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6"/>
        <v>40437</v>
      </c>
    </row>
    <row r="3035" spans="1:21" ht="12" customHeight="1">
      <c r="A3035" s="4">
        <v>4218</v>
      </c>
      <c r="B3035" s="4">
        <v>29985</v>
      </c>
      <c r="C3035" s="5">
        <f>DATE(2012,12,31)-173</f>
        <v>41101</v>
      </c>
      <c r="D3035" s="4" t="s">
        <v>78</v>
      </c>
      <c r="E3035" s="4">
        <v>2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8.0399999999999991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7">C3035+2</f>
        <v>41103</v>
      </c>
    </row>
    <row r="3036" spans="1:21" ht="12" customHeight="1">
      <c r="A3036" s="4">
        <v>4232</v>
      </c>
      <c r="B3036" s="4">
        <v>30054</v>
      </c>
      <c r="C3036" s="5">
        <f>DATE(2012,12,31)-121</f>
        <v>41153</v>
      </c>
      <c r="D3036" s="4" t="s">
        <v>45</v>
      </c>
      <c r="E3036" s="4">
        <v>33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9.3800000000000008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0.56999999999999995</v>
      </c>
      <c r="U3036" s="5">
        <f t="shared" si="1257"/>
        <v>41155</v>
      </c>
    </row>
    <row r="3037" spans="1:21" ht="12" customHeight="1">
      <c r="A3037" s="4">
        <v>4244</v>
      </c>
      <c r="B3037" s="4">
        <v>30208</v>
      </c>
      <c r="C3037" s="5">
        <f>DATE(2012,12,31)-168</f>
        <v>41106</v>
      </c>
      <c r="D3037" s="4" t="s">
        <v>21</v>
      </c>
      <c r="E3037" s="4">
        <v>46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0.56999999999999995</v>
      </c>
      <c r="U3037" s="5">
        <f>C3037+0</f>
        <v>41106</v>
      </c>
    </row>
    <row r="3038" spans="1:21" ht="12" customHeight="1">
      <c r="A3038" s="4">
        <v>4265</v>
      </c>
      <c r="B3038" s="4">
        <v>30369</v>
      </c>
      <c r="C3038" s="5">
        <f t="shared" ref="C3038:C3039" si="1258">DATE(2012,12,31)-648</f>
        <v>40626</v>
      </c>
      <c r="D3038" s="4" t="s">
        <v>78</v>
      </c>
      <c r="E3038" s="4">
        <v>13</v>
      </c>
      <c r="F3038" s="4">
        <v>76.81</v>
      </c>
      <c r="G3038" s="4">
        <v>0</v>
      </c>
      <c r="H3038" s="4" t="s">
        <v>22</v>
      </c>
      <c r="I3038" s="6">
        <v>-55.77</v>
      </c>
      <c r="J3038" s="4">
        <v>4.9800000000000004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59">C3038+1</f>
        <v>40627</v>
      </c>
    </row>
    <row r="3039" spans="1:21" ht="12" customHeight="1">
      <c r="A3039" s="4">
        <v>4266</v>
      </c>
      <c r="B3039" s="4">
        <v>30369</v>
      </c>
      <c r="C3039" s="5">
        <f t="shared" si="1258"/>
        <v>40626</v>
      </c>
      <c r="D3039" s="4" t="s">
        <v>78</v>
      </c>
      <c r="E3039" s="4">
        <v>21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59"/>
        <v>40627</v>
      </c>
    </row>
    <row r="3040" spans="1:21" ht="12" customHeight="1">
      <c r="A3040" s="4">
        <v>4314</v>
      </c>
      <c r="B3040" s="4">
        <v>30727</v>
      </c>
      <c r="C3040" s="5">
        <f>DATE(2012,12,31)-159</f>
        <v>41115</v>
      </c>
      <c r="D3040" s="4" t="s">
        <v>63</v>
      </c>
      <c r="E3040" s="4">
        <v>28</v>
      </c>
      <c r="F3040" s="4">
        <v>1166.29</v>
      </c>
      <c r="G3040" s="4">
        <v>7.0000000000000007E-2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0.56000000000000005</v>
      </c>
      <c r="U3040" s="5">
        <f>C3040+2</f>
        <v>41117</v>
      </c>
    </row>
    <row r="3041" spans="1:21" ht="12" customHeight="1">
      <c r="A3041" s="4">
        <v>4359</v>
      </c>
      <c r="B3041" s="4">
        <v>31072</v>
      </c>
      <c r="C3041" s="5">
        <f>DATE(2012,12,31)-763</f>
        <v>40511</v>
      </c>
      <c r="D3041" s="4" t="s">
        <v>21</v>
      </c>
      <c r="E3041" s="4">
        <v>4</v>
      </c>
      <c r="F3041" s="4">
        <v>701.16</v>
      </c>
      <c r="G3041" s="4">
        <v>0.08</v>
      </c>
      <c r="H3041" s="4" t="s">
        <v>22</v>
      </c>
      <c r="I3041" s="6">
        <v>4.5559999999999636</v>
      </c>
      <c r="J3041" s="4">
        <v>172.99</v>
      </c>
      <c r="K3041" s="4">
        <v>19.989999999999998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spans="1:21" ht="12" customHeight="1">
      <c r="A3042" s="4">
        <v>4360</v>
      </c>
      <c r="B3042" s="4">
        <v>31073</v>
      </c>
      <c r="C3042" s="5">
        <f t="shared" ref="C3042:C3043" si="1260">DATE(2012,12,31)-890</f>
        <v>40384</v>
      </c>
      <c r="D3042" s="4" t="s">
        <v>63</v>
      </c>
      <c r="E3042" s="4">
        <v>39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spans="1:21" ht="12" customHeight="1">
      <c r="A3043" s="4">
        <v>4361</v>
      </c>
      <c r="B3043" s="4">
        <v>31073</v>
      </c>
      <c r="C3043" s="5">
        <f t="shared" si="1260"/>
        <v>40384</v>
      </c>
      <c r="D3043" s="4" t="s">
        <v>63</v>
      </c>
      <c r="E3043" s="4">
        <v>26</v>
      </c>
      <c r="F3043" s="4">
        <v>4322.26</v>
      </c>
      <c r="G3043" s="4">
        <v>7.0000000000000007E-2</v>
      </c>
      <c r="H3043" s="4" t="s">
        <v>22</v>
      </c>
      <c r="I3043" s="6">
        <v>-618.95000000000005</v>
      </c>
      <c r="J3043" s="4">
        <v>167.27</v>
      </c>
      <c r="K3043" s="4">
        <v>35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spans="1:21" ht="12" customHeight="1">
      <c r="A3044" s="4">
        <v>4375</v>
      </c>
      <c r="B3044" s="4">
        <v>31173</v>
      </c>
      <c r="C3044" s="5">
        <f>DATE(2012,12,31)-135</f>
        <v>41139</v>
      </c>
      <c r="D3044" s="4" t="s">
        <v>21</v>
      </c>
      <c r="E3044" s="4">
        <v>24</v>
      </c>
      <c r="F3044" s="4">
        <v>169.35400000000001</v>
      </c>
      <c r="G3044" s="4">
        <v>0.09</v>
      </c>
      <c r="H3044" s="4" t="s">
        <v>56</v>
      </c>
      <c r="I3044" s="6">
        <v>-84.138999999999996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spans="1:21" ht="12" customHeight="1">
      <c r="A3045" s="4">
        <v>4463</v>
      </c>
      <c r="B3045" s="4">
        <v>31812</v>
      </c>
      <c r="C3045" s="5">
        <f t="shared" ref="C3045:C3046" si="1261">DATE(2012,12,31)-519</f>
        <v>40755</v>
      </c>
      <c r="D3045" s="4" t="s">
        <v>30</v>
      </c>
      <c r="E3045" s="4">
        <v>14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19.989999999999998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2">C3045+2</f>
        <v>40757</v>
      </c>
    </row>
    <row r="3046" spans="1:21" ht="12" customHeight="1">
      <c r="A3046" s="4">
        <v>4464</v>
      </c>
      <c r="B3046" s="4">
        <v>31812</v>
      </c>
      <c r="C3046" s="5">
        <f t="shared" si="1261"/>
        <v>40755</v>
      </c>
      <c r="D3046" s="4" t="s">
        <v>30</v>
      </c>
      <c r="E3046" s="4">
        <v>31</v>
      </c>
      <c r="F3046" s="4">
        <v>38.520000000000003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2"/>
        <v>40757</v>
      </c>
    </row>
    <row r="3047" spans="1:21" ht="12" customHeight="1">
      <c r="A3047" s="4">
        <v>4496</v>
      </c>
      <c r="B3047" s="4">
        <v>32002</v>
      </c>
      <c r="C3047" s="5">
        <f t="shared" ref="C3047:C3048" si="1263">DATE(2012,12,31)-895</f>
        <v>40379</v>
      </c>
      <c r="D3047" s="4" t="s">
        <v>21</v>
      </c>
      <c r="E3047" s="4">
        <v>37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spans="1:21" ht="12" customHeight="1">
      <c r="A3048" s="4">
        <v>4497</v>
      </c>
      <c r="B3048" s="4">
        <v>32002</v>
      </c>
      <c r="C3048" s="5">
        <f t="shared" si="1263"/>
        <v>40379</v>
      </c>
      <c r="D3048" s="4" t="s">
        <v>21</v>
      </c>
      <c r="E3048" s="4">
        <v>7</v>
      </c>
      <c r="F3048" s="4">
        <v>98.55</v>
      </c>
      <c r="G3048" s="4">
        <v>7.0000000000000007E-2</v>
      </c>
      <c r="H3048" s="4" t="s">
        <v>22</v>
      </c>
      <c r="I3048" s="6">
        <v>23.16</v>
      </c>
      <c r="J3048" s="4">
        <v>13.79</v>
      </c>
      <c r="K3048" s="4">
        <v>8.7799999999999994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spans="1:21" ht="12" customHeight="1">
      <c r="A3049" s="4">
        <v>4541</v>
      </c>
      <c r="B3049" s="4">
        <v>32323</v>
      </c>
      <c r="C3049" s="5">
        <f t="shared" ref="C3049:C3051" si="1264">DATE(2012,12,31)-892</f>
        <v>40382</v>
      </c>
      <c r="D3049" s="4" t="s">
        <v>30</v>
      </c>
      <c r="E3049" s="4">
        <v>3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8.4600000000000009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spans="1:21" ht="12" customHeight="1">
      <c r="A3050" s="4">
        <v>4542</v>
      </c>
      <c r="B3050" s="4">
        <v>32323</v>
      </c>
      <c r="C3050" s="5">
        <f t="shared" si="1264"/>
        <v>40382</v>
      </c>
      <c r="D3050" s="4" t="s">
        <v>30</v>
      </c>
      <c r="E3050" s="4">
        <v>3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spans="1:21" ht="12" customHeight="1">
      <c r="A3051" s="4">
        <v>4543</v>
      </c>
      <c r="B3051" s="4">
        <v>32323</v>
      </c>
      <c r="C3051" s="5">
        <f t="shared" si="1264"/>
        <v>40382</v>
      </c>
      <c r="D3051" s="4" t="s">
        <v>30</v>
      </c>
      <c r="E3051" s="4">
        <v>38</v>
      </c>
      <c r="F3051" s="4">
        <v>259.71749999999997</v>
      </c>
      <c r="G3051" s="4">
        <v>0.02</v>
      </c>
      <c r="H3051" s="4" t="s">
        <v>22</v>
      </c>
      <c r="I3051" s="6">
        <v>-118.48099999999999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spans="1:21" ht="12" customHeight="1">
      <c r="A3052" s="4">
        <v>4564</v>
      </c>
      <c r="B3052" s="4">
        <v>32454</v>
      </c>
      <c r="C3052" s="5">
        <f>DATE(2012,12,31)-641</f>
        <v>40633</v>
      </c>
      <c r="D3052" s="4" t="s">
        <v>78</v>
      </c>
      <c r="E3052" s="4">
        <v>12</v>
      </c>
      <c r="F3052" s="4">
        <v>83.89</v>
      </c>
      <c r="G3052" s="4">
        <v>0.05</v>
      </c>
      <c r="H3052" s="4" t="s">
        <v>22</v>
      </c>
      <c r="I3052" s="6">
        <v>-29.589500000000001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spans="1:21" ht="12" customHeight="1">
      <c r="A3053" s="4">
        <v>4569</v>
      </c>
      <c r="B3053" s="4">
        <v>32516</v>
      </c>
      <c r="C3053" s="5">
        <f t="shared" ref="C3053:C3054" si="1265">DATE(2012,12,31)-799</f>
        <v>40475</v>
      </c>
      <c r="D3053" s="4" t="s">
        <v>78</v>
      </c>
      <c r="E3053" s="4">
        <v>15</v>
      </c>
      <c r="F3053" s="4">
        <v>43.96</v>
      </c>
      <c r="G3053" s="4">
        <v>0.03</v>
      </c>
      <c r="H3053" s="4" t="s">
        <v>22</v>
      </c>
      <c r="I3053" s="6">
        <v>-0.24149999999999999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6">C3053+2</f>
        <v>40477</v>
      </c>
    </row>
    <row r="3054" spans="1:21" ht="12" customHeight="1">
      <c r="A3054" s="4">
        <v>4570</v>
      </c>
      <c r="B3054" s="4">
        <v>32516</v>
      </c>
      <c r="C3054" s="5">
        <f t="shared" si="1265"/>
        <v>40475</v>
      </c>
      <c r="D3054" s="4" t="s">
        <v>78</v>
      </c>
      <c r="E3054" s="4">
        <v>7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6"/>
        <v>40477</v>
      </c>
    </row>
    <row r="3055" spans="1:21" ht="12" customHeight="1">
      <c r="A3055" s="4">
        <v>4577</v>
      </c>
      <c r="B3055" s="4">
        <v>32608</v>
      </c>
      <c r="C3055" s="5">
        <f>DATE(2012,12,31)-223</f>
        <v>41051</v>
      </c>
      <c r="D3055" s="4" t="s">
        <v>30</v>
      </c>
      <c r="E3055" s="4">
        <v>20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6"/>
        <v>41053</v>
      </c>
    </row>
    <row r="3056" spans="1:21" ht="12" customHeight="1">
      <c r="A3056" s="4">
        <v>4704</v>
      </c>
      <c r="B3056" s="4">
        <v>33510</v>
      </c>
      <c r="C3056" s="5">
        <f t="shared" ref="C3056:C3057" si="1267">DATE(2012,12,31)-395</f>
        <v>40879</v>
      </c>
      <c r="D3056" s="4" t="s">
        <v>30</v>
      </c>
      <c r="E3056" s="4">
        <v>42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spans="1:21" ht="12" customHeight="1">
      <c r="A3057" s="4">
        <v>4705</v>
      </c>
      <c r="B3057" s="4">
        <v>33510</v>
      </c>
      <c r="C3057" s="5">
        <f t="shared" si="1267"/>
        <v>40879</v>
      </c>
      <c r="D3057" s="4" t="s">
        <v>30</v>
      </c>
      <c r="E3057" s="4">
        <v>11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8">C3057+0</f>
        <v>40879</v>
      </c>
    </row>
    <row r="3058" spans="1:21" ht="12" customHeight="1">
      <c r="A3058" s="4">
        <v>4709</v>
      </c>
      <c r="B3058" s="4">
        <v>33541</v>
      </c>
      <c r="C3058" s="5">
        <f>DATE(2012,12,31)-195</f>
        <v>41079</v>
      </c>
      <c r="D3058" s="4" t="s">
        <v>78</v>
      </c>
      <c r="E3058" s="4">
        <v>43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8"/>
        <v>41079</v>
      </c>
    </row>
    <row r="3059" spans="1:21" ht="12" customHeight="1">
      <c r="A3059" s="4">
        <v>4717</v>
      </c>
      <c r="B3059" s="4">
        <v>33573</v>
      </c>
      <c r="C3059" s="5">
        <f>DATE(2012,12,31)-819</f>
        <v>40455</v>
      </c>
      <c r="D3059" s="4" t="s">
        <v>78</v>
      </c>
      <c r="E3059" s="4">
        <v>15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150.97999999999999</v>
      </c>
      <c r="K3059" s="4">
        <v>16.010000000000002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8"/>
        <v>40455</v>
      </c>
    </row>
    <row r="3060" spans="1:21" ht="12" customHeight="1">
      <c r="A3060" s="4">
        <v>4831</v>
      </c>
      <c r="B3060" s="4">
        <v>34371</v>
      </c>
      <c r="C3060" s="5">
        <f>DATE(2012,12,31)-1005</f>
        <v>40269</v>
      </c>
      <c r="D3060" s="4" t="s">
        <v>63</v>
      </c>
      <c r="E3060" s="4">
        <v>18</v>
      </c>
      <c r="F3060" s="4">
        <v>8334.0300000000007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0.56000000000000005</v>
      </c>
      <c r="U3060" s="5">
        <f t="shared" ref="U3060:U3061" si="1269">C3060+2</f>
        <v>40271</v>
      </c>
    </row>
    <row r="3061" spans="1:21" ht="12" customHeight="1">
      <c r="A3061" s="4">
        <v>4851</v>
      </c>
      <c r="B3061" s="4">
        <v>34530</v>
      </c>
      <c r="C3061" s="5">
        <f t="shared" ref="C3061:C3063" si="1270">DATE(2012,12,31)-854</f>
        <v>40420</v>
      </c>
      <c r="D3061" s="4" t="s">
        <v>21</v>
      </c>
      <c r="E3061" s="4">
        <v>22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0.57999999999999996</v>
      </c>
      <c r="U3061" s="5">
        <f t="shared" si="1269"/>
        <v>40422</v>
      </c>
    </row>
    <row r="3062" spans="1:21" ht="12" customHeight="1">
      <c r="A3062" s="4">
        <v>4852</v>
      </c>
      <c r="B3062" s="4">
        <v>34530</v>
      </c>
      <c r="C3062" s="5">
        <f t="shared" si="1270"/>
        <v>40420</v>
      </c>
      <c r="D3062" s="4" t="s">
        <v>21</v>
      </c>
      <c r="E3062" s="4">
        <v>38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1">C3062+5</f>
        <v>40425</v>
      </c>
    </row>
    <row r="3063" spans="1:21" ht="12" customHeight="1">
      <c r="A3063" s="4">
        <v>4853</v>
      </c>
      <c r="B3063" s="4">
        <v>34530</v>
      </c>
      <c r="C3063" s="5">
        <f t="shared" si="1270"/>
        <v>40420</v>
      </c>
      <c r="D3063" s="4" t="s">
        <v>21</v>
      </c>
      <c r="E3063" s="4">
        <v>7</v>
      </c>
      <c r="F3063" s="4">
        <v>1092.42</v>
      </c>
      <c r="G3063" s="4">
        <v>0.03</v>
      </c>
      <c r="H3063" s="4" t="s">
        <v>31</v>
      </c>
      <c r="I3063" s="6">
        <v>-364.87336600000009</v>
      </c>
      <c r="J3063" s="4">
        <v>150.97999999999999</v>
      </c>
      <c r="K3063" s="4">
        <v>16.010000000000002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1"/>
        <v>40425</v>
      </c>
    </row>
    <row r="3064" spans="1:21" ht="12" customHeight="1">
      <c r="A3064" s="4">
        <v>4855</v>
      </c>
      <c r="B3064" s="4">
        <v>34562</v>
      </c>
      <c r="C3064" s="5">
        <f t="shared" ref="C3064:C3065" si="1272">DATE(2012,12,31)-860</f>
        <v>40414</v>
      </c>
      <c r="D3064" s="4" t="s">
        <v>21</v>
      </c>
      <c r="E3064" s="4">
        <v>22</v>
      </c>
      <c r="F3064" s="4">
        <v>561.91999999999996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spans="1:21" ht="12" customHeight="1">
      <c r="A3065" s="4">
        <v>4856</v>
      </c>
      <c r="B3065" s="4">
        <v>34562</v>
      </c>
      <c r="C3065" s="5">
        <f t="shared" si="1272"/>
        <v>40414</v>
      </c>
      <c r="D3065" s="4" t="s">
        <v>21</v>
      </c>
      <c r="E3065" s="4">
        <v>19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9.0299999999999994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spans="1:21" ht="12" customHeight="1">
      <c r="A3066" s="4">
        <v>4980</v>
      </c>
      <c r="B3066" s="4">
        <v>35430</v>
      </c>
      <c r="C3066" s="5">
        <f t="shared" ref="C3066:C3068" si="1273">DATE(2012,12,31)-1012</f>
        <v>40262</v>
      </c>
      <c r="D3066" s="4" t="s">
        <v>21</v>
      </c>
      <c r="E3066" s="4">
        <v>16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spans="1:21" ht="12" customHeight="1">
      <c r="A3067" s="4">
        <v>4981</v>
      </c>
      <c r="B3067" s="4">
        <v>35430</v>
      </c>
      <c r="C3067" s="5">
        <f t="shared" si="1273"/>
        <v>40262</v>
      </c>
      <c r="D3067" s="4" t="s">
        <v>21</v>
      </c>
      <c r="E3067" s="4">
        <v>48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spans="1:21" ht="12" customHeight="1">
      <c r="A3068" s="4">
        <v>4982</v>
      </c>
      <c r="B3068" s="4">
        <v>35430</v>
      </c>
      <c r="C3068" s="5">
        <f t="shared" si="1273"/>
        <v>40262</v>
      </c>
      <c r="D3068" s="4" t="s">
        <v>21</v>
      </c>
      <c r="E3068" s="4">
        <v>31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65.989999999999995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0.56000000000000005</v>
      </c>
      <c r="U3068" s="5">
        <f t="shared" ref="U3068:U3069" si="1274">C3068+2</f>
        <v>40264</v>
      </c>
    </row>
    <row r="3069" spans="1:21" ht="12" customHeight="1">
      <c r="A3069" s="4">
        <v>4999</v>
      </c>
      <c r="B3069" s="4">
        <v>35588</v>
      </c>
      <c r="C3069" s="5">
        <f>DATE(2012,12,31)-932</f>
        <v>40342</v>
      </c>
      <c r="D3069" s="4" t="s">
        <v>21</v>
      </c>
      <c r="E3069" s="4">
        <v>32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4"/>
        <v>40344</v>
      </c>
    </row>
    <row r="3070" spans="1:21" ht="12" customHeight="1">
      <c r="A3070" s="4">
        <v>5007</v>
      </c>
      <c r="B3070" s="4">
        <v>35712</v>
      </c>
      <c r="C3070" s="5">
        <f t="shared" ref="C3070:C3071" si="1275">DATE(2012,12,31)-69</f>
        <v>41205</v>
      </c>
      <c r="D3070" s="4" t="s">
        <v>30</v>
      </c>
      <c r="E3070" s="4">
        <v>42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spans="1:21" ht="12" customHeight="1">
      <c r="A3071" s="4">
        <v>5008</v>
      </c>
      <c r="B3071" s="4">
        <v>35712</v>
      </c>
      <c r="C3071" s="5">
        <f t="shared" si="1275"/>
        <v>41205</v>
      </c>
      <c r="D3071" s="4" t="s">
        <v>30</v>
      </c>
      <c r="E3071" s="4">
        <v>24</v>
      </c>
      <c r="F3071" s="4">
        <v>134.88</v>
      </c>
      <c r="G3071" s="4">
        <v>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spans="1:21" ht="12" customHeight="1">
      <c r="A3072" s="4">
        <v>5068</v>
      </c>
      <c r="B3072" s="4">
        <v>36130</v>
      </c>
      <c r="C3072" s="5">
        <f>DATE(2012,12,31)-109</f>
        <v>41165</v>
      </c>
      <c r="D3072" s="4" t="s">
        <v>78</v>
      </c>
      <c r="E3072" s="4">
        <v>23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6">C3072+1</f>
        <v>41166</v>
      </c>
    </row>
    <row r="3073" spans="1:21" ht="12" customHeight="1">
      <c r="A3073" s="4">
        <v>5111</v>
      </c>
      <c r="B3073" s="4">
        <v>36418</v>
      </c>
      <c r="C3073" s="5">
        <f>DATE(2012,12,31)-339</f>
        <v>40935</v>
      </c>
      <c r="D3073" s="4" t="s">
        <v>45</v>
      </c>
      <c r="E3073" s="4">
        <v>33</v>
      </c>
      <c r="F3073" s="4">
        <v>207.92</v>
      </c>
      <c r="G3073" s="4">
        <v>0.08</v>
      </c>
      <c r="H3073" s="4" t="s">
        <v>56</v>
      </c>
      <c r="I3073" s="6">
        <v>-124.84399999999999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6"/>
        <v>40936</v>
      </c>
    </row>
    <row r="3074" spans="1:21" ht="12" customHeight="1">
      <c r="A3074" s="4">
        <v>5129</v>
      </c>
      <c r="B3074" s="4">
        <v>36517</v>
      </c>
      <c r="C3074" s="5">
        <f t="shared" ref="C3074:C3075" si="1277">DATE(2012,12,31)-1036</f>
        <v>40238</v>
      </c>
      <c r="D3074" s="4" t="s">
        <v>45</v>
      </c>
      <c r="E3074" s="4">
        <v>18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0.56000000000000005</v>
      </c>
      <c r="U3074" s="5">
        <f t="shared" si="1276"/>
        <v>40239</v>
      </c>
    </row>
    <row r="3075" spans="1:21" ht="12" customHeight="1">
      <c r="A3075" s="4">
        <v>5130</v>
      </c>
      <c r="B3075" s="4">
        <v>36517</v>
      </c>
      <c r="C3075" s="5">
        <f t="shared" si="1277"/>
        <v>40238</v>
      </c>
      <c r="D3075" s="4" t="s">
        <v>45</v>
      </c>
      <c r="E3075" s="4">
        <v>9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spans="1:21" ht="12" customHeight="1">
      <c r="A3076" s="4">
        <v>5179</v>
      </c>
      <c r="B3076" s="4">
        <v>36833</v>
      </c>
      <c r="C3076" s="5">
        <f>DATE(2012,12,31)-173</f>
        <v>41101</v>
      </c>
      <c r="D3076" s="4" t="s">
        <v>21</v>
      </c>
      <c r="E3076" s="4">
        <v>25</v>
      </c>
      <c r="F3076" s="4">
        <v>184.32</v>
      </c>
      <c r="G3076" s="4">
        <v>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spans="1:21" ht="12" customHeight="1">
      <c r="A3077" s="4">
        <v>5215</v>
      </c>
      <c r="B3077" s="4">
        <v>37123</v>
      </c>
      <c r="C3077" s="5">
        <f>DATE(2012,12,31)-317</f>
        <v>40957</v>
      </c>
      <c r="D3077" s="4" t="s">
        <v>30</v>
      </c>
      <c r="E3077" s="4">
        <v>50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spans="1:21" ht="12" customHeight="1">
      <c r="A3078" s="4">
        <v>5280</v>
      </c>
      <c r="B3078" s="4">
        <v>37572</v>
      </c>
      <c r="C3078" s="5">
        <f>DATE(2012,12,31)-881</f>
        <v>40393</v>
      </c>
      <c r="D3078" s="4" t="s">
        <v>30</v>
      </c>
      <c r="E3078" s="4">
        <v>22</v>
      </c>
      <c r="F3078" s="4">
        <v>123.95</v>
      </c>
      <c r="G3078" s="4">
        <v>0.01</v>
      </c>
      <c r="H3078" s="4" t="s">
        <v>22</v>
      </c>
      <c r="I3078" s="6">
        <v>2.4224999999999999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8">C3078+2</f>
        <v>40395</v>
      </c>
    </row>
    <row r="3079" spans="1:21" ht="12" customHeight="1">
      <c r="A3079" s="4">
        <v>5290</v>
      </c>
      <c r="B3079" s="4">
        <v>37669</v>
      </c>
      <c r="C3079" s="5">
        <f t="shared" ref="C3079:C3081" si="1279">DATE(2012,12,31)-794</f>
        <v>40480</v>
      </c>
      <c r="D3079" s="4" t="s">
        <v>45</v>
      </c>
      <c r="E3079" s="4">
        <v>39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19.989999999999998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8"/>
        <v>40482</v>
      </c>
    </row>
    <row r="3080" spans="1:21" ht="12" customHeight="1">
      <c r="A3080" s="4">
        <v>5291</v>
      </c>
      <c r="B3080" s="4">
        <v>37669</v>
      </c>
      <c r="C3080" s="5">
        <f t="shared" si="1279"/>
        <v>40480</v>
      </c>
      <c r="D3080" s="4" t="s">
        <v>45</v>
      </c>
      <c r="E3080" s="4">
        <v>31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8"/>
        <v>40482</v>
      </c>
    </row>
    <row r="3081" spans="1:21" ht="12" customHeight="1">
      <c r="A3081" s="4">
        <v>5292</v>
      </c>
      <c r="B3081" s="4">
        <v>37669</v>
      </c>
      <c r="C3081" s="5">
        <f t="shared" si="1279"/>
        <v>40480</v>
      </c>
      <c r="D3081" s="4" t="s">
        <v>45</v>
      </c>
      <c r="E3081" s="4">
        <v>4</v>
      </c>
      <c r="F3081" s="4">
        <v>70.02</v>
      </c>
      <c r="G3081" s="4">
        <v>0</v>
      </c>
      <c r="H3081" s="4" t="s">
        <v>22</v>
      </c>
      <c r="I3081" s="6">
        <v>-30.63</v>
      </c>
      <c r="J3081" s="4">
        <v>15.31</v>
      </c>
      <c r="K3081" s="4">
        <v>8.7799999999999994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0.56999999999999995</v>
      </c>
      <c r="U3081" s="5">
        <f>C3081+3</f>
        <v>40483</v>
      </c>
    </row>
    <row r="3082" spans="1:21" ht="12" customHeight="1">
      <c r="A3082" s="4">
        <v>5362</v>
      </c>
      <c r="B3082" s="4">
        <v>38117</v>
      </c>
      <c r="C3082" s="5">
        <f>DATE(2012,12,31)-986</f>
        <v>40288</v>
      </c>
      <c r="D3082" s="4" t="s">
        <v>21</v>
      </c>
      <c r="E3082" s="4">
        <v>28</v>
      </c>
      <c r="F3082" s="4">
        <v>481.27</v>
      </c>
      <c r="G3082" s="4">
        <v>0.01</v>
      </c>
      <c r="H3082" s="4" t="s">
        <v>22</v>
      </c>
      <c r="I3082" s="6">
        <v>-128.88999999999999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spans="1:21" ht="12" customHeight="1">
      <c r="A3083" s="4">
        <v>5372</v>
      </c>
      <c r="B3083" s="4">
        <v>38210</v>
      </c>
      <c r="C3083" s="5">
        <f>DATE(2012,12,31)-750</f>
        <v>40524</v>
      </c>
      <c r="D3083" s="4" t="s">
        <v>21</v>
      </c>
      <c r="E3083" s="4">
        <v>10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4.9800000000000004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spans="1:21" ht="12" customHeight="1">
      <c r="A3084" s="4">
        <v>5381</v>
      </c>
      <c r="B3084" s="4">
        <v>38274</v>
      </c>
      <c r="C3084" s="5">
        <f t="shared" ref="C3084:C3086" si="1280">DATE(2012,12,31)-570</f>
        <v>40704</v>
      </c>
      <c r="D3084" s="4" t="s">
        <v>30</v>
      </c>
      <c r="E3084" s="4">
        <v>9</v>
      </c>
      <c r="F3084" s="4">
        <v>1225.3699999999999</v>
      </c>
      <c r="G3084" s="4">
        <v>0.08</v>
      </c>
      <c r="H3084" s="4" t="s">
        <v>22</v>
      </c>
      <c r="I3084" s="6">
        <v>0.98000000000001819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0.56999999999999995</v>
      </c>
      <c r="U3084" s="5">
        <f t="shared" ref="U3084:U3085" si="1281">C3084+2</f>
        <v>40706</v>
      </c>
    </row>
    <row r="3085" spans="1:21" ht="12" customHeight="1">
      <c r="A3085" s="4">
        <v>5382</v>
      </c>
      <c r="B3085" s="4">
        <v>38274</v>
      </c>
      <c r="C3085" s="5">
        <f t="shared" si="1280"/>
        <v>40704</v>
      </c>
      <c r="D3085" s="4" t="s">
        <v>30</v>
      </c>
      <c r="E3085" s="4">
        <v>27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0.55000000000000004</v>
      </c>
      <c r="U3085" s="5">
        <f t="shared" si="1281"/>
        <v>40706</v>
      </c>
    </row>
    <row r="3086" spans="1:21" ht="12" customHeight="1">
      <c r="A3086" s="4">
        <v>5383</v>
      </c>
      <c r="B3086" s="4">
        <v>38274</v>
      </c>
      <c r="C3086" s="5">
        <f t="shared" si="1280"/>
        <v>40704</v>
      </c>
      <c r="D3086" s="4" t="s">
        <v>30</v>
      </c>
      <c r="E3086" s="4">
        <v>10</v>
      </c>
      <c r="F3086" s="4">
        <v>484.21949999999993</v>
      </c>
      <c r="G3086" s="4">
        <v>0.02</v>
      </c>
      <c r="H3086" s="4" t="s">
        <v>56</v>
      </c>
      <c r="I3086" s="6">
        <v>-33.792000000000002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0.55000000000000004</v>
      </c>
      <c r="U3086" s="5">
        <f>C3086+1</f>
        <v>40705</v>
      </c>
    </row>
    <row r="3087" spans="1:21" ht="12" customHeight="1">
      <c r="A3087" s="4">
        <v>5397</v>
      </c>
      <c r="B3087" s="4">
        <v>38370</v>
      </c>
      <c r="C3087" s="5">
        <f>DATE(2012,12,31)-638</f>
        <v>40636</v>
      </c>
      <c r="D3087" s="4" t="s">
        <v>30</v>
      </c>
      <c r="E3087" s="4">
        <v>50</v>
      </c>
      <c r="F3087" s="4">
        <v>169.13</v>
      </c>
      <c r="G3087" s="4">
        <v>0</v>
      </c>
      <c r="H3087" s="4" t="s">
        <v>22</v>
      </c>
      <c r="I3087" s="6">
        <v>43.05</v>
      </c>
      <c r="J3087" s="4">
        <v>3.14</v>
      </c>
      <c r="K3087" s="4">
        <v>1.1399999999999999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spans="1:21" ht="12" customHeight="1">
      <c r="A3088" s="4">
        <v>5403</v>
      </c>
      <c r="B3088" s="4">
        <v>38405</v>
      </c>
      <c r="C3088" s="5">
        <f>DATE(2012,12,31)-900</f>
        <v>40374</v>
      </c>
      <c r="D3088" s="4" t="s">
        <v>63</v>
      </c>
      <c r="E3088" s="4">
        <v>29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spans="1:21" ht="12" customHeight="1">
      <c r="A3089" s="4">
        <v>5409</v>
      </c>
      <c r="B3089" s="4">
        <v>38466</v>
      </c>
      <c r="C3089" s="5">
        <f t="shared" ref="C3089:C3091" si="1282">DATE(2012,12,31)-502</f>
        <v>40772</v>
      </c>
      <c r="D3089" s="4" t="s">
        <v>78</v>
      </c>
      <c r="E3089" s="4">
        <v>22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spans="1:21" ht="12" customHeight="1">
      <c r="A3090" s="4">
        <v>5410</v>
      </c>
      <c r="B3090" s="4">
        <v>38466</v>
      </c>
      <c r="C3090" s="5">
        <f t="shared" si="1282"/>
        <v>40772</v>
      </c>
      <c r="D3090" s="4" t="s">
        <v>78</v>
      </c>
      <c r="E3090" s="4">
        <v>37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spans="1:21" ht="12" customHeight="1">
      <c r="A3091" s="4">
        <v>5411</v>
      </c>
      <c r="B3091" s="4">
        <v>38466</v>
      </c>
      <c r="C3091" s="5">
        <f t="shared" si="1282"/>
        <v>40772</v>
      </c>
      <c r="D3091" s="4" t="s">
        <v>78</v>
      </c>
      <c r="E3091" s="4">
        <v>15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spans="1:21" ht="12" customHeight="1">
      <c r="A3092" s="4">
        <v>5425</v>
      </c>
      <c r="B3092" s="4">
        <v>38532</v>
      </c>
      <c r="C3092" s="5">
        <f>DATE(2012,12,31)-167</f>
        <v>41107</v>
      </c>
      <c r="D3092" s="4" t="s">
        <v>30</v>
      </c>
      <c r="E3092" s="4">
        <v>44</v>
      </c>
      <c r="F3092" s="4">
        <v>128.22</v>
      </c>
      <c r="G3092" s="4">
        <v>7.0000000000000007E-2</v>
      </c>
      <c r="H3092" s="4" t="s">
        <v>22</v>
      </c>
      <c r="I3092" s="6">
        <v>16.510000000000002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0.57999999999999996</v>
      </c>
      <c r="U3092" s="5">
        <f>C3092+2</f>
        <v>41109</v>
      </c>
    </row>
    <row r="3093" spans="1:21" ht="12" customHeight="1">
      <c r="A3093" s="4">
        <v>5643</v>
      </c>
      <c r="B3093" s="4">
        <v>39909</v>
      </c>
      <c r="C3093" s="5">
        <f>DATE(2012,12,31)-676</f>
        <v>40598</v>
      </c>
      <c r="D3093" s="4" t="s">
        <v>21</v>
      </c>
      <c r="E3093" s="4">
        <v>50</v>
      </c>
      <c r="F3093" s="4">
        <v>7778.7579999999998</v>
      </c>
      <c r="G3093" s="4">
        <v>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spans="1:21" ht="12" customHeight="1">
      <c r="A3094" s="4">
        <v>5669</v>
      </c>
      <c r="B3094" s="4">
        <v>40100</v>
      </c>
      <c r="C3094" s="5">
        <f>DATE(2012,12,31)-331</f>
        <v>40943</v>
      </c>
      <c r="D3094" s="4" t="s">
        <v>21</v>
      </c>
      <c r="E3094" s="4">
        <v>47</v>
      </c>
      <c r="F3094" s="4">
        <v>1001.17</v>
      </c>
      <c r="G3094" s="4">
        <v>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spans="1:21" ht="12" customHeight="1">
      <c r="A3095" s="4">
        <v>5712</v>
      </c>
      <c r="B3095" s="4">
        <v>40422</v>
      </c>
      <c r="C3095" s="5">
        <f>DATE(2012,12,31)-532</f>
        <v>40742</v>
      </c>
      <c r="D3095" s="4" t="s">
        <v>78</v>
      </c>
      <c r="E3095" s="4">
        <v>39</v>
      </c>
      <c r="F3095" s="4">
        <v>2192.4389999999999</v>
      </c>
      <c r="G3095" s="4">
        <v>0.06</v>
      </c>
      <c r="H3095" s="4" t="s">
        <v>56</v>
      </c>
      <c r="I3095" s="6">
        <v>517.81500000000005</v>
      </c>
      <c r="J3095" s="4">
        <v>65.989999999999995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spans="1:21" ht="12" customHeight="1">
      <c r="A3096" s="4">
        <v>5743</v>
      </c>
      <c r="B3096" s="4">
        <v>40802</v>
      </c>
      <c r="C3096" s="5">
        <f>DATE(2012,12,31)-119</f>
        <v>41155</v>
      </c>
      <c r="D3096" s="4" t="s">
        <v>30</v>
      </c>
      <c r="E3096" s="4">
        <v>28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3">C3096+1</f>
        <v>41156</v>
      </c>
    </row>
    <row r="3097" spans="1:21" ht="12" customHeight="1">
      <c r="A3097" s="4">
        <v>5755</v>
      </c>
      <c r="B3097" s="4">
        <v>40839</v>
      </c>
      <c r="C3097" s="5">
        <f>DATE(2012,12,31)-275</f>
        <v>40999</v>
      </c>
      <c r="D3097" s="4" t="s">
        <v>63</v>
      </c>
      <c r="E3097" s="4">
        <v>23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3"/>
        <v>41000</v>
      </c>
    </row>
    <row r="3098" spans="1:21" ht="12" customHeight="1">
      <c r="A3098" s="4">
        <v>5831</v>
      </c>
      <c r="B3098" s="4">
        <v>41378</v>
      </c>
      <c r="C3098" s="5">
        <f t="shared" ref="C3098:C3099" si="1284">DATE(2012,12,31)-63</f>
        <v>41211</v>
      </c>
      <c r="D3098" s="4" t="s">
        <v>45</v>
      </c>
      <c r="E3098" s="4">
        <v>30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spans="1:21" ht="12" customHeight="1">
      <c r="A3099" s="4">
        <v>5832</v>
      </c>
      <c r="B3099" s="4">
        <v>41378</v>
      </c>
      <c r="C3099" s="5">
        <f t="shared" si="1284"/>
        <v>41211</v>
      </c>
      <c r="D3099" s="4" t="s">
        <v>45</v>
      </c>
      <c r="E3099" s="4">
        <v>42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5">C3099+2</f>
        <v>41213</v>
      </c>
    </row>
    <row r="3100" spans="1:21" ht="12" customHeight="1">
      <c r="A3100" s="4">
        <v>5849</v>
      </c>
      <c r="B3100" s="4">
        <v>41508</v>
      </c>
      <c r="C3100" s="5">
        <f>DATE(2012,12,31)-829</f>
        <v>40445</v>
      </c>
      <c r="D3100" s="4" t="s">
        <v>30</v>
      </c>
      <c r="E3100" s="4">
        <v>39</v>
      </c>
      <c r="F3100" s="4">
        <v>18561.310000000001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5"/>
        <v>40447</v>
      </c>
    </row>
    <row r="3101" spans="1:21" ht="12" customHeight="1">
      <c r="A3101" s="4">
        <v>5855</v>
      </c>
      <c r="B3101" s="4">
        <v>41569</v>
      </c>
      <c r="C3101" s="5">
        <f>DATE(2012,12,31)-894</f>
        <v>40380</v>
      </c>
      <c r="D3101" s="4" t="s">
        <v>78</v>
      </c>
      <c r="E3101" s="4">
        <v>49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spans="1:21" ht="12" customHeight="1">
      <c r="A3102" s="4">
        <v>5858</v>
      </c>
      <c r="B3102" s="4">
        <v>41571</v>
      </c>
      <c r="C3102" s="5">
        <f>DATE(2012,12,31)-574</f>
        <v>40700</v>
      </c>
      <c r="D3102" s="4" t="s">
        <v>21</v>
      </c>
      <c r="E3102" s="4">
        <v>42</v>
      </c>
      <c r="F3102" s="4">
        <v>906.07</v>
      </c>
      <c r="G3102" s="4">
        <v>0</v>
      </c>
      <c r="H3102" s="4" t="s">
        <v>22</v>
      </c>
      <c r="I3102" s="6">
        <v>-2.66</v>
      </c>
      <c r="J3102" s="4">
        <v>20.149999999999999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0.57999999999999996</v>
      </c>
      <c r="U3102" s="5">
        <f>C3102+9</f>
        <v>40709</v>
      </c>
    </row>
    <row r="3103" spans="1:21" ht="12" customHeight="1">
      <c r="A3103" s="4">
        <v>5931</v>
      </c>
      <c r="B3103" s="4">
        <v>42082</v>
      </c>
      <c r="C3103" s="5">
        <f>DATE(2012,12,31)-379</f>
        <v>40895</v>
      </c>
      <c r="D3103" s="4" t="s">
        <v>78</v>
      </c>
      <c r="E3103" s="4">
        <v>15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spans="1:21" ht="12" customHeight="1">
      <c r="A3104" s="4">
        <v>5980</v>
      </c>
      <c r="B3104" s="4">
        <v>42375</v>
      </c>
      <c r="C3104" s="5">
        <f>DATE(2012,12,31)-822</f>
        <v>40452</v>
      </c>
      <c r="D3104" s="4" t="s">
        <v>30</v>
      </c>
      <c r="E3104" s="4">
        <v>45</v>
      </c>
      <c r="F3104" s="4">
        <v>138.44999999999999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0.57999999999999996</v>
      </c>
      <c r="U3104" s="5">
        <f>C3104+1</f>
        <v>40453</v>
      </c>
    </row>
    <row r="3105" spans="1:21" ht="12" customHeight="1">
      <c r="A3105" s="4">
        <v>6154</v>
      </c>
      <c r="B3105" s="4">
        <v>43585</v>
      </c>
      <c r="C3105" s="5">
        <f>DATE(2012,12,31)-782</f>
        <v>40492</v>
      </c>
      <c r="D3105" s="4" t="s">
        <v>78</v>
      </c>
      <c r="E3105" s="4">
        <v>19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spans="1:21" ht="12" customHeight="1">
      <c r="A3106" s="4">
        <v>6188</v>
      </c>
      <c r="B3106" s="4">
        <v>43874</v>
      </c>
      <c r="C3106" s="5">
        <f>DATE(2012,12,31)-204</f>
        <v>41070</v>
      </c>
      <c r="D3106" s="4" t="s">
        <v>30</v>
      </c>
      <c r="E3106" s="4">
        <v>46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0.56000000000000005</v>
      </c>
      <c r="U3106" s="5">
        <f>C3106+1</f>
        <v>41071</v>
      </c>
    </row>
    <row r="3107" spans="1:21" ht="12" customHeight="1">
      <c r="A3107" s="4">
        <v>6356</v>
      </c>
      <c r="B3107" s="4">
        <v>45059</v>
      </c>
      <c r="C3107" s="5">
        <f>DATE(2012,12,31)-697</f>
        <v>40577</v>
      </c>
      <c r="D3107" s="4" t="s">
        <v>45</v>
      </c>
      <c r="E3107" s="4">
        <v>4</v>
      </c>
      <c r="F3107" s="4">
        <v>130.13999999999999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spans="1:21" ht="12" customHeight="1">
      <c r="A3108" s="4">
        <v>6408</v>
      </c>
      <c r="B3108" s="4">
        <v>45542</v>
      </c>
      <c r="C3108" s="5">
        <f t="shared" ref="C3108:C3109" si="1286">DATE(2012,12,31)-1058</f>
        <v>40216</v>
      </c>
      <c r="D3108" s="4" t="s">
        <v>30</v>
      </c>
      <c r="E3108" s="4">
        <v>37</v>
      </c>
      <c r="F3108" s="4">
        <v>281.79000000000002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spans="1:21" ht="12" customHeight="1">
      <c r="A3109" s="4">
        <v>6409</v>
      </c>
      <c r="B3109" s="4">
        <v>45542</v>
      </c>
      <c r="C3109" s="5">
        <f t="shared" si="1286"/>
        <v>40216</v>
      </c>
      <c r="D3109" s="4" t="s">
        <v>30</v>
      </c>
      <c r="E3109" s="4">
        <v>40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spans="1:21" ht="12" customHeight="1">
      <c r="A3110" s="4">
        <v>6427</v>
      </c>
      <c r="B3110" s="4">
        <v>45698</v>
      </c>
      <c r="C3110" s="5">
        <f t="shared" ref="C3110:C3111" si="1287">DATE(2012,12,31)-252</f>
        <v>41022</v>
      </c>
      <c r="D3110" s="4" t="s">
        <v>30</v>
      </c>
      <c r="E3110" s="4">
        <v>40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19.989999999999998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spans="1:21" ht="12" customHeight="1">
      <c r="A3111" s="4">
        <v>6428</v>
      </c>
      <c r="B3111" s="4">
        <v>45698</v>
      </c>
      <c r="C3111" s="5">
        <f t="shared" si="1287"/>
        <v>41022</v>
      </c>
      <c r="D3111" s="4" t="s">
        <v>30</v>
      </c>
      <c r="E3111" s="4">
        <v>36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4.2300000000000004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spans="1:21" ht="12" customHeight="1">
      <c r="A3112" s="4">
        <v>6516</v>
      </c>
      <c r="B3112" s="4">
        <v>46374</v>
      </c>
      <c r="C3112" s="5">
        <f>DATE(2012,12,31)-908</f>
        <v>40366</v>
      </c>
      <c r="D3112" s="4" t="s">
        <v>30</v>
      </c>
      <c r="E3112" s="4">
        <v>7</v>
      </c>
      <c r="F3112" s="4">
        <v>1822.83</v>
      </c>
      <c r="G3112" s="4">
        <v>0.08</v>
      </c>
      <c r="H3112" s="4" t="s">
        <v>31</v>
      </c>
      <c r="I3112" s="6">
        <v>-627.64115700000002</v>
      </c>
      <c r="J3112" s="4">
        <v>259.70999999999998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8">C3112+2</f>
        <v>40368</v>
      </c>
    </row>
    <row r="3113" spans="1:21" ht="12" customHeight="1">
      <c r="A3113" s="4">
        <v>6519</v>
      </c>
      <c r="B3113" s="4">
        <v>46402</v>
      </c>
      <c r="C3113" s="5">
        <f t="shared" ref="C3113:C3115" si="1289">DATE(2012,12,31)-723</f>
        <v>40551</v>
      </c>
      <c r="D3113" s="4" t="s">
        <v>63</v>
      </c>
      <c r="E3113" s="4">
        <v>27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8.5500000000000007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8"/>
        <v>40553</v>
      </c>
    </row>
    <row r="3114" spans="1:21" ht="12" customHeight="1">
      <c r="A3114" s="4">
        <v>6520</v>
      </c>
      <c r="B3114" s="4">
        <v>46402</v>
      </c>
      <c r="C3114" s="5">
        <f t="shared" si="1289"/>
        <v>40551</v>
      </c>
      <c r="D3114" s="4" t="s">
        <v>63</v>
      </c>
      <c r="E3114" s="4">
        <v>29</v>
      </c>
      <c r="F3114" s="4">
        <v>1777.4689999999998</v>
      </c>
      <c r="G3114" s="4">
        <v>0.01</v>
      </c>
      <c r="H3114" s="4" t="s">
        <v>22</v>
      </c>
      <c r="I3114" s="6">
        <v>166.36500000000001</v>
      </c>
      <c r="J3114" s="4">
        <v>66.989999999999995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0">C3114+1</f>
        <v>40552</v>
      </c>
    </row>
    <row r="3115" spans="1:21" ht="12" customHeight="1">
      <c r="A3115" s="4">
        <v>6521</v>
      </c>
      <c r="B3115" s="4">
        <v>46402</v>
      </c>
      <c r="C3115" s="5">
        <f t="shared" si="1289"/>
        <v>40551</v>
      </c>
      <c r="D3115" s="4" t="s">
        <v>63</v>
      </c>
      <c r="E3115" s="4">
        <v>12</v>
      </c>
      <c r="F3115" s="4">
        <v>1219.1464999999998</v>
      </c>
      <c r="G3115" s="4">
        <v>0.01</v>
      </c>
      <c r="H3115" s="4" t="s">
        <v>56</v>
      </c>
      <c r="I3115" s="6">
        <v>52.929000000000002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0.55000000000000004</v>
      </c>
      <c r="U3115" s="5">
        <f t="shared" si="1290"/>
        <v>40552</v>
      </c>
    </row>
    <row r="3116" spans="1:21" ht="12" customHeight="1">
      <c r="A3116" s="4">
        <v>6522</v>
      </c>
      <c r="B3116" s="4">
        <v>46404</v>
      </c>
      <c r="C3116" s="5">
        <f>DATE(2012,12,31)-302</f>
        <v>40972</v>
      </c>
      <c r="D3116" s="4" t="s">
        <v>78</v>
      </c>
      <c r="E3116" s="4">
        <v>50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0.56000000000000005</v>
      </c>
      <c r="U3116" s="5">
        <f t="shared" si="1290"/>
        <v>40973</v>
      </c>
    </row>
    <row r="3117" spans="1:21" ht="12" customHeight="1">
      <c r="A3117" s="4">
        <v>6528</v>
      </c>
      <c r="B3117" s="4">
        <v>46468</v>
      </c>
      <c r="C3117" s="5">
        <f t="shared" ref="C3117:C3119" si="1291">DATE(2012,12,31)-720</f>
        <v>40554</v>
      </c>
      <c r="D3117" s="4" t="s">
        <v>78</v>
      </c>
      <c r="E3117" s="4">
        <v>46</v>
      </c>
      <c r="F3117" s="4">
        <v>7535.96</v>
      </c>
      <c r="G3117" s="4">
        <v>0.08</v>
      </c>
      <c r="H3117" s="4" t="s">
        <v>22</v>
      </c>
      <c r="I3117" s="6">
        <v>2745.8654999999999</v>
      </c>
      <c r="J3117" s="4">
        <v>165.98</v>
      </c>
      <c r="K3117" s="4">
        <v>19.989999999999998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0"/>
        <v>40555</v>
      </c>
    </row>
    <row r="3118" spans="1:21" ht="12" customHeight="1">
      <c r="A3118" s="4">
        <v>6529</v>
      </c>
      <c r="B3118" s="4">
        <v>46468</v>
      </c>
      <c r="C3118" s="5">
        <f t="shared" si="1291"/>
        <v>40554</v>
      </c>
      <c r="D3118" s="4" t="s">
        <v>78</v>
      </c>
      <c r="E3118" s="4">
        <v>41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39.479999999999997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2">C3118+2</f>
        <v>40556</v>
      </c>
    </row>
    <row r="3119" spans="1:21" ht="12" customHeight="1">
      <c r="A3119" s="4">
        <v>6530</v>
      </c>
      <c r="B3119" s="4">
        <v>46468</v>
      </c>
      <c r="C3119" s="5">
        <f t="shared" si="1291"/>
        <v>40554</v>
      </c>
      <c r="D3119" s="4" t="s">
        <v>78</v>
      </c>
      <c r="E3119" s="4">
        <v>1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2"/>
        <v>40556</v>
      </c>
    </row>
    <row r="3120" spans="1:21" ht="12" customHeight="1">
      <c r="A3120" s="4">
        <v>6533</v>
      </c>
      <c r="B3120" s="4">
        <v>46497</v>
      </c>
      <c r="C3120" s="5">
        <f>DATE(2012,12,31)-195</f>
        <v>41079</v>
      </c>
      <c r="D3120" s="4" t="s">
        <v>30</v>
      </c>
      <c r="E3120" s="4">
        <v>30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20.149999999999999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0.57999999999999996</v>
      </c>
      <c r="U3120" s="5">
        <f t="shared" ref="U3120:U3122" si="1293">C3120+1</f>
        <v>41080</v>
      </c>
    </row>
    <row r="3121" spans="1:21" ht="12" customHeight="1">
      <c r="A3121" s="4">
        <v>6651</v>
      </c>
      <c r="B3121" s="4">
        <v>47303</v>
      </c>
      <c r="C3121" s="5">
        <f t="shared" ref="C3121:C3123" si="1294">DATE(2012,12,31)-392</f>
        <v>40882</v>
      </c>
      <c r="D3121" s="4" t="s">
        <v>63</v>
      </c>
      <c r="E3121" s="4">
        <v>47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3"/>
        <v>40883</v>
      </c>
    </row>
    <row r="3122" spans="1:21" ht="12" customHeight="1">
      <c r="A3122" s="4">
        <v>6652</v>
      </c>
      <c r="B3122" s="4">
        <v>47303</v>
      </c>
      <c r="C3122" s="5">
        <f t="shared" si="1294"/>
        <v>40882</v>
      </c>
      <c r="D3122" s="4" t="s">
        <v>63</v>
      </c>
      <c r="E3122" s="4">
        <v>7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3"/>
        <v>40883</v>
      </c>
    </row>
    <row r="3123" spans="1:21" ht="12" customHeight="1">
      <c r="A3123" s="4">
        <v>6653</v>
      </c>
      <c r="B3123" s="4">
        <v>47303</v>
      </c>
      <c r="C3123" s="5">
        <f t="shared" si="1294"/>
        <v>40882</v>
      </c>
      <c r="D3123" s="4" t="s">
        <v>63</v>
      </c>
      <c r="E3123" s="4">
        <v>45</v>
      </c>
      <c r="F3123" s="4">
        <v>308.92</v>
      </c>
      <c r="G3123" s="4">
        <v>0.04</v>
      </c>
      <c r="H3123" s="4" t="s">
        <v>56</v>
      </c>
      <c r="I3123" s="6">
        <v>-143.58000000000001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5">C3123+2</f>
        <v>40884</v>
      </c>
    </row>
    <row r="3124" spans="1:21" ht="12" customHeight="1">
      <c r="A3124" s="4">
        <v>6672</v>
      </c>
      <c r="B3124" s="4">
        <v>47492</v>
      </c>
      <c r="C3124" s="5">
        <f>DATE(2012,12,31)-527</f>
        <v>40747</v>
      </c>
      <c r="D3124" s="4" t="s">
        <v>30</v>
      </c>
      <c r="E3124" s="4">
        <v>22</v>
      </c>
      <c r="F3124" s="4">
        <v>649.71</v>
      </c>
      <c r="G3124" s="4">
        <v>7.0000000000000007E-2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5"/>
        <v>40749</v>
      </c>
    </row>
    <row r="3125" spans="1:21" ht="12" customHeight="1">
      <c r="A3125" s="4">
        <v>6695</v>
      </c>
      <c r="B3125" s="4">
        <v>47682</v>
      </c>
      <c r="C3125" s="5">
        <f>DATE(2012,12,31)-45</f>
        <v>41229</v>
      </c>
      <c r="D3125" s="4" t="s">
        <v>45</v>
      </c>
      <c r="E3125" s="4">
        <v>38</v>
      </c>
      <c r="F3125" s="4">
        <v>3191.24</v>
      </c>
      <c r="G3125" s="4">
        <v>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spans="1:21" ht="12" customHeight="1">
      <c r="A3126" s="4">
        <v>6921</v>
      </c>
      <c r="B3126" s="4">
        <v>49350</v>
      </c>
      <c r="C3126" s="5">
        <f>DATE(2012,12,31)-131</f>
        <v>41143</v>
      </c>
      <c r="D3126" s="4" t="s">
        <v>30</v>
      </c>
      <c r="E3126" s="4">
        <v>50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spans="1:21" ht="12" customHeight="1">
      <c r="A3127" s="4">
        <v>6966</v>
      </c>
      <c r="B3127" s="4">
        <v>49797</v>
      </c>
      <c r="C3127" s="5">
        <f t="shared" ref="C3127:C3128" si="1296">DATE(2012,12,31)-664</f>
        <v>40610</v>
      </c>
      <c r="D3127" s="4" t="s">
        <v>45</v>
      </c>
      <c r="E3127" s="4">
        <v>27</v>
      </c>
      <c r="F3127" s="4">
        <v>341.1</v>
      </c>
      <c r="G3127" s="4">
        <v>0</v>
      </c>
      <c r="H3127" s="4" t="s">
        <v>22</v>
      </c>
      <c r="I3127" s="6">
        <v>-4.75</v>
      </c>
      <c r="J3127" s="4">
        <v>11.97</v>
      </c>
      <c r="K3127" s="4">
        <v>4.9800000000000004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0.57999999999999996</v>
      </c>
      <c r="U3127" s="5">
        <f t="shared" ref="U3127:U3128" si="1297">C3127+1</f>
        <v>40611</v>
      </c>
    </row>
    <row r="3128" spans="1:21" ht="12" customHeight="1">
      <c r="A3128" s="4">
        <v>6967</v>
      </c>
      <c r="B3128" s="4">
        <v>49797</v>
      </c>
      <c r="C3128" s="5">
        <f t="shared" si="1296"/>
        <v>40610</v>
      </c>
      <c r="D3128" s="4" t="s">
        <v>45</v>
      </c>
      <c r="E3128" s="4">
        <v>26</v>
      </c>
      <c r="F3128" s="4">
        <v>171.68</v>
      </c>
      <c r="G3128" s="4">
        <v>7.0000000000000007E-2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7"/>
        <v>40611</v>
      </c>
    </row>
    <row r="3129" spans="1:21" ht="12" customHeight="1">
      <c r="A3129" s="4">
        <v>7007</v>
      </c>
      <c r="B3129" s="4">
        <v>50017</v>
      </c>
      <c r="C3129" s="5">
        <f t="shared" ref="C3129:C3130" si="1298">DATE(2012,12,31)-41</f>
        <v>41233</v>
      </c>
      <c r="D3129" s="4" t="s">
        <v>21</v>
      </c>
      <c r="E3129" s="4">
        <v>43</v>
      </c>
      <c r="F3129" s="4">
        <v>1502.47</v>
      </c>
      <c r="G3129" s="4">
        <v>7.0000000000000007E-2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0.56000000000000005</v>
      </c>
      <c r="U3129" s="5">
        <f>C3129+2</f>
        <v>41235</v>
      </c>
    </row>
    <row r="3130" spans="1:21" ht="12" customHeight="1">
      <c r="A3130" s="4">
        <v>7008</v>
      </c>
      <c r="B3130" s="4">
        <v>50017</v>
      </c>
      <c r="C3130" s="5">
        <f t="shared" si="1298"/>
        <v>41233</v>
      </c>
      <c r="D3130" s="4" t="s">
        <v>21</v>
      </c>
      <c r="E3130" s="4">
        <v>24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spans="1:21" ht="12" customHeight="1">
      <c r="A3131" s="4">
        <v>7019</v>
      </c>
      <c r="B3131" s="4">
        <v>50083</v>
      </c>
      <c r="C3131" s="5">
        <f>DATE(2012,12,31)-633</f>
        <v>40641</v>
      </c>
      <c r="D3131" s="4" t="s">
        <v>45</v>
      </c>
      <c r="E3131" s="4">
        <v>33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spans="1:21" ht="12" customHeight="1">
      <c r="A3132" s="4">
        <v>7047</v>
      </c>
      <c r="B3132" s="4">
        <v>50307</v>
      </c>
      <c r="C3132" s="5">
        <f t="shared" ref="C3132:C3133" si="1299">DATE(2012,12,31)-808</f>
        <v>40466</v>
      </c>
      <c r="D3132" s="4" t="s">
        <v>21</v>
      </c>
      <c r="E3132" s="4">
        <v>31</v>
      </c>
      <c r="F3132" s="4">
        <v>536.83000000000004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spans="1:21" ht="12" customHeight="1">
      <c r="A3133" s="4">
        <v>7048</v>
      </c>
      <c r="B3133" s="4">
        <v>50307</v>
      </c>
      <c r="C3133" s="5">
        <f t="shared" si="1299"/>
        <v>40466</v>
      </c>
      <c r="D3133" s="4" t="s">
        <v>21</v>
      </c>
      <c r="E3133" s="4">
        <v>32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spans="1:21" ht="12" customHeight="1">
      <c r="A3134" s="4">
        <v>7102</v>
      </c>
      <c r="B3134" s="4">
        <v>50663</v>
      </c>
      <c r="C3134" s="5">
        <f>DATE(2012,12,31)-783</f>
        <v>40491</v>
      </c>
      <c r="D3134" s="4" t="s">
        <v>78</v>
      </c>
      <c r="E3134" s="4">
        <v>26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spans="1:21" ht="12" customHeight="1">
      <c r="A3135" s="4">
        <v>7165</v>
      </c>
      <c r="B3135" s="4">
        <v>51140</v>
      </c>
      <c r="C3135" s="5">
        <f t="shared" ref="C3135:C3137" si="1300">DATE(2012,12,31)-108</f>
        <v>41166</v>
      </c>
      <c r="D3135" s="4" t="s">
        <v>21</v>
      </c>
      <c r="E3135" s="4">
        <v>28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spans="1:21" ht="12" customHeight="1">
      <c r="A3136" s="4">
        <v>7166</v>
      </c>
      <c r="B3136" s="4">
        <v>51140</v>
      </c>
      <c r="C3136" s="5">
        <f t="shared" si="1300"/>
        <v>41166</v>
      </c>
      <c r="D3136" s="4" t="s">
        <v>21</v>
      </c>
      <c r="E3136" s="4">
        <v>14</v>
      </c>
      <c r="F3136" s="4">
        <v>626.33000000000004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0.55000000000000004</v>
      </c>
      <c r="U3136" s="5">
        <f>C3136+4</f>
        <v>41170</v>
      </c>
    </row>
    <row r="3137" spans="1:21" ht="12" customHeight="1">
      <c r="A3137" s="4">
        <v>7167</v>
      </c>
      <c r="B3137" s="4">
        <v>51140</v>
      </c>
      <c r="C3137" s="5">
        <f t="shared" si="1300"/>
        <v>41166</v>
      </c>
      <c r="D3137" s="4" t="s">
        <v>21</v>
      </c>
      <c r="E3137" s="4">
        <v>3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136.97999999999999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spans="1:21" ht="12" customHeight="1">
      <c r="A3138" s="4">
        <v>7177</v>
      </c>
      <c r="B3138" s="4">
        <v>51205</v>
      </c>
      <c r="C3138" s="5">
        <f t="shared" ref="C3138:C3139" si="1301">DATE(2012,12,31)-21</f>
        <v>41253</v>
      </c>
      <c r="D3138" s="4" t="s">
        <v>30</v>
      </c>
      <c r="E3138" s="4">
        <v>17</v>
      </c>
      <c r="F3138" s="4">
        <v>233.01</v>
      </c>
      <c r="G3138" s="4">
        <v>0.04</v>
      </c>
      <c r="H3138" s="4" t="s">
        <v>56</v>
      </c>
      <c r="I3138" s="6">
        <v>88.884500000000003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2">C3138+1</f>
        <v>41254</v>
      </c>
    </row>
    <row r="3139" spans="1:21" ht="12" customHeight="1">
      <c r="A3139" s="4">
        <v>7178</v>
      </c>
      <c r="B3139" s="4">
        <v>51205</v>
      </c>
      <c r="C3139" s="5">
        <f t="shared" si="1301"/>
        <v>41253</v>
      </c>
      <c r="D3139" s="4" t="s">
        <v>30</v>
      </c>
      <c r="E3139" s="4">
        <v>5</v>
      </c>
      <c r="F3139" s="4">
        <v>225.72</v>
      </c>
      <c r="G3139" s="4">
        <v>0</v>
      </c>
      <c r="H3139" s="4" t="s">
        <v>22</v>
      </c>
      <c r="I3139" s="6">
        <v>16.649999999999999</v>
      </c>
      <c r="J3139" s="4">
        <v>39.979999999999997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2"/>
        <v>41254</v>
      </c>
    </row>
    <row r="3140" spans="1:21" ht="12" customHeight="1">
      <c r="A3140" s="4">
        <v>7180</v>
      </c>
      <c r="B3140" s="4">
        <v>51237</v>
      </c>
      <c r="C3140" s="5">
        <f>DATE(2012,12,31)-296</f>
        <v>40978</v>
      </c>
      <c r="D3140" s="4" t="s">
        <v>63</v>
      </c>
      <c r="E3140" s="4">
        <v>26</v>
      </c>
      <c r="F3140" s="4">
        <v>4769.0694999999996</v>
      </c>
      <c r="G3140" s="4">
        <v>0.03</v>
      </c>
      <c r="H3140" s="4" t="s">
        <v>22</v>
      </c>
      <c r="I3140" s="6">
        <v>1138.5809999999999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spans="1:21" ht="12" customHeight="1">
      <c r="A3141" s="4">
        <v>7250</v>
      </c>
      <c r="B3141" s="4">
        <v>51713</v>
      </c>
      <c r="C3141" s="5">
        <f>DATE(2012,12,31)-653</f>
        <v>40621</v>
      </c>
      <c r="D3141" s="4" t="s">
        <v>45</v>
      </c>
      <c r="E3141" s="4">
        <v>35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spans="1:21" ht="12" customHeight="1">
      <c r="A3142" s="4">
        <v>7296</v>
      </c>
      <c r="B3142" s="4">
        <v>52007</v>
      </c>
      <c r="C3142" s="5">
        <f t="shared" ref="C3142:C3143" si="1303">DATE(2012,12,31)-261</f>
        <v>41013</v>
      </c>
      <c r="D3142" s="4" t="s">
        <v>63</v>
      </c>
      <c r="E3142" s="4">
        <v>25</v>
      </c>
      <c r="F3142" s="4">
        <v>68.540000000000006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spans="1:21" ht="12" customHeight="1">
      <c r="A3143" s="4">
        <v>7297</v>
      </c>
      <c r="B3143" s="4">
        <v>52007</v>
      </c>
      <c r="C3143" s="5">
        <f t="shared" si="1303"/>
        <v>41013</v>
      </c>
      <c r="D3143" s="4" t="s">
        <v>63</v>
      </c>
      <c r="E3143" s="4">
        <v>19</v>
      </c>
      <c r="F3143" s="4">
        <v>10351.01</v>
      </c>
      <c r="G3143" s="4">
        <v>0.08</v>
      </c>
      <c r="H3143" s="4" t="s">
        <v>31</v>
      </c>
      <c r="I3143" s="6">
        <v>-1331.5533660000001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spans="1:21" ht="12" customHeight="1">
      <c r="A3144" s="4">
        <v>7317</v>
      </c>
      <c r="B3144" s="4">
        <v>52164</v>
      </c>
      <c r="C3144" s="5">
        <f>DATE(2012,12,31)-262</f>
        <v>41012</v>
      </c>
      <c r="D3144" s="4" t="s">
        <v>45</v>
      </c>
      <c r="E3144" s="4">
        <v>30</v>
      </c>
      <c r="F3144" s="4">
        <v>1824.848</v>
      </c>
      <c r="G3144" s="4">
        <v>0</v>
      </c>
      <c r="H3144" s="4" t="s">
        <v>22</v>
      </c>
      <c r="I3144" s="6">
        <v>364.23</v>
      </c>
      <c r="J3144" s="4">
        <v>65.989999999999995</v>
      </c>
      <c r="K3144" s="4">
        <v>8.8000000000000007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0.57999999999999996</v>
      </c>
      <c r="U3144" s="5">
        <f t="shared" ref="U3144:U3146" si="1304">C3144+2</f>
        <v>41014</v>
      </c>
    </row>
    <row r="3145" spans="1:21" ht="12" customHeight="1">
      <c r="A3145" s="4">
        <v>7367</v>
      </c>
      <c r="B3145" s="4">
        <v>52512</v>
      </c>
      <c r="C3145" s="5">
        <f t="shared" ref="C3145:C3146" si="1305">DATE(2012,12,31)-543</f>
        <v>40731</v>
      </c>
      <c r="D3145" s="4" t="s">
        <v>30</v>
      </c>
      <c r="E3145" s="4">
        <v>4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4.9800000000000004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0.57999999999999996</v>
      </c>
      <c r="U3145" s="5">
        <f t="shared" si="1304"/>
        <v>40733</v>
      </c>
    </row>
    <row r="3146" spans="1:21" ht="12" customHeight="1">
      <c r="A3146" s="4">
        <v>7368</v>
      </c>
      <c r="B3146" s="4">
        <v>52512</v>
      </c>
      <c r="C3146" s="5">
        <f t="shared" si="1305"/>
        <v>40731</v>
      </c>
      <c r="D3146" s="4" t="s">
        <v>30</v>
      </c>
      <c r="E3146" s="4">
        <v>32</v>
      </c>
      <c r="F3146" s="4">
        <v>197.49</v>
      </c>
      <c r="G3146" s="4">
        <v>0.08</v>
      </c>
      <c r="H3146" s="4" t="s">
        <v>56</v>
      </c>
      <c r="I3146" s="6">
        <v>-52.842500000000001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4"/>
        <v>40733</v>
      </c>
    </row>
    <row r="3147" spans="1:21" ht="12" customHeight="1">
      <c r="A3147" s="4">
        <v>7379</v>
      </c>
      <c r="B3147" s="4">
        <v>52611</v>
      </c>
      <c r="C3147" s="5">
        <f>DATE(2012,12,31)-616</f>
        <v>40658</v>
      </c>
      <c r="D3147" s="4" t="s">
        <v>63</v>
      </c>
      <c r="E3147" s="4">
        <v>11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2.1800000000000002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6">C3147+0</f>
        <v>40658</v>
      </c>
    </row>
    <row r="3148" spans="1:21" ht="12" customHeight="1">
      <c r="A3148" s="4">
        <v>7403</v>
      </c>
      <c r="B3148" s="4">
        <v>52805</v>
      </c>
      <c r="C3148" s="5">
        <f>DATE(2012,12,31)-460</f>
        <v>40814</v>
      </c>
      <c r="D3148" s="4" t="s">
        <v>30</v>
      </c>
      <c r="E3148" s="4">
        <v>20</v>
      </c>
      <c r="F3148" s="4">
        <v>596.55999999999995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6"/>
        <v>40814</v>
      </c>
    </row>
    <row r="3149" spans="1:21" ht="12" customHeight="1">
      <c r="A3149" s="4">
        <v>7405</v>
      </c>
      <c r="B3149" s="4">
        <v>52833</v>
      </c>
      <c r="C3149" s="5">
        <f>DATE(2012,12,31)-373</f>
        <v>40901</v>
      </c>
      <c r="D3149" s="4" t="s">
        <v>63</v>
      </c>
      <c r="E3149" s="4">
        <v>8</v>
      </c>
      <c r="F3149" s="4">
        <v>317.82</v>
      </c>
      <c r="G3149" s="4">
        <v>0.02</v>
      </c>
      <c r="H3149" s="4" t="s">
        <v>22</v>
      </c>
      <c r="I3149" s="6">
        <v>-33.090000000000003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0.56999999999999995</v>
      </c>
      <c r="U3149" s="5">
        <f>C3149+1</f>
        <v>40902</v>
      </c>
    </row>
    <row r="3150" spans="1:21" ht="12" customHeight="1">
      <c r="A3150" s="4">
        <v>7423</v>
      </c>
      <c r="B3150" s="4">
        <v>52930</v>
      </c>
      <c r="C3150" s="5">
        <f t="shared" ref="C3150:C3153" si="1307">DATE(2012,12,31)-419</f>
        <v>40855</v>
      </c>
      <c r="D3150" s="4" t="s">
        <v>21</v>
      </c>
      <c r="E3150" s="4">
        <v>16</v>
      </c>
      <c r="F3150" s="4">
        <v>136.97999999999999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spans="1:21" ht="12" customHeight="1">
      <c r="A3151" s="4">
        <v>7424</v>
      </c>
      <c r="B3151" s="4">
        <v>52930</v>
      </c>
      <c r="C3151" s="5">
        <f t="shared" si="1307"/>
        <v>40855</v>
      </c>
      <c r="D3151" s="4" t="s">
        <v>21</v>
      </c>
      <c r="E3151" s="4">
        <v>39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spans="1:21" ht="12" customHeight="1">
      <c r="A3152" s="4">
        <v>7425</v>
      </c>
      <c r="B3152" s="4">
        <v>52930</v>
      </c>
      <c r="C3152" s="5">
        <f t="shared" si="1307"/>
        <v>40855</v>
      </c>
      <c r="D3152" s="4" t="s">
        <v>21</v>
      </c>
      <c r="E3152" s="4">
        <v>24</v>
      </c>
      <c r="F3152" s="4">
        <v>1112.1569999999999</v>
      </c>
      <c r="G3152" s="4">
        <v>0.09</v>
      </c>
      <c r="H3152" s="4" t="s">
        <v>22</v>
      </c>
      <c r="I3152" s="6">
        <v>140.80500000000001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8">C3152+0</f>
        <v>40855</v>
      </c>
    </row>
    <row r="3153" spans="1:21" ht="12" customHeight="1">
      <c r="A3153" s="4">
        <v>7426</v>
      </c>
      <c r="B3153" s="4">
        <v>52930</v>
      </c>
      <c r="C3153" s="5">
        <f t="shared" si="1307"/>
        <v>40855</v>
      </c>
      <c r="D3153" s="4" t="s">
        <v>21</v>
      </c>
      <c r="E3153" s="4">
        <v>40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8"/>
        <v>40855</v>
      </c>
    </row>
    <row r="3154" spans="1:21" ht="12" customHeight="1">
      <c r="A3154" s="4">
        <v>7446</v>
      </c>
      <c r="B3154" s="4">
        <v>53127</v>
      </c>
      <c r="C3154" s="5">
        <f t="shared" ref="C3154:C3155" si="1309">DATE(2012,12,31)-600</f>
        <v>40674</v>
      </c>
      <c r="D3154" s="4" t="s">
        <v>30</v>
      </c>
      <c r="E3154" s="4">
        <v>50</v>
      </c>
      <c r="F3154" s="4">
        <v>1893.29</v>
      </c>
      <c r="G3154" s="4">
        <v>7.0000000000000007E-2</v>
      </c>
      <c r="H3154" s="4" t="s">
        <v>22</v>
      </c>
      <c r="I3154" s="6">
        <v>857.34400000000005</v>
      </c>
      <c r="J3154" s="4">
        <v>37.700000000000003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spans="1:21" ht="12" customHeight="1">
      <c r="A3155" s="4">
        <v>7447</v>
      </c>
      <c r="B3155" s="4">
        <v>53127</v>
      </c>
      <c r="C3155" s="5">
        <f t="shared" si="1309"/>
        <v>40674</v>
      </c>
      <c r="D3155" s="4" t="s">
        <v>30</v>
      </c>
      <c r="E3155" s="4">
        <v>49</v>
      </c>
      <c r="F3155" s="4">
        <v>2628.047</v>
      </c>
      <c r="G3155" s="4">
        <v>0.05</v>
      </c>
      <c r="H3155" s="4" t="s">
        <v>22</v>
      </c>
      <c r="I3155" s="6">
        <v>-137.95099999999999</v>
      </c>
      <c r="J3155" s="4">
        <v>65.989999999999995</v>
      </c>
      <c r="K3155" s="4">
        <v>19.989999999999998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spans="1:21" ht="12" customHeight="1">
      <c r="A3156" s="4">
        <v>7472</v>
      </c>
      <c r="B3156" s="4">
        <v>53349</v>
      </c>
      <c r="C3156" s="5">
        <f>DATE(2012,12,31)-996</f>
        <v>40278</v>
      </c>
      <c r="D3156" s="4" t="s">
        <v>21</v>
      </c>
      <c r="E3156" s="4">
        <v>46</v>
      </c>
      <c r="F3156" s="4">
        <v>11002.66</v>
      </c>
      <c r="G3156" s="4">
        <v>7.0000000000000007E-2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0.55000000000000004</v>
      </c>
      <c r="U3156" s="5">
        <f>C3156+9</f>
        <v>40287</v>
      </c>
    </row>
    <row r="3157" spans="1:21" ht="12" customHeight="1">
      <c r="A3157" s="4">
        <v>7518</v>
      </c>
      <c r="B3157" s="4">
        <v>53671</v>
      </c>
      <c r="C3157" s="5">
        <f t="shared" ref="C3157:C3159" si="1310">DATE(2012,12,31)-570</f>
        <v>40704</v>
      </c>
      <c r="D3157" s="4" t="s">
        <v>63</v>
      </c>
      <c r="E3157" s="4">
        <v>41</v>
      </c>
      <c r="F3157" s="4">
        <v>236.68</v>
      </c>
      <c r="G3157" s="4">
        <v>0.08</v>
      </c>
      <c r="H3157" s="4" t="s">
        <v>22</v>
      </c>
      <c r="I3157" s="6">
        <v>-82.788499999999999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1">C3157+1</f>
        <v>40705</v>
      </c>
    </row>
    <row r="3158" spans="1:21" ht="12" customHeight="1">
      <c r="A3158" s="4">
        <v>7519</v>
      </c>
      <c r="B3158" s="4">
        <v>53671</v>
      </c>
      <c r="C3158" s="5">
        <f t="shared" si="1310"/>
        <v>40704</v>
      </c>
      <c r="D3158" s="4" t="s">
        <v>63</v>
      </c>
      <c r="E3158" s="4">
        <v>43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19.989999999999998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1"/>
        <v>40705</v>
      </c>
    </row>
    <row r="3159" spans="1:21" ht="12" customHeight="1">
      <c r="A3159" s="4">
        <v>7520</v>
      </c>
      <c r="B3159" s="4">
        <v>53671</v>
      </c>
      <c r="C3159" s="5">
        <f t="shared" si="1310"/>
        <v>40704</v>
      </c>
      <c r="D3159" s="4" t="s">
        <v>63</v>
      </c>
      <c r="E3159" s="4">
        <v>39</v>
      </c>
      <c r="F3159" s="4">
        <v>616.5</v>
      </c>
      <c r="G3159" s="4">
        <v>0.02</v>
      </c>
      <c r="H3159" s="4" t="s">
        <v>22</v>
      </c>
      <c r="I3159" s="6">
        <v>25.992999999999999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1"/>
        <v>40705</v>
      </c>
    </row>
    <row r="3160" spans="1:21" ht="12" customHeight="1">
      <c r="A3160" s="4">
        <v>7528</v>
      </c>
      <c r="B3160" s="4">
        <v>53795</v>
      </c>
      <c r="C3160" s="5">
        <f t="shared" ref="C3160:C3161" si="1312">DATE(2012,12,31)-336</f>
        <v>40938</v>
      </c>
      <c r="D3160" s="4" t="s">
        <v>30</v>
      </c>
      <c r="E3160" s="4">
        <v>40</v>
      </c>
      <c r="F3160" s="4">
        <v>264.60000000000002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1"/>
        <v>40939</v>
      </c>
    </row>
    <row r="3161" spans="1:21" ht="12" customHeight="1">
      <c r="A3161" s="4">
        <v>7529</v>
      </c>
      <c r="B3161" s="4">
        <v>53795</v>
      </c>
      <c r="C3161" s="5">
        <f t="shared" si="1312"/>
        <v>40938</v>
      </c>
      <c r="D3161" s="4" t="s">
        <v>30</v>
      </c>
      <c r="E3161" s="4">
        <v>21</v>
      </c>
      <c r="F3161" s="4">
        <v>3356.7349999999997</v>
      </c>
      <c r="G3161" s="4">
        <v>0.05</v>
      </c>
      <c r="H3161" s="4" t="s">
        <v>22</v>
      </c>
      <c r="I3161" s="6">
        <v>370.33199999999999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3">C3161+2</f>
        <v>40940</v>
      </c>
    </row>
    <row r="3162" spans="1:21" ht="12" customHeight="1">
      <c r="A3162" s="4">
        <v>7579</v>
      </c>
      <c r="B3162" s="4">
        <v>54209</v>
      </c>
      <c r="C3162" s="5">
        <f>DATE(2012,12,31)-138</f>
        <v>41136</v>
      </c>
      <c r="D3162" s="4" t="s">
        <v>63</v>
      </c>
      <c r="E3162" s="4">
        <v>21</v>
      </c>
      <c r="F3162" s="4">
        <v>664.98900000000003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3"/>
        <v>41138</v>
      </c>
    </row>
    <row r="3163" spans="1:21" ht="12" customHeight="1">
      <c r="A3163" s="4">
        <v>7652</v>
      </c>
      <c r="B3163" s="4">
        <v>54850</v>
      </c>
      <c r="C3163" s="5">
        <f t="shared" ref="C3163:C3164" si="1314">DATE(2012,12,31)-738</f>
        <v>40536</v>
      </c>
      <c r="D3163" s="4" t="s">
        <v>45</v>
      </c>
      <c r="E3163" s="4">
        <v>16</v>
      </c>
      <c r="F3163" s="4">
        <v>2834.96</v>
      </c>
      <c r="G3163" s="4">
        <v>7.0000000000000007E-2</v>
      </c>
      <c r="H3163" s="4" t="s">
        <v>22</v>
      </c>
      <c r="I3163" s="6">
        <v>587.64</v>
      </c>
      <c r="J3163" s="4">
        <v>178.47</v>
      </c>
      <c r="K3163" s="4">
        <v>19.989999999999998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0.55000000000000004</v>
      </c>
      <c r="U3163" s="5">
        <f>C3163+0</f>
        <v>40536</v>
      </c>
    </row>
    <row r="3164" spans="1:21" ht="12" customHeight="1">
      <c r="A3164" s="4">
        <v>7653</v>
      </c>
      <c r="B3164" s="4">
        <v>54850</v>
      </c>
      <c r="C3164" s="5">
        <f t="shared" si="1314"/>
        <v>40536</v>
      </c>
      <c r="D3164" s="4" t="s">
        <v>45</v>
      </c>
      <c r="E3164" s="4">
        <v>9</v>
      </c>
      <c r="F3164" s="4">
        <v>953.98899999999992</v>
      </c>
      <c r="G3164" s="4">
        <v>0.02</v>
      </c>
      <c r="H3164" s="4" t="s">
        <v>22</v>
      </c>
      <c r="I3164" s="6">
        <v>-249.32599999999999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0.56999999999999995</v>
      </c>
      <c r="U3164" s="5">
        <f t="shared" ref="U3164:U3167" si="1315">C3164+1</f>
        <v>40537</v>
      </c>
    </row>
    <row r="3165" spans="1:21" ht="12" customHeight="1">
      <c r="A3165" s="4">
        <v>7666</v>
      </c>
      <c r="B3165" s="4">
        <v>54950</v>
      </c>
      <c r="C3165" s="5">
        <f t="shared" ref="C3165:C3166" si="1316">DATE(2012,12,31)-757</f>
        <v>40517</v>
      </c>
      <c r="D3165" s="4" t="s">
        <v>30</v>
      </c>
      <c r="E3165" s="4">
        <v>26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0.57999999999999996</v>
      </c>
      <c r="U3165" s="5">
        <f t="shared" si="1315"/>
        <v>40518</v>
      </c>
    </row>
    <row r="3166" spans="1:21" ht="12" customHeight="1">
      <c r="A3166" s="4">
        <v>7667</v>
      </c>
      <c r="B3166" s="4">
        <v>54950</v>
      </c>
      <c r="C3166" s="5">
        <f t="shared" si="1316"/>
        <v>40517</v>
      </c>
      <c r="D3166" s="4" t="s">
        <v>30</v>
      </c>
      <c r="E3166" s="4">
        <v>22</v>
      </c>
      <c r="F3166" s="4">
        <v>8789.5400000000009</v>
      </c>
      <c r="G3166" s="4">
        <v>7.0000000000000007E-2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5"/>
        <v>40518</v>
      </c>
    </row>
    <row r="3167" spans="1:21" ht="12" customHeight="1">
      <c r="A3167" s="4">
        <v>7697</v>
      </c>
      <c r="B3167" s="4">
        <v>55172</v>
      </c>
      <c r="C3167" s="5">
        <f>DATE(2012,12,31)-759</f>
        <v>40515</v>
      </c>
      <c r="D3167" s="4" t="s">
        <v>45</v>
      </c>
      <c r="E3167" s="4">
        <v>1</v>
      </c>
      <c r="F3167" s="4">
        <v>37.89</v>
      </c>
      <c r="G3167" s="4">
        <v>0</v>
      </c>
      <c r="H3167" s="4" t="s">
        <v>22</v>
      </c>
      <c r="I3167" s="6">
        <v>-120.97</v>
      </c>
      <c r="J3167" s="4">
        <v>35.409999999999997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5"/>
        <v>40516</v>
      </c>
    </row>
    <row r="3168" spans="1:21" ht="12" customHeight="1">
      <c r="A3168" s="4">
        <v>7706</v>
      </c>
      <c r="B3168" s="4">
        <v>55235</v>
      </c>
      <c r="C3168" s="5">
        <f>DATE(2012,12,31)-817</f>
        <v>40457</v>
      </c>
      <c r="D3168" s="4" t="s">
        <v>21</v>
      </c>
      <c r="E3168" s="4">
        <v>33</v>
      </c>
      <c r="F3168" s="4">
        <v>2532.6175000000003</v>
      </c>
      <c r="G3168" s="4">
        <v>0</v>
      </c>
      <c r="H3168" s="4" t="s">
        <v>22</v>
      </c>
      <c r="I3168" s="6">
        <v>730.51199999999994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0.57999999999999996</v>
      </c>
      <c r="U3168" s="5">
        <f>C3168+2</f>
        <v>40459</v>
      </c>
    </row>
    <row r="3169" spans="1:21" ht="12" customHeight="1">
      <c r="A3169" s="4">
        <v>7736</v>
      </c>
      <c r="B3169" s="4">
        <v>55398</v>
      </c>
      <c r="C3169" s="5">
        <f>DATE(2012,12,31)-1076</f>
        <v>40198</v>
      </c>
      <c r="D3169" s="4" t="s">
        <v>63</v>
      </c>
      <c r="E3169" s="4">
        <v>21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0.56999999999999995</v>
      </c>
      <c r="U3169" s="5">
        <f t="shared" ref="U3169:U3170" si="1317">C3169+1</f>
        <v>40199</v>
      </c>
    </row>
    <row r="3170" spans="1:21" ht="12" customHeight="1">
      <c r="A3170" s="4">
        <v>7791</v>
      </c>
      <c r="B3170" s="4">
        <v>55747</v>
      </c>
      <c r="C3170" s="5">
        <f t="shared" ref="C3170:C3171" si="1318">DATE(2012,12,31)-29</f>
        <v>41245</v>
      </c>
      <c r="D3170" s="4" t="s">
        <v>30</v>
      </c>
      <c r="E3170" s="4">
        <v>36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7"/>
        <v>41246</v>
      </c>
    </row>
    <row r="3171" spans="1:21" ht="12" customHeight="1">
      <c r="A3171" s="4">
        <v>7792</v>
      </c>
      <c r="B3171" s="4">
        <v>55747</v>
      </c>
      <c r="C3171" s="5">
        <f t="shared" si="1318"/>
        <v>41245</v>
      </c>
      <c r="D3171" s="4" t="s">
        <v>30</v>
      </c>
      <c r="E3171" s="4">
        <v>42</v>
      </c>
      <c r="F3171" s="4">
        <v>19845.696</v>
      </c>
      <c r="G3171" s="4">
        <v>0.01</v>
      </c>
      <c r="H3171" s="4" t="s">
        <v>31</v>
      </c>
      <c r="I3171" s="6">
        <v>-1331.5533660000001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spans="1:21" ht="12" customHeight="1">
      <c r="A3172" s="4">
        <v>7798</v>
      </c>
      <c r="B3172" s="4">
        <v>55779</v>
      </c>
      <c r="C3172" s="5">
        <f>DATE(2012,12,31)-296</f>
        <v>40978</v>
      </c>
      <c r="D3172" s="4" t="s">
        <v>78</v>
      </c>
      <c r="E3172" s="4">
        <v>26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160.97999999999999</v>
      </c>
      <c r="K3172" s="4">
        <v>30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19">C3172+1</f>
        <v>40979</v>
      </c>
    </row>
    <row r="3173" spans="1:21" ht="12" customHeight="1">
      <c r="A3173" s="4">
        <v>7886</v>
      </c>
      <c r="B3173" s="4">
        <v>56418</v>
      </c>
      <c r="C3173" s="5">
        <f>DATE(2012,12,31)-263</f>
        <v>41011</v>
      </c>
      <c r="D3173" s="4" t="s">
        <v>78</v>
      </c>
      <c r="E3173" s="4">
        <v>47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8.2200000000000006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0.56999999999999995</v>
      </c>
      <c r="U3173" s="5">
        <f t="shared" si="1319"/>
        <v>41012</v>
      </c>
    </row>
    <row r="3174" spans="1:21" ht="12" customHeight="1">
      <c r="A3174" s="4">
        <v>7911</v>
      </c>
      <c r="B3174" s="4">
        <v>56580</v>
      </c>
      <c r="C3174" s="5">
        <f t="shared" ref="C3174:C3176" si="1320">DATE(2012,12,31)-505</f>
        <v>40769</v>
      </c>
      <c r="D3174" s="4" t="s">
        <v>45</v>
      </c>
      <c r="E3174" s="4">
        <v>9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spans="1:21" ht="12" customHeight="1">
      <c r="A3175" s="4">
        <v>7912</v>
      </c>
      <c r="B3175" s="4">
        <v>56580</v>
      </c>
      <c r="C3175" s="5">
        <f t="shared" si="1320"/>
        <v>40769</v>
      </c>
      <c r="D3175" s="4" t="s">
        <v>45</v>
      </c>
      <c r="E3175" s="4">
        <v>44</v>
      </c>
      <c r="F3175" s="4">
        <v>950.3</v>
      </c>
      <c r="G3175" s="4">
        <v>0.1</v>
      </c>
      <c r="H3175" s="4" t="s">
        <v>31</v>
      </c>
      <c r="I3175" s="6">
        <v>-2103.0500000000002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1">C3175+2</f>
        <v>40771</v>
      </c>
    </row>
    <row r="3176" spans="1:21" ht="12" customHeight="1">
      <c r="A3176" s="4">
        <v>7913</v>
      </c>
      <c r="B3176" s="4">
        <v>56580</v>
      </c>
      <c r="C3176" s="5">
        <f t="shared" si="1320"/>
        <v>40769</v>
      </c>
      <c r="D3176" s="4" t="s">
        <v>45</v>
      </c>
      <c r="E3176" s="4">
        <v>29</v>
      </c>
      <c r="F3176" s="4">
        <v>8122.53</v>
      </c>
      <c r="G3176" s="4">
        <v>0.05</v>
      </c>
      <c r="H3176" s="4" t="s">
        <v>31</v>
      </c>
      <c r="I3176" s="6">
        <v>-693.23039500000016</v>
      </c>
      <c r="J3176" s="4">
        <v>286.85000000000002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1"/>
        <v>40771</v>
      </c>
    </row>
    <row r="3177" spans="1:21" ht="12" customHeight="1">
      <c r="A3177" s="4">
        <v>7957</v>
      </c>
      <c r="B3177" s="4">
        <v>56837</v>
      </c>
      <c r="C3177" s="5">
        <f>DATE(2012,12,31)-748</f>
        <v>40526</v>
      </c>
      <c r="D3177" s="4" t="s">
        <v>21</v>
      </c>
      <c r="E3177" s="4">
        <v>10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spans="1:21" ht="12" customHeight="1">
      <c r="A3178" s="4">
        <v>7984</v>
      </c>
      <c r="B3178" s="4">
        <v>57091</v>
      </c>
      <c r="C3178" s="5">
        <f>DATE(2012,12,31)-427</f>
        <v>40847</v>
      </c>
      <c r="D3178" s="4" t="s">
        <v>63</v>
      </c>
      <c r="E3178" s="4">
        <v>6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spans="1:21" ht="12" customHeight="1">
      <c r="A3179" s="4">
        <v>8003</v>
      </c>
      <c r="B3179" s="4">
        <v>57185</v>
      </c>
      <c r="C3179" s="5">
        <f>DATE(2012,12,31)-588</f>
        <v>40686</v>
      </c>
      <c r="D3179" s="4" t="s">
        <v>63</v>
      </c>
      <c r="E3179" s="4">
        <v>28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0.56999999999999995</v>
      </c>
      <c r="U3179" s="5">
        <f>C3179+2</f>
        <v>40688</v>
      </c>
    </row>
    <row r="3180" spans="1:21" ht="12" customHeight="1">
      <c r="A3180" s="4">
        <v>8082</v>
      </c>
      <c r="B3180" s="4">
        <v>57639</v>
      </c>
      <c r="C3180" s="5">
        <f>DATE(2012,12,31)-894</f>
        <v>40380</v>
      </c>
      <c r="D3180" s="4" t="s">
        <v>78</v>
      </c>
      <c r="E3180" s="4">
        <v>24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0.56000000000000005</v>
      </c>
      <c r="U3180" s="5">
        <f>C3180+0</f>
        <v>40380</v>
      </c>
    </row>
    <row r="3181" spans="1:21" ht="12" customHeight="1">
      <c r="A3181" s="4">
        <v>8177</v>
      </c>
      <c r="B3181" s="4">
        <v>58435</v>
      </c>
      <c r="C3181" s="5">
        <f>DATE(2012,12,31)-238</f>
        <v>41036</v>
      </c>
      <c r="D3181" s="4" t="s">
        <v>21</v>
      </c>
      <c r="E3181" s="4">
        <v>11</v>
      </c>
      <c r="F3181" s="4">
        <v>273.44</v>
      </c>
      <c r="G3181" s="4">
        <v>0.01</v>
      </c>
      <c r="H3181" s="4" t="s">
        <v>22</v>
      </c>
      <c r="I3181" s="6">
        <v>-35.615499999999997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2">C3181+2</f>
        <v>41038</v>
      </c>
    </row>
    <row r="3182" spans="1:21" ht="12" customHeight="1">
      <c r="A3182" s="4">
        <v>8251</v>
      </c>
      <c r="B3182" s="4">
        <v>59009</v>
      </c>
      <c r="C3182" s="5">
        <f>DATE(2012,12,31)-409</f>
        <v>40865</v>
      </c>
      <c r="D3182" s="4" t="s">
        <v>78</v>
      </c>
      <c r="E3182" s="4">
        <v>19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17.079999999999998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2"/>
        <v>40867</v>
      </c>
    </row>
    <row r="3183" spans="1:21" ht="12" customHeight="1">
      <c r="A3183" s="4">
        <v>8325</v>
      </c>
      <c r="B3183" s="4">
        <v>59491</v>
      </c>
      <c r="C3183" s="5">
        <f>DATE(2012,12,31)-282</f>
        <v>40992</v>
      </c>
      <c r="D3183" s="4" t="s">
        <v>30</v>
      </c>
      <c r="E3183" s="4">
        <v>31</v>
      </c>
      <c r="F3183" s="4">
        <v>12470.31</v>
      </c>
      <c r="G3183" s="4">
        <v>0.04</v>
      </c>
      <c r="H3183" s="4" t="s">
        <v>22</v>
      </c>
      <c r="I3183" s="6">
        <v>5528.5020000000004</v>
      </c>
      <c r="J3183" s="4">
        <v>387.99</v>
      </c>
      <c r="K3183" s="4">
        <v>19.989999999999998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spans="1:21" ht="12" customHeight="1">
      <c r="A3184" s="4">
        <v>8330</v>
      </c>
      <c r="B3184" s="4">
        <v>59554</v>
      </c>
      <c r="C3184" s="5">
        <f>DATE(2012,12,31)-412</f>
        <v>40862</v>
      </c>
      <c r="D3184" s="4" t="s">
        <v>78</v>
      </c>
      <c r="E3184" s="4">
        <v>40</v>
      </c>
      <c r="F3184" s="4">
        <v>718.6</v>
      </c>
      <c r="G3184" s="4">
        <v>0.08</v>
      </c>
      <c r="H3184" s="4" t="s">
        <v>22</v>
      </c>
      <c r="I3184" s="6">
        <v>-81.489999999999995</v>
      </c>
      <c r="J3184" s="4">
        <v>17.98</v>
      </c>
      <c r="K3184" s="4">
        <v>4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spans="1:21" ht="12" customHeight="1">
      <c r="A3185" s="4">
        <v>8334</v>
      </c>
      <c r="B3185" s="4">
        <v>59559</v>
      </c>
      <c r="C3185" s="5">
        <f>DATE(2012,12,31)-836</f>
        <v>40438</v>
      </c>
      <c r="D3185" s="4" t="s">
        <v>78</v>
      </c>
      <c r="E3185" s="4">
        <v>30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spans="1:21" ht="12" customHeight="1">
      <c r="A3186" s="4">
        <v>8385</v>
      </c>
      <c r="B3186" s="4">
        <v>59906</v>
      </c>
      <c r="C3186" s="5">
        <f>DATE(2012,12,31)-956</f>
        <v>40318</v>
      </c>
      <c r="D3186" s="4" t="s">
        <v>30</v>
      </c>
      <c r="E3186" s="4">
        <v>32</v>
      </c>
      <c r="F3186" s="4">
        <v>284.92</v>
      </c>
      <c r="G3186" s="4">
        <v>0.03</v>
      </c>
      <c r="H3186" s="4" t="s">
        <v>22</v>
      </c>
      <c r="I3186" s="6">
        <v>81.290000000000006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3">C3186+2</f>
        <v>40320</v>
      </c>
    </row>
    <row r="3187" spans="1:21" ht="12" customHeight="1">
      <c r="A3187" s="4">
        <v>78</v>
      </c>
      <c r="B3187" s="4">
        <v>454</v>
      </c>
      <c r="C3187" s="5">
        <f>DATE(2012,12,31)-371</f>
        <v>40903</v>
      </c>
      <c r="D3187" s="4" t="s">
        <v>21</v>
      </c>
      <c r="E3187" s="4">
        <v>42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3"/>
        <v>40905</v>
      </c>
    </row>
    <row r="3188" spans="1:21" ht="12" customHeight="1">
      <c r="A3188" s="4">
        <v>90</v>
      </c>
      <c r="B3188" s="4">
        <v>549</v>
      </c>
      <c r="C3188" s="5">
        <f t="shared" ref="C3188:C3190" si="1324">DATE(2012,12,31)-172</f>
        <v>41102</v>
      </c>
      <c r="D3188" s="4" t="s">
        <v>78</v>
      </c>
      <c r="E3188" s="4">
        <v>13</v>
      </c>
      <c r="F3188" s="4">
        <v>70.239999999999995</v>
      </c>
      <c r="G3188" s="4">
        <v>0.03</v>
      </c>
      <c r="H3188" s="4" t="s">
        <v>22</v>
      </c>
      <c r="I3188" s="6">
        <v>-59.75</v>
      </c>
      <c r="J3188" s="4">
        <v>4.9800000000000004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5">C3188+1</f>
        <v>41103</v>
      </c>
    </row>
    <row r="3189" spans="1:21" ht="12" customHeight="1">
      <c r="A3189" s="4">
        <v>91</v>
      </c>
      <c r="B3189" s="4">
        <v>549</v>
      </c>
      <c r="C3189" s="5">
        <f t="shared" si="1324"/>
        <v>41102</v>
      </c>
      <c r="D3189" s="4" t="s">
        <v>78</v>
      </c>
      <c r="E3189" s="4">
        <v>5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5"/>
        <v>41103</v>
      </c>
    </row>
    <row r="3190" spans="1:21" ht="12" customHeight="1">
      <c r="A3190" s="4">
        <v>92</v>
      </c>
      <c r="B3190" s="4">
        <v>549</v>
      </c>
      <c r="C3190" s="5">
        <f t="shared" si="1324"/>
        <v>41102</v>
      </c>
      <c r="D3190" s="4" t="s">
        <v>78</v>
      </c>
      <c r="E3190" s="4">
        <v>30</v>
      </c>
      <c r="F3190" s="4">
        <v>1150.8800000000001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spans="1:21" ht="12" customHeight="1">
      <c r="A3191" s="4">
        <v>162</v>
      </c>
      <c r="B3191" s="4">
        <v>999</v>
      </c>
      <c r="C3191" s="5">
        <f>DATE(2012,12,31)-849</f>
        <v>40425</v>
      </c>
      <c r="D3191" s="4" t="s">
        <v>21</v>
      </c>
      <c r="E3191" s="4">
        <v>6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19.989999999999998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spans="1:21" ht="12" customHeight="1">
      <c r="A3192" s="4">
        <v>195</v>
      </c>
      <c r="B3192" s="4">
        <v>1286</v>
      </c>
      <c r="C3192" s="5">
        <f t="shared" ref="C3192:C3193" si="1326">DATE(2012,12,31)-963</f>
        <v>40311</v>
      </c>
      <c r="D3192" s="4" t="s">
        <v>45</v>
      </c>
      <c r="E3192" s="4">
        <v>46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spans="1:21" ht="12" customHeight="1">
      <c r="A3193" s="4">
        <v>196</v>
      </c>
      <c r="B3193" s="4">
        <v>1286</v>
      </c>
      <c r="C3193" s="5">
        <f t="shared" si="1326"/>
        <v>40311</v>
      </c>
      <c r="D3193" s="4" t="s">
        <v>45</v>
      </c>
      <c r="E3193" s="4">
        <v>14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spans="1:21" ht="12" customHeight="1">
      <c r="A3194" s="4">
        <v>266</v>
      </c>
      <c r="B3194" s="4">
        <v>1831</v>
      </c>
      <c r="C3194" s="5">
        <f>DATE(2012,12,31)-761</f>
        <v>40513</v>
      </c>
      <c r="D3194" s="4" t="s">
        <v>78</v>
      </c>
      <c r="E3194" s="4">
        <v>33</v>
      </c>
      <c r="F3194" s="4">
        <v>12586.19</v>
      </c>
      <c r="G3194" s="4">
        <v>0</v>
      </c>
      <c r="H3194" s="4" t="s">
        <v>31</v>
      </c>
      <c r="I3194" s="6">
        <v>619.71</v>
      </c>
      <c r="J3194" s="4">
        <v>370.98</v>
      </c>
      <c r="K3194" s="4">
        <v>99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spans="1:21" ht="12" customHeight="1">
      <c r="A3195" s="4">
        <v>286</v>
      </c>
      <c r="B3195" s="4">
        <v>1991</v>
      </c>
      <c r="C3195" s="5">
        <f t="shared" ref="C3195:C3196" si="1327">DATE(2012,12,31)-116</f>
        <v>41158</v>
      </c>
      <c r="D3195" s="4" t="s">
        <v>45</v>
      </c>
      <c r="E3195" s="4">
        <v>27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136.97999999999999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spans="1:21" ht="12" customHeight="1">
      <c r="A3196" s="4">
        <v>287</v>
      </c>
      <c r="B3196" s="4">
        <v>1991</v>
      </c>
      <c r="C3196" s="5">
        <f t="shared" si="1327"/>
        <v>41158</v>
      </c>
      <c r="D3196" s="4" t="s">
        <v>45</v>
      </c>
      <c r="E3196" s="4">
        <v>37</v>
      </c>
      <c r="F3196" s="4">
        <v>14383.83</v>
      </c>
      <c r="G3196" s="4">
        <v>0.01</v>
      </c>
      <c r="H3196" s="4" t="s">
        <v>31</v>
      </c>
      <c r="I3196" s="6">
        <v>5050.1000000000004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0.56000000000000005</v>
      </c>
      <c r="U3196" s="5">
        <f>C3196+1</f>
        <v>41159</v>
      </c>
    </row>
    <row r="3197" spans="1:21" ht="12" customHeight="1">
      <c r="A3197" s="4">
        <v>653</v>
      </c>
      <c r="B3197" s="4">
        <v>4610</v>
      </c>
      <c r="C3197" s="5">
        <f t="shared" ref="C3197:C3198" si="1328">DATE(2012,12,31)-928</f>
        <v>40346</v>
      </c>
      <c r="D3197" s="4" t="s">
        <v>21</v>
      </c>
      <c r="E3197" s="4">
        <v>8</v>
      </c>
      <c r="F3197" s="4">
        <v>66.88</v>
      </c>
      <c r="G3197" s="4">
        <v>0.09</v>
      </c>
      <c r="H3197" s="4" t="s">
        <v>22</v>
      </c>
      <c r="I3197" s="6">
        <v>-17.010000000000002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spans="1:21" ht="12" customHeight="1">
      <c r="A3198" s="4">
        <v>654</v>
      </c>
      <c r="B3198" s="4">
        <v>4610</v>
      </c>
      <c r="C3198" s="5">
        <f t="shared" si="1328"/>
        <v>40346</v>
      </c>
      <c r="D3198" s="4" t="s">
        <v>21</v>
      </c>
      <c r="E3198" s="4">
        <v>29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spans="1:21" ht="12" customHeight="1">
      <c r="A3199" s="4">
        <v>794</v>
      </c>
      <c r="B3199" s="4">
        <v>5697</v>
      </c>
      <c r="C3199" s="5">
        <f>DATE(2012,12,31)-88</f>
        <v>41186</v>
      </c>
      <c r="D3199" s="4" t="s">
        <v>78</v>
      </c>
      <c r="E3199" s="4">
        <v>31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spans="1:21" ht="12" customHeight="1">
      <c r="A3200" s="4">
        <v>832</v>
      </c>
      <c r="B3200" s="4">
        <v>5986</v>
      </c>
      <c r="C3200" s="5">
        <f t="shared" ref="C3200:C3202" si="1329">DATE(2012,12,31)-254</f>
        <v>41020</v>
      </c>
      <c r="D3200" s="4" t="s">
        <v>30</v>
      </c>
      <c r="E3200" s="4">
        <v>48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spans="1:21" ht="12" customHeight="1">
      <c r="A3201" s="4">
        <v>833</v>
      </c>
      <c r="B3201" s="4">
        <v>5986</v>
      </c>
      <c r="C3201" s="5">
        <f t="shared" si="1329"/>
        <v>41020</v>
      </c>
      <c r="D3201" s="4" t="s">
        <v>30</v>
      </c>
      <c r="E3201" s="4">
        <v>20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0.56000000000000005</v>
      </c>
      <c r="U3201" s="5">
        <f t="shared" ref="U3201:U3202" si="1330">C3201+1</f>
        <v>41021</v>
      </c>
    </row>
    <row r="3202" spans="1:21" ht="12" customHeight="1">
      <c r="A3202" s="4">
        <v>834</v>
      </c>
      <c r="B3202" s="4">
        <v>5986</v>
      </c>
      <c r="C3202" s="5">
        <f t="shared" si="1329"/>
        <v>41020</v>
      </c>
      <c r="D3202" s="4" t="s">
        <v>30</v>
      </c>
      <c r="E3202" s="4">
        <v>41</v>
      </c>
      <c r="F3202" s="4">
        <v>205.24</v>
      </c>
      <c r="G3202" s="4">
        <v>0.03</v>
      </c>
      <c r="H3202" s="4" t="s">
        <v>22</v>
      </c>
      <c r="I3202" s="6">
        <v>-148.77000000000001</v>
      </c>
      <c r="J3202" s="4">
        <v>4.8899999999999997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0"/>
        <v>41021</v>
      </c>
    </row>
    <row r="3203" spans="1:21" ht="12" customHeight="1">
      <c r="A3203" s="4">
        <v>845</v>
      </c>
      <c r="B3203" s="4">
        <v>6053</v>
      </c>
      <c r="C3203" s="5">
        <f>DATE(2012,12,31)-751</f>
        <v>40523</v>
      </c>
      <c r="D3203" s="4" t="s">
        <v>63</v>
      </c>
      <c r="E3203" s="4">
        <v>4</v>
      </c>
      <c r="F3203" s="4">
        <v>16.079999999999998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1">C3203+2</f>
        <v>40525</v>
      </c>
    </row>
    <row r="3204" spans="1:21" ht="12" customHeight="1">
      <c r="A3204" s="4">
        <v>893</v>
      </c>
      <c r="B3204" s="4">
        <v>6432</v>
      </c>
      <c r="C3204" s="5">
        <f>DATE(2012,12,31)-417</f>
        <v>40857</v>
      </c>
      <c r="D3204" s="4" t="s">
        <v>78</v>
      </c>
      <c r="E3204" s="4">
        <v>30</v>
      </c>
      <c r="F3204" s="4">
        <v>311.08</v>
      </c>
      <c r="G3204" s="4">
        <v>0.08</v>
      </c>
      <c r="H3204" s="4" t="s">
        <v>22</v>
      </c>
      <c r="I3204" s="6">
        <v>-38.450000000000003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1"/>
        <v>40859</v>
      </c>
    </row>
    <row r="3205" spans="1:21" ht="12" customHeight="1">
      <c r="A3205" s="4">
        <v>906</v>
      </c>
      <c r="B3205" s="4">
        <v>6502</v>
      </c>
      <c r="C3205" s="5">
        <f t="shared" ref="C3205:C3206" si="1332">DATE(2012,12,31)-499</f>
        <v>40775</v>
      </c>
      <c r="D3205" s="4" t="s">
        <v>63</v>
      </c>
      <c r="E3205" s="4">
        <v>16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spans="1:21" ht="12" customHeight="1">
      <c r="A3206" s="4">
        <v>907</v>
      </c>
      <c r="B3206" s="4">
        <v>6502</v>
      </c>
      <c r="C3206" s="5">
        <f t="shared" si="1332"/>
        <v>40775</v>
      </c>
      <c r="D3206" s="4" t="s">
        <v>63</v>
      </c>
      <c r="E3206" s="4">
        <v>30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spans="1:21" ht="12" customHeight="1">
      <c r="A3207" s="4">
        <v>971</v>
      </c>
      <c r="B3207" s="4">
        <v>7072</v>
      </c>
      <c r="C3207" s="5">
        <f>DATE(2012,12,31)-331</f>
        <v>40943</v>
      </c>
      <c r="D3207" s="4" t="s">
        <v>78</v>
      </c>
      <c r="E3207" s="4">
        <v>29</v>
      </c>
      <c r="F3207" s="4">
        <v>258.61</v>
      </c>
      <c r="G3207" s="4">
        <v>7.0000000000000007E-2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spans="1:21" ht="12" customHeight="1">
      <c r="A3208" s="4">
        <v>1015</v>
      </c>
      <c r="B3208" s="4">
        <v>7429</v>
      </c>
      <c r="C3208" s="5">
        <f t="shared" ref="C3208:C3209" si="1333">DATE(2012,12,31)-950</f>
        <v>40324</v>
      </c>
      <c r="D3208" s="4" t="s">
        <v>45</v>
      </c>
      <c r="E3208" s="4">
        <v>33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40.479999999999997</v>
      </c>
      <c r="K3208" s="4">
        <v>19.989999999999998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4">C3208+1</f>
        <v>40325</v>
      </c>
    </row>
    <row r="3209" spans="1:21" ht="12" customHeight="1">
      <c r="A3209" s="4">
        <v>1016</v>
      </c>
      <c r="B3209" s="4">
        <v>7429</v>
      </c>
      <c r="C3209" s="5">
        <f t="shared" si="1333"/>
        <v>40324</v>
      </c>
      <c r="D3209" s="4" t="s">
        <v>45</v>
      </c>
      <c r="E3209" s="4">
        <v>6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4"/>
        <v>40325</v>
      </c>
    </row>
    <row r="3210" spans="1:21" ht="12" customHeight="1">
      <c r="A3210" s="4">
        <v>1075</v>
      </c>
      <c r="B3210" s="4">
        <v>7910</v>
      </c>
      <c r="C3210" s="5">
        <f t="shared" ref="C3210:C3211" si="1335">DATE(2012,12,31)-986</f>
        <v>40288</v>
      </c>
      <c r="D3210" s="4" t="s">
        <v>78</v>
      </c>
      <c r="E3210" s="4">
        <v>41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spans="1:21" ht="12" customHeight="1">
      <c r="A3211" s="4">
        <v>1076</v>
      </c>
      <c r="B3211" s="4">
        <v>7910</v>
      </c>
      <c r="C3211" s="5">
        <f t="shared" si="1335"/>
        <v>40288</v>
      </c>
      <c r="D3211" s="4" t="s">
        <v>78</v>
      </c>
      <c r="E3211" s="4">
        <v>22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spans="1:21" ht="12" customHeight="1">
      <c r="A3212" s="4">
        <v>1096</v>
      </c>
      <c r="B3212" s="4">
        <v>8035</v>
      </c>
      <c r="C3212" s="5">
        <f>DATE(2012,12,31)-305</f>
        <v>40969</v>
      </c>
      <c r="D3212" s="4" t="s">
        <v>63</v>
      </c>
      <c r="E3212" s="4">
        <v>7</v>
      </c>
      <c r="F3212" s="4">
        <v>104.38</v>
      </c>
      <c r="G3212" s="4">
        <v>7.0000000000000007E-2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spans="1:21" ht="12" customHeight="1">
      <c r="A3213" s="4">
        <v>1220</v>
      </c>
      <c r="B3213" s="4">
        <v>8961</v>
      </c>
      <c r="C3213" s="5">
        <f>DATE(2012,12,31)-552</f>
        <v>40722</v>
      </c>
      <c r="D3213" s="4" t="s">
        <v>21</v>
      </c>
      <c r="E3213" s="4">
        <v>15</v>
      </c>
      <c r="F3213" s="4">
        <v>627.69000000000005</v>
      </c>
      <c r="G3213" s="4">
        <v>0</v>
      </c>
      <c r="H3213" s="4" t="s">
        <v>22</v>
      </c>
      <c r="I3213" s="6">
        <v>-12.02</v>
      </c>
      <c r="J3213" s="4">
        <v>39.979999999999997</v>
      </c>
      <c r="K3213" s="4">
        <v>4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spans="1:21" ht="12" customHeight="1">
      <c r="A3214" s="4">
        <v>1348</v>
      </c>
      <c r="B3214" s="4">
        <v>9857</v>
      </c>
      <c r="C3214" s="5">
        <f t="shared" ref="C3214:C3216" si="1336">DATE(2012,12,31)-965</f>
        <v>40309</v>
      </c>
      <c r="D3214" s="4" t="s">
        <v>30</v>
      </c>
      <c r="E3214" s="4">
        <v>16</v>
      </c>
      <c r="F3214" s="4">
        <v>2366.1799999999998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19.989999999999998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spans="1:21" ht="12" customHeight="1">
      <c r="A3215" s="4">
        <v>1349</v>
      </c>
      <c r="B3215" s="4">
        <v>9857</v>
      </c>
      <c r="C3215" s="5">
        <f t="shared" si="1336"/>
        <v>40309</v>
      </c>
      <c r="D3215" s="4" t="s">
        <v>30</v>
      </c>
      <c r="E3215" s="4">
        <v>49</v>
      </c>
      <c r="F3215" s="4">
        <v>675.71</v>
      </c>
      <c r="G3215" s="4">
        <v>0.06</v>
      </c>
      <c r="H3215" s="4" t="s">
        <v>22</v>
      </c>
      <c r="I3215" s="6">
        <v>-17.489999999999998</v>
      </c>
      <c r="J3215" s="4">
        <v>13.79</v>
      </c>
      <c r="K3215" s="4">
        <v>8.7799999999999994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spans="1:21" ht="12" customHeight="1">
      <c r="A3216" s="4">
        <v>1350</v>
      </c>
      <c r="B3216" s="4">
        <v>9857</v>
      </c>
      <c r="C3216" s="5">
        <f t="shared" si="1336"/>
        <v>40309</v>
      </c>
      <c r="D3216" s="4" t="s">
        <v>30</v>
      </c>
      <c r="E3216" s="4">
        <v>16</v>
      </c>
      <c r="F3216" s="4">
        <v>292.97800000000001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7">C3216+2</f>
        <v>40311</v>
      </c>
    </row>
    <row r="3217" spans="1:21" ht="12" customHeight="1">
      <c r="A3217" s="4">
        <v>1554</v>
      </c>
      <c r="B3217" s="4">
        <v>11233</v>
      </c>
      <c r="C3217" s="5">
        <f>DATE(2012,12,31)-489</f>
        <v>40785</v>
      </c>
      <c r="D3217" s="4" t="s">
        <v>45</v>
      </c>
      <c r="E3217" s="4">
        <v>25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7"/>
        <v>40787</v>
      </c>
    </row>
    <row r="3218" spans="1:21" ht="12" customHeight="1">
      <c r="A3218" s="4">
        <v>1593</v>
      </c>
      <c r="B3218" s="4">
        <v>11493</v>
      </c>
      <c r="C3218" s="5">
        <f>DATE(2012,12,31)-438</f>
        <v>40836</v>
      </c>
      <c r="D3218" s="4" t="s">
        <v>78</v>
      </c>
      <c r="E3218" s="4">
        <v>16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7"/>
        <v>40838</v>
      </c>
    </row>
    <row r="3219" spans="1:21" ht="12" customHeight="1">
      <c r="A3219" s="4">
        <v>1614</v>
      </c>
      <c r="B3219" s="4">
        <v>11684</v>
      </c>
      <c r="C3219" s="5">
        <f>DATE(2012,12,31)-157</f>
        <v>41117</v>
      </c>
      <c r="D3219" s="4" t="s">
        <v>30</v>
      </c>
      <c r="E3219" s="4">
        <v>8</v>
      </c>
      <c r="F3219" s="4">
        <v>1173.5</v>
      </c>
      <c r="G3219" s="4">
        <v>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0.56999999999999995</v>
      </c>
      <c r="U3219" s="5">
        <f t="shared" si="1337"/>
        <v>41119</v>
      </c>
    </row>
    <row r="3220" spans="1:21" ht="12" customHeight="1">
      <c r="A3220" s="4">
        <v>1664</v>
      </c>
      <c r="B3220" s="4">
        <v>11975</v>
      </c>
      <c r="C3220" s="5">
        <f>DATE(2012,12,31)-628</f>
        <v>40646</v>
      </c>
      <c r="D3220" s="4" t="s">
        <v>78</v>
      </c>
      <c r="E3220" s="4">
        <v>43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7"/>
        <v>40648</v>
      </c>
    </row>
    <row r="3221" spans="1:21" ht="12" customHeight="1">
      <c r="A3221" s="4">
        <v>1878</v>
      </c>
      <c r="B3221" s="4">
        <v>13537</v>
      </c>
      <c r="C3221" s="5">
        <f>DATE(2012,12,31)-946</f>
        <v>40328</v>
      </c>
      <c r="D3221" s="4" t="s">
        <v>21</v>
      </c>
      <c r="E3221" s="4">
        <v>41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7"/>
        <v>40330</v>
      </c>
    </row>
    <row r="3222" spans="1:21" ht="12" customHeight="1">
      <c r="A3222" s="4">
        <v>1912</v>
      </c>
      <c r="B3222" s="4">
        <v>13670</v>
      </c>
      <c r="C3222" s="5">
        <f>DATE(2012,12,31)-222</f>
        <v>41052</v>
      </c>
      <c r="D3222" s="4" t="s">
        <v>78</v>
      </c>
      <c r="E3222" s="4">
        <v>27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spans="1:21" ht="12" customHeight="1">
      <c r="A3223" s="4">
        <v>1922</v>
      </c>
      <c r="B3223" s="4">
        <v>13764</v>
      </c>
      <c r="C3223" s="5">
        <f>DATE(2012,12,31)-537</f>
        <v>40737</v>
      </c>
      <c r="D3223" s="4" t="s">
        <v>63</v>
      </c>
      <c r="E3223" s="4">
        <v>31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0.56000000000000005</v>
      </c>
      <c r="U3223" s="5">
        <f>C3223+1</f>
        <v>40738</v>
      </c>
    </row>
    <row r="3224" spans="1:21" ht="12" customHeight="1">
      <c r="A3224" s="4">
        <v>1948</v>
      </c>
      <c r="B3224" s="4">
        <v>13953</v>
      </c>
      <c r="C3224" s="5">
        <f>DATE(2012,12,31)-580</f>
        <v>40694</v>
      </c>
      <c r="D3224" s="4" t="s">
        <v>78</v>
      </c>
      <c r="E3224" s="4">
        <v>32</v>
      </c>
      <c r="F3224" s="4">
        <v>381.24</v>
      </c>
      <c r="G3224" s="4">
        <v>0.04</v>
      </c>
      <c r="H3224" s="4" t="s">
        <v>22</v>
      </c>
      <c r="I3224" s="6">
        <v>67.599999999999994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spans="1:21" ht="12" customHeight="1">
      <c r="A3225" s="4">
        <v>1981</v>
      </c>
      <c r="B3225" s="4">
        <v>14119</v>
      </c>
      <c r="C3225" s="5">
        <f t="shared" ref="C3225:C3227" si="1338">DATE(2012,12,31)-945</f>
        <v>40329</v>
      </c>
      <c r="D3225" s="4" t="s">
        <v>21</v>
      </c>
      <c r="E3225" s="4">
        <v>24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spans="1:21" ht="12" customHeight="1">
      <c r="A3226" s="4">
        <v>1982</v>
      </c>
      <c r="B3226" s="4">
        <v>14119</v>
      </c>
      <c r="C3226" s="5">
        <f t="shared" si="1338"/>
        <v>40329</v>
      </c>
      <c r="D3226" s="4" t="s">
        <v>21</v>
      </c>
      <c r="E3226" s="4">
        <v>35</v>
      </c>
      <c r="F3226" s="4">
        <v>1599.0709999999999</v>
      </c>
      <c r="G3226" s="4">
        <v>0.04</v>
      </c>
      <c r="H3226" s="4" t="s">
        <v>22</v>
      </c>
      <c r="I3226" s="6">
        <v>296.65800000000002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spans="1:21" ht="12" customHeight="1">
      <c r="A3227" s="4">
        <v>1983</v>
      </c>
      <c r="B3227" s="4">
        <v>14119</v>
      </c>
      <c r="C3227" s="5">
        <f t="shared" si="1338"/>
        <v>40329</v>
      </c>
      <c r="D3227" s="4" t="s">
        <v>21</v>
      </c>
      <c r="E3227" s="4">
        <v>31</v>
      </c>
      <c r="F3227" s="4">
        <v>968.23500000000001</v>
      </c>
      <c r="G3227" s="4">
        <v>0.05</v>
      </c>
      <c r="H3227" s="4" t="s">
        <v>22</v>
      </c>
      <c r="I3227" s="6">
        <v>-158.60900000000001</v>
      </c>
      <c r="J3227" s="4">
        <v>35.99</v>
      </c>
      <c r="K3227" s="4">
        <v>5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39">C3227+2</f>
        <v>40331</v>
      </c>
    </row>
    <row r="3228" spans="1:21" ht="12" customHeight="1">
      <c r="A3228" s="4">
        <v>2020</v>
      </c>
      <c r="B3228" s="4">
        <v>14402</v>
      </c>
      <c r="C3228" s="5">
        <f>DATE(2012,12,31)-809</f>
        <v>40465</v>
      </c>
      <c r="D3228" s="4" t="s">
        <v>63</v>
      </c>
      <c r="E3228" s="4">
        <v>1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160.97999999999999</v>
      </c>
      <c r="K3228" s="4">
        <v>30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39"/>
        <v>40467</v>
      </c>
    </row>
    <row r="3229" spans="1:21" ht="12" customHeight="1">
      <c r="A3229" s="4">
        <v>2032</v>
      </c>
      <c r="B3229" s="4">
        <v>14499</v>
      </c>
      <c r="C3229" s="5">
        <f>DATE(2012,12,31)-778</f>
        <v>40496</v>
      </c>
      <c r="D3229" s="4" t="s">
        <v>21</v>
      </c>
      <c r="E3229" s="4">
        <v>28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spans="1:21" ht="12" customHeight="1">
      <c r="A3230" s="4">
        <v>2110</v>
      </c>
      <c r="B3230" s="4">
        <v>15079</v>
      </c>
      <c r="C3230" s="5">
        <f t="shared" ref="C3230:C3231" si="1340">DATE(2012,12,31)-1081</f>
        <v>40193</v>
      </c>
      <c r="D3230" s="4" t="s">
        <v>63</v>
      </c>
      <c r="E3230" s="4">
        <v>45</v>
      </c>
      <c r="F3230" s="4">
        <v>3753.42</v>
      </c>
      <c r="G3230" s="4">
        <v>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spans="1:21" ht="12" customHeight="1">
      <c r="A3231" s="4">
        <v>2111</v>
      </c>
      <c r="B3231" s="4">
        <v>15079</v>
      </c>
      <c r="C3231" s="5">
        <f t="shared" si="1340"/>
        <v>40193</v>
      </c>
      <c r="D3231" s="4" t="s">
        <v>63</v>
      </c>
      <c r="E3231" s="4">
        <v>23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1">C3231+1</f>
        <v>40194</v>
      </c>
    </row>
    <row r="3232" spans="1:21" ht="12" customHeight="1">
      <c r="A3232" s="4">
        <v>2134</v>
      </c>
      <c r="B3232" s="4">
        <v>15236</v>
      </c>
      <c r="C3232" s="5">
        <f t="shared" ref="C3232:C3233" si="1342">DATE(2012,12,31)-266</f>
        <v>41008</v>
      </c>
      <c r="D3232" s="4" t="s">
        <v>45</v>
      </c>
      <c r="E3232" s="4">
        <v>33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1"/>
        <v>41009</v>
      </c>
    </row>
    <row r="3233" spans="1:21" ht="12" customHeight="1">
      <c r="A3233" s="4">
        <v>2135</v>
      </c>
      <c r="B3233" s="4">
        <v>15236</v>
      </c>
      <c r="C3233" s="5">
        <f t="shared" si="1342"/>
        <v>41008</v>
      </c>
      <c r="D3233" s="4" t="s">
        <v>45</v>
      </c>
      <c r="E3233" s="4">
        <v>30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3">C3233+2</f>
        <v>41010</v>
      </c>
    </row>
    <row r="3234" spans="1:21" ht="12" customHeight="1">
      <c r="A3234" s="4">
        <v>2148</v>
      </c>
      <c r="B3234" s="4">
        <v>15397</v>
      </c>
      <c r="C3234" s="5">
        <f t="shared" ref="C3234:C3236" si="1344">DATE(2012,12,31)-1059</f>
        <v>40215</v>
      </c>
      <c r="D3234" s="4" t="s">
        <v>78</v>
      </c>
      <c r="E3234" s="4">
        <v>42</v>
      </c>
      <c r="F3234" s="4">
        <v>223.33</v>
      </c>
      <c r="G3234" s="4">
        <v>0</v>
      </c>
      <c r="H3234" s="4" t="s">
        <v>56</v>
      </c>
      <c r="I3234" s="6">
        <v>-111.89</v>
      </c>
      <c r="J3234" s="4">
        <v>4.9800000000000004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3"/>
        <v>40217</v>
      </c>
    </row>
    <row r="3235" spans="1:21" ht="12" customHeight="1">
      <c r="A3235" s="4">
        <v>2149</v>
      </c>
      <c r="B3235" s="4">
        <v>15397</v>
      </c>
      <c r="C3235" s="5">
        <f t="shared" si="1344"/>
        <v>40215</v>
      </c>
      <c r="D3235" s="4" t="s">
        <v>78</v>
      </c>
      <c r="E3235" s="4">
        <v>29</v>
      </c>
      <c r="F3235" s="4">
        <v>1178.04</v>
      </c>
      <c r="G3235" s="4">
        <v>7.0000000000000007E-2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spans="1:21" ht="12" customHeight="1">
      <c r="A3236" s="4">
        <v>2150</v>
      </c>
      <c r="B3236" s="4">
        <v>15397</v>
      </c>
      <c r="C3236" s="5">
        <f t="shared" si="1344"/>
        <v>40215</v>
      </c>
      <c r="D3236" s="4" t="s">
        <v>78</v>
      </c>
      <c r="E3236" s="4">
        <v>43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0.57999999999999996</v>
      </c>
      <c r="U3236" s="5">
        <f t="shared" ref="U3236:U3237" si="1345">C3236+1</f>
        <v>40216</v>
      </c>
    </row>
    <row r="3237" spans="1:21" ht="12" customHeight="1">
      <c r="A3237" s="4">
        <v>2185</v>
      </c>
      <c r="B3237" s="4">
        <v>15719</v>
      </c>
      <c r="C3237" s="5">
        <f>DATE(2012,12,31)-713</f>
        <v>40561</v>
      </c>
      <c r="D3237" s="4" t="s">
        <v>78</v>
      </c>
      <c r="E3237" s="4">
        <v>18</v>
      </c>
      <c r="F3237" s="4">
        <v>5405.44</v>
      </c>
      <c r="G3237" s="4">
        <v>7.0000000000000007E-2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0.56000000000000005</v>
      </c>
      <c r="U3237" s="5">
        <f t="shared" si="1345"/>
        <v>40562</v>
      </c>
    </row>
    <row r="3238" spans="1:21" ht="12" customHeight="1">
      <c r="A3238" s="4">
        <v>2226</v>
      </c>
      <c r="B3238" s="4">
        <v>16098</v>
      </c>
      <c r="C3238" s="5">
        <f>DATE(2012,12,31)-163</f>
        <v>41111</v>
      </c>
      <c r="D3238" s="4" t="s">
        <v>21</v>
      </c>
      <c r="E3238" s="4">
        <v>44</v>
      </c>
      <c r="F3238" s="4">
        <v>1001.99</v>
      </c>
      <c r="G3238" s="4">
        <v>0.09</v>
      </c>
      <c r="H3238" s="4" t="s">
        <v>22</v>
      </c>
      <c r="I3238" s="6">
        <v>333.53149999999999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spans="1:21" ht="12" customHeight="1">
      <c r="A3239" s="4">
        <v>2282</v>
      </c>
      <c r="B3239" s="4">
        <v>16450</v>
      </c>
      <c r="C3239" s="5">
        <f>DATE(2012,12,31)-596</f>
        <v>40678</v>
      </c>
      <c r="D3239" s="4" t="s">
        <v>63</v>
      </c>
      <c r="E3239" s="4">
        <v>12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spans="1:21" ht="12" customHeight="1">
      <c r="A3240" s="4">
        <v>2397</v>
      </c>
      <c r="B3240" s="4">
        <v>17379</v>
      </c>
      <c r="C3240" s="5">
        <f>DATE(2012,12,31)-505</f>
        <v>40769</v>
      </c>
      <c r="D3240" s="4" t="s">
        <v>78</v>
      </c>
      <c r="E3240" s="4">
        <v>29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spans="1:21" ht="12" customHeight="1">
      <c r="A3241" s="4">
        <v>2424</v>
      </c>
      <c r="B3241" s="4">
        <v>17573</v>
      </c>
      <c r="C3241" s="5">
        <f>DATE(2012,12,31)-484</f>
        <v>40790</v>
      </c>
      <c r="D3241" s="4" t="s">
        <v>21</v>
      </c>
      <c r="E3241" s="4">
        <v>23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spans="1:21" ht="12" customHeight="1">
      <c r="A3242" s="4">
        <v>2441</v>
      </c>
      <c r="B3242" s="4">
        <v>17702</v>
      </c>
      <c r="C3242" s="5">
        <f>DATE(2012,12,31)-262</f>
        <v>41012</v>
      </c>
      <c r="D3242" s="4" t="s">
        <v>30</v>
      </c>
      <c r="E3242" s="4">
        <v>48</v>
      </c>
      <c r="F3242" s="4">
        <v>368.99</v>
      </c>
      <c r="G3242" s="4">
        <v>0.09</v>
      </c>
      <c r="H3242" s="4" t="s">
        <v>22</v>
      </c>
      <c r="I3242" s="6">
        <v>-305.91000000000003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0.57999999999999996</v>
      </c>
      <c r="U3242" s="5">
        <f t="shared" ref="U3242:U3243" si="1346">C3242+1</f>
        <v>41013</v>
      </c>
    </row>
    <row r="3243" spans="1:21" ht="12" customHeight="1">
      <c r="A3243" s="4">
        <v>2655</v>
      </c>
      <c r="B3243" s="4">
        <v>19205</v>
      </c>
      <c r="C3243" s="5">
        <f t="shared" ref="C3243:C3244" si="1347">DATE(2012,12,31)-889</f>
        <v>40385</v>
      </c>
      <c r="D3243" s="4" t="s">
        <v>63</v>
      </c>
      <c r="E3243" s="4">
        <v>47</v>
      </c>
      <c r="F3243" s="4">
        <v>1291.3499999999999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6"/>
        <v>40386</v>
      </c>
    </row>
    <row r="3244" spans="1:21" ht="12" customHeight="1">
      <c r="A3244" s="4">
        <v>2656</v>
      </c>
      <c r="B3244" s="4">
        <v>19205</v>
      </c>
      <c r="C3244" s="5">
        <f t="shared" si="1347"/>
        <v>40385</v>
      </c>
      <c r="D3244" s="4" t="s">
        <v>63</v>
      </c>
      <c r="E3244" s="4">
        <v>31</v>
      </c>
      <c r="F3244" s="4">
        <v>107.97</v>
      </c>
      <c r="G3244" s="4">
        <v>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8">C3244+2</f>
        <v>40387</v>
      </c>
    </row>
    <row r="3245" spans="1:21" ht="12" customHeight="1">
      <c r="A3245" s="4">
        <v>2694</v>
      </c>
      <c r="B3245" s="4">
        <v>19494</v>
      </c>
      <c r="C3245" s="5">
        <f t="shared" ref="C3245:C3246" si="1349">DATE(2012,12,31)-1084</f>
        <v>40190</v>
      </c>
      <c r="D3245" s="4" t="s">
        <v>30</v>
      </c>
      <c r="E3245" s="4">
        <v>39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8"/>
        <v>40192</v>
      </c>
    </row>
    <row r="3246" spans="1:21" ht="12" customHeight="1">
      <c r="A3246" s="4">
        <v>2695</v>
      </c>
      <c r="B3246" s="4">
        <v>19494</v>
      </c>
      <c r="C3246" s="5">
        <f t="shared" si="1349"/>
        <v>40190</v>
      </c>
      <c r="D3246" s="4" t="s">
        <v>30</v>
      </c>
      <c r="E3246" s="4">
        <v>2</v>
      </c>
      <c r="F3246" s="4">
        <v>8.8699999999999992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0.57999999999999996</v>
      </c>
      <c r="U3246" s="5">
        <f>C3246+3</f>
        <v>40193</v>
      </c>
    </row>
    <row r="3247" spans="1:21" ht="12" customHeight="1">
      <c r="A3247" s="4">
        <v>2699</v>
      </c>
      <c r="B3247" s="4">
        <v>19523</v>
      </c>
      <c r="C3247" s="5">
        <f>DATE(2012,12,31)-397</f>
        <v>40877</v>
      </c>
      <c r="D3247" s="4" t="s">
        <v>30</v>
      </c>
      <c r="E3247" s="4">
        <v>44</v>
      </c>
      <c r="F3247" s="4">
        <v>155.78</v>
      </c>
      <c r="G3247" s="4">
        <v>0.04</v>
      </c>
      <c r="H3247" s="4" t="s">
        <v>22</v>
      </c>
      <c r="I3247" s="6">
        <v>-10</v>
      </c>
      <c r="J3247" s="4">
        <v>3.6</v>
      </c>
      <c r="K3247" s="4">
        <v>2.2000000000000002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spans="1:21" ht="12" customHeight="1">
      <c r="A3248" s="4">
        <v>2842</v>
      </c>
      <c r="B3248" s="4">
        <v>20482</v>
      </c>
      <c r="C3248" s="5">
        <f t="shared" ref="C3248:C3249" si="1350">DATE(2012,12,31)-532</f>
        <v>40742</v>
      </c>
      <c r="D3248" s="4" t="s">
        <v>63</v>
      </c>
      <c r="E3248" s="4">
        <v>38</v>
      </c>
      <c r="F3248" s="4">
        <v>4650.07</v>
      </c>
      <c r="G3248" s="4">
        <v>0.04</v>
      </c>
      <c r="H3248" s="4" t="s">
        <v>31</v>
      </c>
      <c r="I3248" s="6">
        <v>-1143.1500000000001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spans="1:21" ht="12" customHeight="1">
      <c r="A3249" s="4">
        <v>2843</v>
      </c>
      <c r="B3249" s="4">
        <v>20482</v>
      </c>
      <c r="C3249" s="5">
        <f t="shared" si="1350"/>
        <v>40742</v>
      </c>
      <c r="D3249" s="4" t="s">
        <v>63</v>
      </c>
      <c r="E3249" s="4">
        <v>39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spans="1:21" ht="12" customHeight="1">
      <c r="A3250" s="4">
        <v>2963</v>
      </c>
      <c r="B3250" s="4">
        <v>21414</v>
      </c>
      <c r="C3250" s="5">
        <f>DATE(2012,12,31)-607</f>
        <v>40667</v>
      </c>
      <c r="D3250" s="4" t="s">
        <v>78</v>
      </c>
      <c r="E3250" s="4">
        <v>43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spans="1:21" ht="12" customHeight="1">
      <c r="A3251" s="4">
        <v>2987</v>
      </c>
      <c r="B3251" s="4">
        <v>21573</v>
      </c>
      <c r="C3251" s="5">
        <f t="shared" ref="C3251:C3253" si="1351">DATE(2012,12,31)-250</f>
        <v>41024</v>
      </c>
      <c r="D3251" s="4" t="s">
        <v>78</v>
      </c>
      <c r="E3251" s="4">
        <v>31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2">C3251+2</f>
        <v>41026</v>
      </c>
    </row>
    <row r="3252" spans="1:21" ht="12" customHeight="1">
      <c r="A3252" s="4">
        <v>2988</v>
      </c>
      <c r="B3252" s="4">
        <v>21573</v>
      </c>
      <c r="C3252" s="5">
        <f t="shared" si="1351"/>
        <v>41024</v>
      </c>
      <c r="D3252" s="4" t="s">
        <v>78</v>
      </c>
      <c r="E3252" s="4">
        <v>7</v>
      </c>
      <c r="F3252" s="4">
        <v>70.08</v>
      </c>
      <c r="G3252" s="4">
        <v>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2"/>
        <v>41026</v>
      </c>
    </row>
    <row r="3253" spans="1:21" ht="12" customHeight="1">
      <c r="A3253" s="4">
        <v>2989</v>
      </c>
      <c r="B3253" s="4">
        <v>21573</v>
      </c>
      <c r="C3253" s="5">
        <f t="shared" si="1351"/>
        <v>41024</v>
      </c>
      <c r="D3253" s="4" t="s">
        <v>78</v>
      </c>
      <c r="E3253" s="4">
        <v>3</v>
      </c>
      <c r="F3253" s="4">
        <v>234.768</v>
      </c>
      <c r="G3253" s="4">
        <v>0.04</v>
      </c>
      <c r="H3253" s="4" t="s">
        <v>31</v>
      </c>
      <c r="I3253" s="6">
        <v>54.230849999999997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2"/>
        <v>41026</v>
      </c>
    </row>
    <row r="3254" spans="1:21" ht="12" customHeight="1">
      <c r="A3254" s="4">
        <v>3030</v>
      </c>
      <c r="B3254" s="4">
        <v>21795</v>
      </c>
      <c r="C3254" s="5">
        <f t="shared" ref="C3254:C3255" si="1353">DATE(2012,12,31)-932</f>
        <v>40342</v>
      </c>
      <c r="D3254" s="4" t="s">
        <v>45</v>
      </c>
      <c r="E3254" s="4">
        <v>10</v>
      </c>
      <c r="F3254" s="4">
        <v>278.66000000000003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spans="1:21" ht="12" customHeight="1">
      <c r="A3255" s="4">
        <v>3031</v>
      </c>
      <c r="B3255" s="4">
        <v>21795</v>
      </c>
      <c r="C3255" s="5">
        <f t="shared" si="1353"/>
        <v>40342</v>
      </c>
      <c r="D3255" s="4" t="s">
        <v>45</v>
      </c>
      <c r="E3255" s="4">
        <v>28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9.0299999999999994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spans="1:21" ht="12" customHeight="1">
      <c r="A3256" s="4">
        <v>3044</v>
      </c>
      <c r="B3256" s="4">
        <v>21859</v>
      </c>
      <c r="C3256" s="5">
        <f>DATE(2012,12,31)-409</f>
        <v>40865</v>
      </c>
      <c r="D3256" s="4" t="s">
        <v>30</v>
      </c>
      <c r="E3256" s="4">
        <v>42</v>
      </c>
      <c r="F3256" s="4">
        <v>401.37</v>
      </c>
      <c r="G3256" s="4">
        <v>7.0000000000000007E-2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spans="1:21" ht="12" customHeight="1">
      <c r="A3257" s="4">
        <v>3069</v>
      </c>
      <c r="B3257" s="4">
        <v>21989</v>
      </c>
      <c r="C3257" s="5">
        <f t="shared" ref="C3257:C3258" si="1354">DATE(2012,12,31)-690</f>
        <v>40584</v>
      </c>
      <c r="D3257" s="4" t="s">
        <v>21</v>
      </c>
      <c r="E3257" s="4">
        <v>9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5">C3257+0</f>
        <v>40584</v>
      </c>
    </row>
    <row r="3258" spans="1:21" ht="12" customHeight="1">
      <c r="A3258" s="4">
        <v>3070</v>
      </c>
      <c r="B3258" s="4">
        <v>21989</v>
      </c>
      <c r="C3258" s="5">
        <f t="shared" si="1354"/>
        <v>40584</v>
      </c>
      <c r="D3258" s="4" t="s">
        <v>21</v>
      </c>
      <c r="E3258" s="4">
        <v>35</v>
      </c>
      <c r="F3258" s="4">
        <v>3814.1710000000003</v>
      </c>
      <c r="G3258" s="4">
        <v>0.04</v>
      </c>
      <c r="H3258" s="4" t="s">
        <v>22</v>
      </c>
      <c r="I3258" s="6">
        <v>1077.1289999999999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0.56999999999999995</v>
      </c>
      <c r="U3258" s="5">
        <f t="shared" si="1355"/>
        <v>40584</v>
      </c>
    </row>
    <row r="3259" spans="1:21" ht="12" customHeight="1">
      <c r="A3259" s="4">
        <v>3090</v>
      </c>
      <c r="B3259" s="4">
        <v>22151</v>
      </c>
      <c r="C3259" s="5">
        <f>DATE(2012,12,31)-884</f>
        <v>40390</v>
      </c>
      <c r="D3259" s="4" t="s">
        <v>30</v>
      </c>
      <c r="E3259" s="4">
        <v>20</v>
      </c>
      <c r="F3259" s="4">
        <v>515.37</v>
      </c>
      <c r="G3259" s="4">
        <v>0.04</v>
      </c>
      <c r="H3259" s="4" t="s">
        <v>22</v>
      </c>
      <c r="I3259" s="6">
        <v>9.8175000000000008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6">C3259+1</f>
        <v>40391</v>
      </c>
    </row>
    <row r="3260" spans="1:21" ht="12" customHeight="1">
      <c r="A3260" s="4">
        <v>3161</v>
      </c>
      <c r="B3260" s="4">
        <v>22688</v>
      </c>
      <c r="C3260" s="5">
        <f>DATE(2012,12,31)-258</f>
        <v>41016</v>
      </c>
      <c r="D3260" s="4" t="s">
        <v>63</v>
      </c>
      <c r="E3260" s="4">
        <v>40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65.989999999999995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0.56000000000000005</v>
      </c>
      <c r="U3260" s="5">
        <f t="shared" si="1356"/>
        <v>41017</v>
      </c>
    </row>
    <row r="3261" spans="1:21" ht="12" customHeight="1">
      <c r="A3261" s="4">
        <v>3197</v>
      </c>
      <c r="B3261" s="4">
        <v>22916</v>
      </c>
      <c r="C3261" s="5">
        <f>DATE(2012,12,31)-333</f>
        <v>40941</v>
      </c>
      <c r="D3261" s="4" t="s">
        <v>63</v>
      </c>
      <c r="E3261" s="4">
        <v>18</v>
      </c>
      <c r="F3261" s="4">
        <v>122.02</v>
      </c>
      <c r="G3261" s="4">
        <v>0.04</v>
      </c>
      <c r="H3261" s="4" t="s">
        <v>22</v>
      </c>
      <c r="I3261" s="6">
        <v>-115</v>
      </c>
      <c r="J3261" s="4">
        <v>6.48</v>
      </c>
      <c r="K3261" s="4">
        <v>10.050000000000001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6"/>
        <v>40942</v>
      </c>
    </row>
    <row r="3262" spans="1:21" ht="12" customHeight="1">
      <c r="A3262" s="4">
        <v>3202</v>
      </c>
      <c r="B3262" s="4">
        <v>22951</v>
      </c>
      <c r="C3262" s="5">
        <f>DATE(2012,12,31)-242</f>
        <v>41032</v>
      </c>
      <c r="D3262" s="4" t="s">
        <v>63</v>
      </c>
      <c r="E3262" s="4">
        <v>24</v>
      </c>
      <c r="F3262" s="4">
        <v>1304.0274999999999</v>
      </c>
      <c r="G3262" s="4">
        <v>0.1</v>
      </c>
      <c r="H3262" s="4" t="s">
        <v>22</v>
      </c>
      <c r="I3262" s="6">
        <v>34.362000000000002</v>
      </c>
      <c r="J3262" s="4">
        <v>65.989999999999995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spans="1:21" ht="12" customHeight="1">
      <c r="A3263" s="4">
        <v>3205</v>
      </c>
      <c r="B3263" s="4">
        <v>22980</v>
      </c>
      <c r="C3263" s="5">
        <f>DATE(2012,12,31)-91</f>
        <v>41183</v>
      </c>
      <c r="D3263" s="4" t="s">
        <v>45</v>
      </c>
      <c r="E3263" s="4">
        <v>10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4.9800000000000004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spans="1:21" ht="12" customHeight="1">
      <c r="A3264" s="4">
        <v>3315</v>
      </c>
      <c r="B3264" s="4">
        <v>23681</v>
      </c>
      <c r="C3264" s="5">
        <f>DATE(2012,12,31)-226</f>
        <v>41048</v>
      </c>
      <c r="D3264" s="4" t="s">
        <v>30</v>
      </c>
      <c r="E3264" s="4">
        <v>42</v>
      </c>
      <c r="F3264" s="4">
        <v>4182.5200000000004</v>
      </c>
      <c r="G3264" s="4">
        <v>0</v>
      </c>
      <c r="H3264" s="4" t="s">
        <v>56</v>
      </c>
      <c r="I3264" s="6">
        <v>-785.36</v>
      </c>
      <c r="J3264" s="4">
        <v>95.99</v>
      </c>
      <c r="K3264" s="4">
        <v>35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spans="1:21" ht="12" customHeight="1">
      <c r="A3265" s="4">
        <v>3405</v>
      </c>
      <c r="B3265" s="4">
        <v>24263</v>
      </c>
      <c r="C3265" s="5">
        <f>DATE(2012,12,31)-107</f>
        <v>41167</v>
      </c>
      <c r="D3265" s="4" t="s">
        <v>21</v>
      </c>
      <c r="E3265" s="4">
        <v>16</v>
      </c>
      <c r="F3265" s="4">
        <v>512.80999999999995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19.190000000000001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0.57999999999999996</v>
      </c>
      <c r="U3265" s="5">
        <f>C3265+7</f>
        <v>41174</v>
      </c>
    </row>
    <row r="3266" spans="1:21" ht="12" customHeight="1">
      <c r="A3266" s="4">
        <v>3471</v>
      </c>
      <c r="B3266" s="4">
        <v>24707</v>
      </c>
      <c r="C3266" s="5">
        <f t="shared" ref="C3266:C3267" si="1357">DATE(2012,12,31)-296</f>
        <v>40978</v>
      </c>
      <c r="D3266" s="4" t="s">
        <v>63</v>
      </c>
      <c r="E3266" s="4">
        <v>14</v>
      </c>
      <c r="F3266" s="4">
        <v>1961.39</v>
      </c>
      <c r="G3266" s="4">
        <v>0</v>
      </c>
      <c r="H3266" s="4" t="s">
        <v>22</v>
      </c>
      <c r="I3266" s="6">
        <v>761.04</v>
      </c>
      <c r="J3266" s="4">
        <v>136.97999999999999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spans="1:21" ht="12" customHeight="1">
      <c r="A3267" s="4">
        <v>3472</v>
      </c>
      <c r="B3267" s="4">
        <v>24707</v>
      </c>
      <c r="C3267" s="5">
        <f t="shared" si="1357"/>
        <v>40978</v>
      </c>
      <c r="D3267" s="4" t="s">
        <v>63</v>
      </c>
      <c r="E3267" s="4">
        <v>3</v>
      </c>
      <c r="F3267" s="4">
        <v>4.9400000000000004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spans="1:21" ht="12" customHeight="1">
      <c r="A3268" s="4">
        <v>3523</v>
      </c>
      <c r="B3268" s="4">
        <v>25091</v>
      </c>
      <c r="C3268" s="5">
        <f>DATE(2012,12,31)-1046</f>
        <v>40228</v>
      </c>
      <c r="D3268" s="4" t="s">
        <v>63</v>
      </c>
      <c r="E3268" s="4">
        <v>4</v>
      </c>
      <c r="F3268" s="4">
        <v>156.97</v>
      </c>
      <c r="G3268" s="4">
        <v>0.01</v>
      </c>
      <c r="H3268" s="4" t="s">
        <v>22</v>
      </c>
      <c r="I3268" s="6">
        <v>-25.426500000000001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spans="1:21" ht="12" customHeight="1">
      <c r="A3269" s="4">
        <v>3673</v>
      </c>
      <c r="B3269" s="4">
        <v>26305</v>
      </c>
      <c r="C3269" s="5">
        <f t="shared" ref="C3269:C3270" si="1358">DATE(2012,12,31)-760</f>
        <v>40514</v>
      </c>
      <c r="D3269" s="4" t="s">
        <v>63</v>
      </c>
      <c r="E3269" s="4">
        <v>50</v>
      </c>
      <c r="F3269" s="4">
        <v>1118.21</v>
      </c>
      <c r="G3269" s="4">
        <v>7.0000000000000007E-2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spans="1:21" ht="12" customHeight="1">
      <c r="A3270" s="4">
        <v>3674</v>
      </c>
      <c r="B3270" s="4">
        <v>26305</v>
      </c>
      <c r="C3270" s="5">
        <f t="shared" si="1358"/>
        <v>40514</v>
      </c>
      <c r="D3270" s="4" t="s">
        <v>63</v>
      </c>
      <c r="E3270" s="4">
        <v>13</v>
      </c>
      <c r="F3270" s="4">
        <v>3503.56</v>
      </c>
      <c r="G3270" s="4">
        <v>0.01</v>
      </c>
      <c r="H3270" s="4" t="s">
        <v>31</v>
      </c>
      <c r="I3270" s="6">
        <v>-633.44123700000023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59">C3270+1</f>
        <v>40515</v>
      </c>
    </row>
    <row r="3271" spans="1:21" ht="12" customHeight="1">
      <c r="A3271" s="4">
        <v>3789</v>
      </c>
      <c r="B3271" s="4">
        <v>26982</v>
      </c>
      <c r="C3271" s="5">
        <f>DATE(2012,12,31)-247</f>
        <v>41027</v>
      </c>
      <c r="D3271" s="4" t="s">
        <v>45</v>
      </c>
      <c r="E3271" s="4">
        <v>37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59"/>
        <v>41028</v>
      </c>
    </row>
    <row r="3272" spans="1:21" ht="12" customHeight="1">
      <c r="A3272" s="4">
        <v>3800</v>
      </c>
      <c r="B3272" s="4">
        <v>27106</v>
      </c>
      <c r="C3272" s="5">
        <f t="shared" ref="C3272:C3276" si="1360">DATE(2012,12,31)-396</f>
        <v>40878</v>
      </c>
      <c r="D3272" s="4" t="s">
        <v>30</v>
      </c>
      <c r="E3272" s="4">
        <v>1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spans="1:21" ht="12" customHeight="1">
      <c r="A3273" s="4">
        <v>3801</v>
      </c>
      <c r="B3273" s="4">
        <v>27106</v>
      </c>
      <c r="C3273" s="5">
        <f t="shared" si="1360"/>
        <v>40878</v>
      </c>
      <c r="D3273" s="4" t="s">
        <v>30</v>
      </c>
      <c r="E3273" s="4">
        <v>50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spans="1:21" ht="12" customHeight="1">
      <c r="A3274" s="4">
        <v>3802</v>
      </c>
      <c r="B3274" s="4">
        <v>27106</v>
      </c>
      <c r="C3274" s="5">
        <f t="shared" si="1360"/>
        <v>40878</v>
      </c>
      <c r="D3274" s="4" t="s">
        <v>30</v>
      </c>
      <c r="E3274" s="4">
        <v>29</v>
      </c>
      <c r="F3274" s="4">
        <v>3524.55</v>
      </c>
      <c r="G3274" s="4">
        <v>0.08</v>
      </c>
      <c r="H3274" s="4" t="s">
        <v>31</v>
      </c>
      <c r="I3274" s="6">
        <v>-570.17999999999995</v>
      </c>
      <c r="J3274" s="4">
        <v>130.97999999999999</v>
      </c>
      <c r="K3274" s="4">
        <v>30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1">C3274+2</f>
        <v>40880</v>
      </c>
    </row>
    <row r="3275" spans="1:21" ht="12" customHeight="1">
      <c r="A3275" s="4">
        <v>3803</v>
      </c>
      <c r="B3275" s="4">
        <v>27106</v>
      </c>
      <c r="C3275" s="5">
        <f t="shared" si="1360"/>
        <v>40878</v>
      </c>
      <c r="D3275" s="4" t="s">
        <v>30</v>
      </c>
      <c r="E3275" s="4">
        <v>42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1"/>
        <v>40880</v>
      </c>
    </row>
    <row r="3276" spans="1:21" ht="12" customHeight="1">
      <c r="A3276" s="4">
        <v>3804</v>
      </c>
      <c r="B3276" s="4">
        <v>27106</v>
      </c>
      <c r="C3276" s="5">
        <f t="shared" si="1360"/>
        <v>40878</v>
      </c>
      <c r="D3276" s="4" t="s">
        <v>30</v>
      </c>
      <c r="E3276" s="4">
        <v>10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1"/>
        <v>40880</v>
      </c>
    </row>
    <row r="3277" spans="1:21" ht="12" customHeight="1">
      <c r="A3277" s="4">
        <v>3859</v>
      </c>
      <c r="B3277" s="4">
        <v>27527</v>
      </c>
      <c r="C3277" s="5">
        <f>DATE(2012,12,31)-762</f>
        <v>40512</v>
      </c>
      <c r="D3277" s="4" t="s">
        <v>63</v>
      </c>
      <c r="E3277" s="4">
        <v>37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spans="1:21" ht="12" customHeight="1">
      <c r="A3278" s="4">
        <v>3886</v>
      </c>
      <c r="B3278" s="4">
        <v>27746</v>
      </c>
      <c r="C3278" s="5">
        <f>DATE(2012,12,31)-758</f>
        <v>40516</v>
      </c>
      <c r="D3278" s="4" t="s">
        <v>78</v>
      </c>
      <c r="E3278" s="4">
        <v>3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spans="1:21" ht="12" customHeight="1">
      <c r="A3279" s="4">
        <v>3900</v>
      </c>
      <c r="B3279" s="4">
        <v>27811</v>
      </c>
      <c r="C3279" s="5">
        <f>DATE(2012,12,31)-668</f>
        <v>40606</v>
      </c>
      <c r="D3279" s="4" t="s">
        <v>45</v>
      </c>
      <c r="E3279" s="4">
        <v>4</v>
      </c>
      <c r="F3279" s="4">
        <v>73.900000000000006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2">C3279+1</f>
        <v>40607</v>
      </c>
    </row>
    <row r="3280" spans="1:21" ht="12" customHeight="1">
      <c r="A3280" s="4">
        <v>3923</v>
      </c>
      <c r="B3280" s="4">
        <v>27974</v>
      </c>
      <c r="C3280" s="5">
        <f t="shared" ref="C3280:C3281" si="1363">DATE(2012,12,31)-816</f>
        <v>40458</v>
      </c>
      <c r="D3280" s="4" t="s">
        <v>30</v>
      </c>
      <c r="E3280" s="4">
        <v>35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2"/>
        <v>40459</v>
      </c>
    </row>
    <row r="3281" spans="1:21" ht="12" customHeight="1">
      <c r="A3281" s="4">
        <v>3924</v>
      </c>
      <c r="B3281" s="4">
        <v>27974</v>
      </c>
      <c r="C3281" s="5">
        <f t="shared" si="1363"/>
        <v>40458</v>
      </c>
      <c r="D3281" s="4" t="s">
        <v>30</v>
      </c>
      <c r="E3281" s="4">
        <v>27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2"/>
        <v>40459</v>
      </c>
    </row>
    <row r="3282" spans="1:21" ht="12" customHeight="1">
      <c r="A3282" s="4">
        <v>4174</v>
      </c>
      <c r="B3282" s="4">
        <v>29607</v>
      </c>
      <c r="C3282" s="5">
        <f>DATE(2012,12,31)-293</f>
        <v>40981</v>
      </c>
      <c r="D3282" s="4" t="s">
        <v>63</v>
      </c>
      <c r="E3282" s="4">
        <v>20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4">C3282+2</f>
        <v>40983</v>
      </c>
    </row>
    <row r="3283" spans="1:21" ht="12" customHeight="1">
      <c r="A3283" s="4">
        <v>4183</v>
      </c>
      <c r="B3283" s="4">
        <v>29730</v>
      </c>
      <c r="C3283" s="5">
        <f>DATE(2012,12,31)-929</f>
        <v>40345</v>
      </c>
      <c r="D3283" s="4" t="s">
        <v>78</v>
      </c>
      <c r="E3283" s="4">
        <v>21</v>
      </c>
      <c r="F3283" s="4">
        <v>3072.86</v>
      </c>
      <c r="G3283" s="4">
        <v>0.08</v>
      </c>
      <c r="H3283" s="4" t="s">
        <v>31</v>
      </c>
      <c r="I3283" s="6">
        <v>-364.87336600000009</v>
      </c>
      <c r="J3283" s="4">
        <v>150.97999999999999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4"/>
        <v>40347</v>
      </c>
    </row>
    <row r="3284" spans="1:21" ht="12" customHeight="1">
      <c r="A3284" s="4">
        <v>4236</v>
      </c>
      <c r="B3284" s="4">
        <v>30144</v>
      </c>
      <c r="C3284" s="5">
        <f>DATE(2012,12,31)-513</f>
        <v>40761</v>
      </c>
      <c r="D3284" s="4" t="s">
        <v>21</v>
      </c>
      <c r="E3284" s="4">
        <v>25</v>
      </c>
      <c r="F3284" s="4">
        <v>5503.39</v>
      </c>
      <c r="G3284" s="4">
        <v>0.08</v>
      </c>
      <c r="H3284" s="4" t="s">
        <v>31</v>
      </c>
      <c r="I3284" s="6">
        <v>-528.65312500000005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spans="1:21" ht="12" customHeight="1">
      <c r="A3285" s="4">
        <v>4389</v>
      </c>
      <c r="B3285" s="4">
        <v>31266</v>
      </c>
      <c r="C3285" s="5">
        <f>DATE(2012,12,31)-89</f>
        <v>41185</v>
      </c>
      <c r="D3285" s="4" t="s">
        <v>30</v>
      </c>
      <c r="E3285" s="4">
        <v>16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0.56000000000000005</v>
      </c>
      <c r="U3285" s="5">
        <f>C3285+1</f>
        <v>41186</v>
      </c>
    </row>
    <row r="3286" spans="1:21" ht="12" customHeight="1">
      <c r="A3286" s="4">
        <v>4408</v>
      </c>
      <c r="B3286" s="4">
        <v>31456</v>
      </c>
      <c r="C3286" s="5">
        <f>DATE(2012,12,31)-46</f>
        <v>41228</v>
      </c>
      <c r="D3286" s="4" t="s">
        <v>30</v>
      </c>
      <c r="E3286" s="4">
        <v>10</v>
      </c>
      <c r="F3286" s="4">
        <v>225.09</v>
      </c>
      <c r="G3286" s="4">
        <v>0.02</v>
      </c>
      <c r="H3286" s="4" t="s">
        <v>22</v>
      </c>
      <c r="I3286" s="6">
        <v>64.140999999999991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5">C3286+2</f>
        <v>41230</v>
      </c>
    </row>
    <row r="3287" spans="1:21" ht="12" customHeight="1">
      <c r="A3287" s="4">
        <v>4418</v>
      </c>
      <c r="B3287" s="4">
        <v>31522</v>
      </c>
      <c r="C3287" s="5">
        <f t="shared" ref="C3287:C3288" si="1366">DATE(2012,12,31)-951</f>
        <v>40323</v>
      </c>
      <c r="D3287" s="4" t="s">
        <v>63</v>
      </c>
      <c r="E3287" s="4">
        <v>14</v>
      </c>
      <c r="F3287" s="4">
        <v>302.39999999999998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5"/>
        <v>40325</v>
      </c>
    </row>
    <row r="3288" spans="1:21" ht="12" customHeight="1">
      <c r="A3288" s="4">
        <v>4419</v>
      </c>
      <c r="B3288" s="4">
        <v>31522</v>
      </c>
      <c r="C3288" s="5">
        <f t="shared" si="1366"/>
        <v>40323</v>
      </c>
      <c r="D3288" s="4" t="s">
        <v>63</v>
      </c>
      <c r="E3288" s="4">
        <v>42</v>
      </c>
      <c r="F3288" s="4">
        <v>1083.3699999999999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5"/>
        <v>40325</v>
      </c>
    </row>
    <row r="3289" spans="1:21" ht="12" customHeight="1">
      <c r="A3289" s="4">
        <v>4888</v>
      </c>
      <c r="B3289" s="4">
        <v>34785</v>
      </c>
      <c r="C3289" s="5">
        <f>DATE(2012,12,31)-1071</f>
        <v>40203</v>
      </c>
      <c r="D3289" s="4" t="s">
        <v>78</v>
      </c>
      <c r="E3289" s="4">
        <v>45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spans="1:21" ht="12" customHeight="1">
      <c r="A3290" s="4">
        <v>4930</v>
      </c>
      <c r="B3290" s="4">
        <v>35077</v>
      </c>
      <c r="C3290" s="5">
        <f>DATE(2012,12,31)-451</f>
        <v>40823</v>
      </c>
      <c r="D3290" s="4" t="s">
        <v>30</v>
      </c>
      <c r="E3290" s="4">
        <v>29</v>
      </c>
      <c r="F3290" s="4">
        <v>81.099999999999994</v>
      </c>
      <c r="G3290" s="4">
        <v>0.06</v>
      </c>
      <c r="H3290" s="4" t="s">
        <v>22</v>
      </c>
      <c r="I3290" s="6">
        <v>-2.0699999999999998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0.57999999999999996</v>
      </c>
      <c r="U3290" s="5">
        <f>C3290+1</f>
        <v>40824</v>
      </c>
    </row>
    <row r="3291" spans="1:21" ht="12" customHeight="1">
      <c r="A3291" s="4">
        <v>5072</v>
      </c>
      <c r="B3291" s="4">
        <v>36132</v>
      </c>
      <c r="C3291" s="5">
        <f>DATE(2012,12,31)-266</f>
        <v>41008</v>
      </c>
      <c r="D3291" s="4" t="s">
        <v>21</v>
      </c>
      <c r="E3291" s="4">
        <v>3</v>
      </c>
      <c r="F3291" s="4">
        <v>604.57600000000002</v>
      </c>
      <c r="G3291" s="4">
        <v>0.03</v>
      </c>
      <c r="H3291" s="4" t="s">
        <v>31</v>
      </c>
      <c r="I3291" s="6">
        <v>-572.68539900000019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spans="1:21" ht="12" customHeight="1">
      <c r="A3292" s="4">
        <v>5073</v>
      </c>
      <c r="B3292" s="4">
        <v>36133</v>
      </c>
      <c r="C3292" s="5">
        <f>DATE(2012,12,31)-499</f>
        <v>40775</v>
      </c>
      <c r="D3292" s="4" t="s">
        <v>63</v>
      </c>
      <c r="E3292" s="4">
        <v>6</v>
      </c>
      <c r="F3292" s="4">
        <v>128.56</v>
      </c>
      <c r="G3292" s="4">
        <v>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spans="1:21" ht="12" customHeight="1">
      <c r="A3293" s="4">
        <v>5330</v>
      </c>
      <c r="B3293" s="4">
        <v>37891</v>
      </c>
      <c r="C3293" s="5">
        <f t="shared" ref="C3293:C3296" si="1367">DATE(2012,12,31)-438</f>
        <v>40836</v>
      </c>
      <c r="D3293" s="4" t="s">
        <v>30</v>
      </c>
      <c r="E3293" s="4">
        <v>24</v>
      </c>
      <c r="F3293" s="4">
        <v>163.36000000000001</v>
      </c>
      <c r="G3293" s="4">
        <v>0.04</v>
      </c>
      <c r="H3293" s="4" t="s">
        <v>22</v>
      </c>
      <c r="I3293" s="6">
        <v>-65.540000000000006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8">C3293+2</f>
        <v>40838</v>
      </c>
    </row>
    <row r="3294" spans="1:21" ht="12" customHeight="1">
      <c r="A3294" s="4">
        <v>5331</v>
      </c>
      <c r="B3294" s="4">
        <v>37891</v>
      </c>
      <c r="C3294" s="5">
        <f t="shared" si="1367"/>
        <v>40836</v>
      </c>
      <c r="D3294" s="4" t="s">
        <v>30</v>
      </c>
      <c r="E3294" s="4">
        <v>21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8"/>
        <v>40838</v>
      </c>
    </row>
    <row r="3295" spans="1:21" ht="12" customHeight="1">
      <c r="A3295" s="4">
        <v>5332</v>
      </c>
      <c r="B3295" s="4">
        <v>37891</v>
      </c>
      <c r="C3295" s="5">
        <f t="shared" si="1367"/>
        <v>40836</v>
      </c>
      <c r="D3295" s="4" t="s">
        <v>30</v>
      </c>
      <c r="E3295" s="4">
        <v>4</v>
      </c>
      <c r="F3295" s="4">
        <v>1135.6400000000001</v>
      </c>
      <c r="G3295" s="4">
        <v>0.02</v>
      </c>
      <c r="H3295" s="4" t="s">
        <v>31</v>
      </c>
      <c r="I3295" s="6">
        <v>-627.64115700000002</v>
      </c>
      <c r="J3295" s="4">
        <v>259.70999999999998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spans="1:21" ht="12" customHeight="1">
      <c r="A3296" s="4">
        <v>5333</v>
      </c>
      <c r="B3296" s="4">
        <v>37891</v>
      </c>
      <c r="C3296" s="5">
        <f t="shared" si="1367"/>
        <v>40836</v>
      </c>
      <c r="D3296" s="4" t="s">
        <v>30</v>
      </c>
      <c r="E3296" s="4">
        <v>33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0.56999999999999995</v>
      </c>
      <c r="U3296" s="5">
        <f>C3296+2</f>
        <v>40838</v>
      </c>
    </row>
    <row r="3297" spans="1:21" ht="12" customHeight="1">
      <c r="A3297" s="4">
        <v>5366</v>
      </c>
      <c r="B3297" s="4">
        <v>38146</v>
      </c>
      <c r="C3297" s="5">
        <f>DATE(2012,12,31)-390</f>
        <v>40884</v>
      </c>
      <c r="D3297" s="4" t="s">
        <v>21</v>
      </c>
      <c r="E3297" s="4">
        <v>41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19.940000000000001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0.56999999999999995</v>
      </c>
      <c r="U3297" s="5">
        <f>C3297+0</f>
        <v>40884</v>
      </c>
    </row>
    <row r="3298" spans="1:21" ht="12" customHeight="1">
      <c r="A3298" s="4">
        <v>5441</v>
      </c>
      <c r="B3298" s="4">
        <v>38656</v>
      </c>
      <c r="C3298" s="5">
        <f t="shared" ref="C3298:C3299" si="1369">DATE(2012,12,31)-143</f>
        <v>41131</v>
      </c>
      <c r="D3298" s="4" t="s">
        <v>21</v>
      </c>
      <c r="E3298" s="4">
        <v>41</v>
      </c>
      <c r="F3298" s="4">
        <v>162.51</v>
      </c>
      <c r="G3298" s="4">
        <v>0.09</v>
      </c>
      <c r="H3298" s="4" t="s">
        <v>22</v>
      </c>
      <c r="I3298" s="6">
        <v>-148.39599999999999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spans="1:21" ht="12" customHeight="1">
      <c r="A3299" s="4">
        <v>5442</v>
      </c>
      <c r="B3299" s="4">
        <v>38656</v>
      </c>
      <c r="C3299" s="5">
        <f t="shared" si="1369"/>
        <v>41131</v>
      </c>
      <c r="D3299" s="4" t="s">
        <v>21</v>
      </c>
      <c r="E3299" s="4">
        <v>3</v>
      </c>
      <c r="F3299" s="4">
        <v>561.42999999999995</v>
      </c>
      <c r="G3299" s="4">
        <v>7.0000000000000007E-2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spans="1:21" ht="12" customHeight="1">
      <c r="A3300" s="4">
        <v>5545</v>
      </c>
      <c r="B3300" s="4">
        <v>39268</v>
      </c>
      <c r="C3300" s="5">
        <f t="shared" ref="C3300:C3301" si="1370">DATE(2012,12,31)-619</f>
        <v>40655</v>
      </c>
      <c r="D3300" s="4" t="s">
        <v>45</v>
      </c>
      <c r="E3300" s="4">
        <v>44</v>
      </c>
      <c r="F3300" s="4">
        <v>324.2</v>
      </c>
      <c r="G3300" s="4">
        <v>0.02</v>
      </c>
      <c r="H3300" s="4" t="s">
        <v>56</v>
      </c>
      <c r="I3300" s="6">
        <v>-89.746000000000009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spans="1:21" ht="12" customHeight="1">
      <c r="A3301" s="4">
        <v>5546</v>
      </c>
      <c r="B3301" s="4">
        <v>39268</v>
      </c>
      <c r="C3301" s="5">
        <f t="shared" si="1370"/>
        <v>40655</v>
      </c>
      <c r="D3301" s="4" t="s">
        <v>45</v>
      </c>
      <c r="E3301" s="4">
        <v>45</v>
      </c>
      <c r="F3301" s="4">
        <v>156.94999999999999</v>
      </c>
      <c r="G3301" s="4">
        <v>0.1</v>
      </c>
      <c r="H3301" s="4" t="s">
        <v>22</v>
      </c>
      <c r="I3301" s="6">
        <v>-32.520000000000003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1">C3301+3</f>
        <v>40658</v>
      </c>
    </row>
    <row r="3302" spans="1:21" ht="12" customHeight="1">
      <c r="A3302" s="4">
        <v>5591</v>
      </c>
      <c r="B3302" s="4">
        <v>39650</v>
      </c>
      <c r="C3302" s="5">
        <f t="shared" ref="C3302:C3303" si="1372">DATE(2012,12,31)-885</f>
        <v>40389</v>
      </c>
      <c r="D3302" s="4" t="s">
        <v>45</v>
      </c>
      <c r="E3302" s="4">
        <v>10</v>
      </c>
      <c r="F3302" s="4">
        <v>1004.89</v>
      </c>
      <c r="G3302" s="4">
        <v>0</v>
      </c>
      <c r="H3302" s="4" t="s">
        <v>31</v>
      </c>
      <c r="I3302" s="6">
        <v>-189.02</v>
      </c>
      <c r="J3302" s="4">
        <v>89.99</v>
      </c>
      <c r="K3302" s="4">
        <v>42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1"/>
        <v>40392</v>
      </c>
    </row>
    <row r="3303" spans="1:21" ht="12" customHeight="1">
      <c r="A3303" s="4">
        <v>5592</v>
      </c>
      <c r="B3303" s="4">
        <v>39650</v>
      </c>
      <c r="C3303" s="5">
        <f t="shared" si="1372"/>
        <v>40389</v>
      </c>
      <c r="D3303" s="4" t="s">
        <v>45</v>
      </c>
      <c r="E3303" s="4">
        <v>47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spans="1:21" ht="12" customHeight="1">
      <c r="A3304" s="4">
        <v>5740</v>
      </c>
      <c r="B3304" s="4">
        <v>40800</v>
      </c>
      <c r="C3304" s="5">
        <f>DATE(2012,12,31)-758</f>
        <v>40516</v>
      </c>
      <c r="D3304" s="4" t="s">
        <v>45</v>
      </c>
      <c r="E3304" s="4">
        <v>41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spans="1:21" ht="12" customHeight="1">
      <c r="A3305" s="4">
        <v>5847</v>
      </c>
      <c r="B3305" s="4">
        <v>41476</v>
      </c>
      <c r="C3305" s="5">
        <f>DATE(2012,12,31)-945</f>
        <v>40329</v>
      </c>
      <c r="D3305" s="4" t="s">
        <v>30</v>
      </c>
      <c r="E3305" s="4">
        <v>48</v>
      </c>
      <c r="F3305" s="4">
        <v>92.25</v>
      </c>
      <c r="G3305" s="4">
        <v>7.0000000000000007E-2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spans="1:21" ht="12" customHeight="1">
      <c r="A3306" s="4">
        <v>5905</v>
      </c>
      <c r="B3306" s="4">
        <v>41861</v>
      </c>
      <c r="C3306" s="5">
        <f>DATE(2012,12,31)-766</f>
        <v>40508</v>
      </c>
      <c r="D3306" s="4" t="s">
        <v>21</v>
      </c>
      <c r="E3306" s="4">
        <v>24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3">C3306+2</f>
        <v>40510</v>
      </c>
    </row>
    <row r="3307" spans="1:21" ht="12" customHeight="1">
      <c r="A3307" s="4">
        <v>5956</v>
      </c>
      <c r="B3307" s="4">
        <v>42274</v>
      </c>
      <c r="C3307" s="5">
        <f t="shared" ref="C3307:C3308" si="1374">DATE(2012,12,31)-485</f>
        <v>40789</v>
      </c>
      <c r="D3307" s="4" t="s">
        <v>30</v>
      </c>
      <c r="E3307" s="4">
        <v>23</v>
      </c>
      <c r="F3307" s="4">
        <v>2296.7600000000002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19.989999999999998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3"/>
        <v>40791</v>
      </c>
    </row>
    <row r="3308" spans="1:21" ht="12" customHeight="1">
      <c r="A3308" s="4">
        <v>5957</v>
      </c>
      <c r="B3308" s="4">
        <v>42274</v>
      </c>
      <c r="C3308" s="5">
        <f t="shared" si="1374"/>
        <v>40789</v>
      </c>
      <c r="D3308" s="4" t="s">
        <v>30</v>
      </c>
      <c r="E3308" s="4">
        <v>45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3"/>
        <v>40791</v>
      </c>
    </row>
    <row r="3309" spans="1:21" ht="12" customHeight="1">
      <c r="A3309" s="4">
        <v>6048</v>
      </c>
      <c r="B3309" s="4">
        <v>42882</v>
      </c>
      <c r="C3309" s="5">
        <f>DATE(2012,12,31)-796</f>
        <v>40478</v>
      </c>
      <c r="D3309" s="4" t="s">
        <v>21</v>
      </c>
      <c r="E3309" s="4">
        <v>17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4.9800000000000004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0.57999999999999996</v>
      </c>
      <c r="U3309" s="5">
        <f t="shared" si="1373"/>
        <v>40480</v>
      </c>
    </row>
    <row r="3310" spans="1:21" ht="12" customHeight="1">
      <c r="A3310" s="4">
        <v>6167</v>
      </c>
      <c r="B3310" s="4">
        <v>43713</v>
      </c>
      <c r="C3310" s="5">
        <f>DATE(2012,12,31)-115</f>
        <v>41159</v>
      </c>
      <c r="D3310" s="4" t="s">
        <v>63</v>
      </c>
      <c r="E3310" s="4">
        <v>12</v>
      </c>
      <c r="F3310" s="4">
        <v>34.409999999999997</v>
      </c>
      <c r="G3310" s="4">
        <v>0.05</v>
      </c>
      <c r="H3310" s="4" t="s">
        <v>22</v>
      </c>
      <c r="I3310" s="6">
        <v>-17.690000000000001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0.57999999999999996</v>
      </c>
      <c r="U3310" s="5">
        <f t="shared" si="1373"/>
        <v>41161</v>
      </c>
    </row>
    <row r="3311" spans="1:21" ht="12" customHeight="1">
      <c r="A3311" s="4">
        <v>6262</v>
      </c>
      <c r="B3311" s="4">
        <v>44322</v>
      </c>
      <c r="C3311" s="5">
        <f>DATE(2012,12,31)-446</f>
        <v>40828</v>
      </c>
      <c r="D3311" s="4" t="s">
        <v>45</v>
      </c>
      <c r="E3311" s="4">
        <v>15</v>
      </c>
      <c r="F3311" s="4">
        <v>600.79999999999995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3"/>
        <v>40830</v>
      </c>
    </row>
    <row r="3312" spans="1:21" ht="12" customHeight="1">
      <c r="A3312" s="4">
        <v>6297</v>
      </c>
      <c r="B3312" s="4">
        <v>44579</v>
      </c>
      <c r="C3312" s="5">
        <f>DATE(2012,12,31)-577</f>
        <v>40697</v>
      </c>
      <c r="D3312" s="4" t="s">
        <v>45</v>
      </c>
      <c r="E3312" s="4">
        <v>19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18.059999999999999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0.56999999999999995</v>
      </c>
      <c r="U3312" s="5">
        <f t="shared" ref="U3312:U3313" si="1375">C3312+1</f>
        <v>40698</v>
      </c>
    </row>
    <row r="3313" spans="1:21" ht="12" customHeight="1">
      <c r="A3313" s="4">
        <v>6320</v>
      </c>
      <c r="B3313" s="4">
        <v>44737</v>
      </c>
      <c r="C3313" s="5">
        <f t="shared" ref="C3313:C3314" si="1376">DATE(2012,12,31)-42</f>
        <v>41232</v>
      </c>
      <c r="D3313" s="4" t="s">
        <v>63</v>
      </c>
      <c r="E3313" s="4">
        <v>11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64.650000000000006</v>
      </c>
      <c r="K3313" s="4">
        <v>35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5"/>
        <v>41233</v>
      </c>
    </row>
    <row r="3314" spans="1:21" ht="12" customHeight="1">
      <c r="A3314" s="4">
        <v>6321</v>
      </c>
      <c r="B3314" s="4">
        <v>44737</v>
      </c>
      <c r="C3314" s="5">
        <f t="shared" si="1376"/>
        <v>41232</v>
      </c>
      <c r="D3314" s="4" t="s">
        <v>63</v>
      </c>
      <c r="E3314" s="4">
        <v>16</v>
      </c>
      <c r="F3314" s="4">
        <v>302.13249999999999</v>
      </c>
      <c r="G3314" s="4">
        <v>0.02</v>
      </c>
      <c r="H3314" s="4" t="s">
        <v>22</v>
      </c>
      <c r="I3314" s="6">
        <v>38.906999999999996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0.56999999999999995</v>
      </c>
      <c r="U3314" s="5">
        <f t="shared" ref="U3314:U3315" si="1377">C3314+2</f>
        <v>41234</v>
      </c>
    </row>
    <row r="3315" spans="1:21" ht="12" customHeight="1">
      <c r="A3315" s="4">
        <v>6322</v>
      </c>
      <c r="B3315" s="4">
        <v>44738</v>
      </c>
      <c r="C3315" s="5">
        <f>DATE(2012,12,31)-757</f>
        <v>40517</v>
      </c>
      <c r="D3315" s="4" t="s">
        <v>45</v>
      </c>
      <c r="E3315" s="4">
        <v>34</v>
      </c>
      <c r="F3315" s="4">
        <v>75.569999999999993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0.56999999999999995</v>
      </c>
      <c r="U3315" s="5">
        <f t="shared" si="1377"/>
        <v>40519</v>
      </c>
    </row>
    <row r="3316" spans="1:21" ht="12" customHeight="1">
      <c r="A3316" s="4">
        <v>6323</v>
      </c>
      <c r="B3316" s="4">
        <v>44768</v>
      </c>
      <c r="C3316" s="5">
        <f>DATE(2012,12,31)-219</f>
        <v>41055</v>
      </c>
      <c r="D3316" s="4" t="s">
        <v>45</v>
      </c>
      <c r="E3316" s="4">
        <v>45</v>
      </c>
      <c r="F3316" s="4">
        <v>16699.560000000001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spans="1:21" ht="12" customHeight="1">
      <c r="A3317" s="4">
        <v>6352</v>
      </c>
      <c r="B3317" s="4">
        <v>45029</v>
      </c>
      <c r="C3317" s="5">
        <f>DATE(2012,12,31)-912</f>
        <v>40362</v>
      </c>
      <c r="D3317" s="4" t="s">
        <v>30</v>
      </c>
      <c r="E3317" s="4">
        <v>20</v>
      </c>
      <c r="F3317" s="4">
        <v>5304.42</v>
      </c>
      <c r="G3317" s="4">
        <v>0.01</v>
      </c>
      <c r="H3317" s="4" t="s">
        <v>31</v>
      </c>
      <c r="I3317" s="6">
        <v>-633.44123700000023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spans="1:21" ht="12" customHeight="1">
      <c r="A3318" s="4">
        <v>6410</v>
      </c>
      <c r="B3318" s="4">
        <v>45543</v>
      </c>
      <c r="C3318" s="5">
        <f>DATE(2012,12,31)-698</f>
        <v>40576</v>
      </c>
      <c r="D3318" s="4" t="s">
        <v>21</v>
      </c>
      <c r="E3318" s="4">
        <v>16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spans="1:21" ht="12" customHeight="1">
      <c r="A3319" s="4">
        <v>6422</v>
      </c>
      <c r="B3319" s="4">
        <v>45635</v>
      </c>
      <c r="C3319" s="5">
        <f>DATE(2012,12,31)-268</f>
        <v>41006</v>
      </c>
      <c r="D3319" s="4" t="s">
        <v>21</v>
      </c>
      <c r="E3319" s="4">
        <v>50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spans="1:21" ht="12" customHeight="1">
      <c r="A3320" s="4">
        <v>6642</v>
      </c>
      <c r="B3320" s="4">
        <v>47236</v>
      </c>
      <c r="C3320" s="5">
        <f>DATE(2012,12,31)-456</f>
        <v>40818</v>
      </c>
      <c r="D3320" s="4" t="s">
        <v>30</v>
      </c>
      <c r="E3320" s="4">
        <v>1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8">C3320+2</f>
        <v>40820</v>
      </c>
    </row>
    <row r="3321" spans="1:21" ht="12" customHeight="1">
      <c r="A3321" s="4">
        <v>6697</v>
      </c>
      <c r="B3321" s="4">
        <v>47686</v>
      </c>
      <c r="C3321" s="5">
        <f>DATE(2012,12,31)-81</f>
        <v>41193</v>
      </c>
      <c r="D3321" s="4" t="s">
        <v>45</v>
      </c>
      <c r="E3321" s="4">
        <v>48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0.55000000000000004</v>
      </c>
      <c r="U3321" s="5">
        <f t="shared" si="1378"/>
        <v>41195</v>
      </c>
    </row>
    <row r="3322" spans="1:21" ht="12" customHeight="1">
      <c r="A3322" s="4">
        <v>6738</v>
      </c>
      <c r="B3322" s="4">
        <v>47971</v>
      </c>
      <c r="C3322" s="5">
        <f>DATE(2012,12,31)-63</f>
        <v>41211</v>
      </c>
      <c r="D3322" s="4" t="s">
        <v>30</v>
      </c>
      <c r="E3322" s="4">
        <v>24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79">C3322+1</f>
        <v>41212</v>
      </c>
    </row>
    <row r="3323" spans="1:21" ht="12" customHeight="1">
      <c r="A3323" s="4">
        <v>6777</v>
      </c>
      <c r="B3323" s="4">
        <v>48261</v>
      </c>
      <c r="C3323" s="5">
        <f>DATE(2012,12,31)-654</f>
        <v>40620</v>
      </c>
      <c r="D3323" s="4" t="s">
        <v>63</v>
      </c>
      <c r="E3323" s="4">
        <v>15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130.97999999999999</v>
      </c>
      <c r="K3323" s="4">
        <v>30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79"/>
        <v>40621</v>
      </c>
    </row>
    <row r="3324" spans="1:21" ht="12" customHeight="1">
      <c r="A3324" s="4">
        <v>6864</v>
      </c>
      <c r="B3324" s="4">
        <v>48902</v>
      </c>
      <c r="C3324" s="5">
        <f>DATE(2012,12,31)-69</f>
        <v>41205</v>
      </c>
      <c r="D3324" s="4" t="s">
        <v>63</v>
      </c>
      <c r="E3324" s="4">
        <v>7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spans="1:21" ht="12" customHeight="1">
      <c r="A3325" s="4">
        <v>6904</v>
      </c>
      <c r="B3325" s="4">
        <v>49221</v>
      </c>
      <c r="C3325" s="5">
        <f t="shared" ref="C3325:C3326" si="1380">DATE(2012,12,31)-912</f>
        <v>40362</v>
      </c>
      <c r="D3325" s="4" t="s">
        <v>45</v>
      </c>
      <c r="E3325" s="4">
        <v>22</v>
      </c>
      <c r="F3325" s="4">
        <v>399.64</v>
      </c>
      <c r="G3325" s="4">
        <v>0.04</v>
      </c>
      <c r="H3325" s="4" t="s">
        <v>22</v>
      </c>
      <c r="I3325" s="6">
        <v>-15.416399999999999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1">C3325+1</f>
        <v>40363</v>
      </c>
    </row>
    <row r="3326" spans="1:21" ht="12" customHeight="1">
      <c r="A3326" s="4">
        <v>6905</v>
      </c>
      <c r="B3326" s="4">
        <v>49221</v>
      </c>
      <c r="C3326" s="5">
        <f t="shared" si="1380"/>
        <v>40362</v>
      </c>
      <c r="D3326" s="4" t="s">
        <v>45</v>
      </c>
      <c r="E3326" s="4">
        <v>41</v>
      </c>
      <c r="F3326" s="4">
        <v>277.35000000000002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1"/>
        <v>40363</v>
      </c>
    </row>
    <row r="3327" spans="1:21" ht="12" customHeight="1">
      <c r="A3327" s="4">
        <v>6907</v>
      </c>
      <c r="B3327" s="4">
        <v>49255</v>
      </c>
      <c r="C3327" s="5">
        <f>DATE(2012,12,31)-192</f>
        <v>41082</v>
      </c>
      <c r="D3327" s="4" t="s">
        <v>30</v>
      </c>
      <c r="E3327" s="4">
        <v>20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1"/>
        <v>41083</v>
      </c>
    </row>
    <row r="3328" spans="1:21" ht="12" customHeight="1">
      <c r="A3328" s="4">
        <v>6942</v>
      </c>
      <c r="B3328" s="4">
        <v>49575</v>
      </c>
      <c r="C3328" s="5">
        <f>DATE(2012,12,31)-746</f>
        <v>40528</v>
      </c>
      <c r="D3328" s="4" t="s">
        <v>30</v>
      </c>
      <c r="E3328" s="4">
        <v>12</v>
      </c>
      <c r="F3328" s="4">
        <v>507.44</v>
      </c>
      <c r="G3328" s="4">
        <v>0.05</v>
      </c>
      <c r="H3328" s="4" t="s">
        <v>22</v>
      </c>
      <c r="I3328" s="6">
        <v>170.90100000000001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1"/>
        <v>40529</v>
      </c>
    </row>
    <row r="3329" spans="1:21" ht="12" customHeight="1">
      <c r="A3329" s="4">
        <v>7023</v>
      </c>
      <c r="B3329" s="4">
        <v>50144</v>
      </c>
      <c r="C3329" s="5">
        <f>DATE(2012,12,31)-207</f>
        <v>41067</v>
      </c>
      <c r="D3329" s="4" t="s">
        <v>78</v>
      </c>
      <c r="E3329" s="4">
        <v>36</v>
      </c>
      <c r="F3329" s="4">
        <v>4169.93</v>
      </c>
      <c r="G3329" s="4">
        <v>0.1</v>
      </c>
      <c r="H3329" s="4" t="s">
        <v>56</v>
      </c>
      <c r="I3329" s="6">
        <v>1765.5350000000001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spans="1:21" ht="12" customHeight="1">
      <c r="A3330" s="4">
        <v>7030</v>
      </c>
      <c r="B3330" s="4">
        <v>50181</v>
      </c>
      <c r="C3330" s="5">
        <f>DATE(2012,12,31)-215</f>
        <v>41059</v>
      </c>
      <c r="D3330" s="4" t="s">
        <v>30</v>
      </c>
      <c r="E3330" s="4">
        <v>2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2">C3330+1</f>
        <v>41060</v>
      </c>
    </row>
    <row r="3331" spans="1:21" ht="12" customHeight="1">
      <c r="A3331" s="4">
        <v>7346</v>
      </c>
      <c r="B3331" s="4">
        <v>52324</v>
      </c>
      <c r="C3331" s="5">
        <f>DATE(2012,12,31)-185</f>
        <v>41089</v>
      </c>
      <c r="D3331" s="4" t="s">
        <v>45</v>
      </c>
      <c r="E3331" s="4">
        <v>4</v>
      </c>
      <c r="F3331" s="4">
        <v>757.11</v>
      </c>
      <c r="G3331" s="4">
        <v>7.0000000000000007E-2</v>
      </c>
      <c r="H3331" s="4" t="s">
        <v>31</v>
      </c>
      <c r="I3331" s="6">
        <v>-224.35</v>
      </c>
      <c r="J3331" s="4">
        <v>180.98</v>
      </c>
      <c r="K3331" s="4">
        <v>30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2"/>
        <v>41090</v>
      </c>
    </row>
    <row r="3332" spans="1:21" ht="12" customHeight="1">
      <c r="A3332" s="4">
        <v>7414</v>
      </c>
      <c r="B3332" s="4">
        <v>52896</v>
      </c>
      <c r="C3332" s="5">
        <f t="shared" ref="C3332:C3334" si="1383">DATE(2012,12,31)-801</f>
        <v>40473</v>
      </c>
      <c r="D3332" s="4" t="s">
        <v>30</v>
      </c>
      <c r="E3332" s="4">
        <v>24</v>
      </c>
      <c r="F3332" s="4">
        <v>8920.08</v>
      </c>
      <c r="G3332" s="4">
        <v>0</v>
      </c>
      <c r="H3332" s="4" t="s">
        <v>22</v>
      </c>
      <c r="I3332" s="6">
        <v>3545.8940000000002</v>
      </c>
      <c r="J3332" s="4">
        <v>367.99</v>
      </c>
      <c r="K3332" s="4">
        <v>19.989999999999998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4">C3332+3</f>
        <v>40476</v>
      </c>
    </row>
    <row r="3333" spans="1:21" ht="12" customHeight="1">
      <c r="A3333" s="4">
        <v>7415</v>
      </c>
      <c r="B3333" s="4">
        <v>52896</v>
      </c>
      <c r="C3333" s="5">
        <f t="shared" si="1383"/>
        <v>40473</v>
      </c>
      <c r="D3333" s="4" t="s">
        <v>30</v>
      </c>
      <c r="E3333" s="4">
        <v>49</v>
      </c>
      <c r="F3333" s="4">
        <v>188.7</v>
      </c>
      <c r="G3333" s="4">
        <v>7.0000000000000007E-2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4"/>
        <v>40476</v>
      </c>
    </row>
    <row r="3334" spans="1:21" ht="12" customHeight="1">
      <c r="A3334" s="4">
        <v>7416</v>
      </c>
      <c r="B3334" s="4">
        <v>52896</v>
      </c>
      <c r="C3334" s="5">
        <f t="shared" si="1383"/>
        <v>40473</v>
      </c>
      <c r="D3334" s="4" t="s">
        <v>30</v>
      </c>
      <c r="E3334" s="4">
        <v>36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5">C3334+2</f>
        <v>40475</v>
      </c>
    </row>
    <row r="3335" spans="1:21" ht="12" customHeight="1">
      <c r="A3335" s="4">
        <v>7487</v>
      </c>
      <c r="B3335" s="4">
        <v>53445</v>
      </c>
      <c r="C3335" s="5">
        <f t="shared" ref="C3335:C3336" si="1386">DATE(2012,12,31)-68</f>
        <v>41206</v>
      </c>
      <c r="D3335" s="4" t="s">
        <v>30</v>
      </c>
      <c r="E3335" s="4">
        <v>8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5"/>
        <v>41208</v>
      </c>
    </row>
    <row r="3336" spans="1:21" ht="12" customHeight="1">
      <c r="A3336" s="4">
        <v>7488</v>
      </c>
      <c r="B3336" s="4">
        <v>53445</v>
      </c>
      <c r="C3336" s="5">
        <f t="shared" si="1386"/>
        <v>41206</v>
      </c>
      <c r="D3336" s="4" t="s">
        <v>30</v>
      </c>
      <c r="E3336" s="4">
        <v>21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5"/>
        <v>41208</v>
      </c>
    </row>
    <row r="3337" spans="1:21" ht="12" customHeight="1">
      <c r="A3337" s="4">
        <v>7576</v>
      </c>
      <c r="B3337" s="4">
        <v>54181</v>
      </c>
      <c r="C3337" s="5">
        <f>DATE(2012,12,31)-227</f>
        <v>41047</v>
      </c>
      <c r="D3337" s="4" t="s">
        <v>30</v>
      </c>
      <c r="E3337" s="4">
        <v>12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5"/>
        <v>41049</v>
      </c>
    </row>
    <row r="3338" spans="1:21" ht="12" customHeight="1">
      <c r="A3338" s="4">
        <v>7604</v>
      </c>
      <c r="B3338" s="4">
        <v>54407</v>
      </c>
      <c r="C3338" s="5">
        <f>DATE(2012,12,31)-929</f>
        <v>40345</v>
      </c>
      <c r="D3338" s="4" t="s">
        <v>63</v>
      </c>
      <c r="E3338" s="4">
        <v>24</v>
      </c>
      <c r="F3338" s="4">
        <v>9396.27</v>
      </c>
      <c r="G3338" s="4">
        <v>7.0000000000000007E-2</v>
      </c>
      <c r="H3338" s="4" t="s">
        <v>22</v>
      </c>
      <c r="I3338" s="6">
        <v>3857.5719999999997</v>
      </c>
      <c r="J3338" s="4">
        <v>420.98</v>
      </c>
      <c r="K3338" s="4">
        <v>19.989999999999998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spans="1:21" ht="12" customHeight="1">
      <c r="A3339" s="4">
        <v>7735</v>
      </c>
      <c r="B3339" s="4">
        <v>55394</v>
      </c>
      <c r="C3339" s="5">
        <f>DATE(2012,12,31)-1039</f>
        <v>40235</v>
      </c>
      <c r="D3339" s="4" t="s">
        <v>78</v>
      </c>
      <c r="E3339" s="4">
        <v>21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spans="1:21" ht="12" customHeight="1">
      <c r="A3340" s="4">
        <v>7835</v>
      </c>
      <c r="B3340" s="4">
        <v>56003</v>
      </c>
      <c r="C3340" s="5">
        <f>DATE(2012,12,31)-1000</f>
        <v>40274</v>
      </c>
      <c r="D3340" s="4" t="s">
        <v>78</v>
      </c>
      <c r="E3340" s="4">
        <v>13</v>
      </c>
      <c r="F3340" s="4">
        <v>1835.47</v>
      </c>
      <c r="G3340" s="4">
        <v>0.1</v>
      </c>
      <c r="H3340" s="4" t="s">
        <v>31</v>
      </c>
      <c r="I3340" s="6">
        <v>-364.87336600000009</v>
      </c>
      <c r="J3340" s="4">
        <v>150.97999999999999</v>
      </c>
      <c r="K3340" s="4">
        <v>16.010000000000002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spans="1:21" ht="12" customHeight="1">
      <c r="A3341" s="4">
        <v>7848</v>
      </c>
      <c r="B3341" s="4">
        <v>56128</v>
      </c>
      <c r="C3341" s="5">
        <f t="shared" ref="C3341:C3342" si="1387">DATE(2012,12,31)-885</f>
        <v>40389</v>
      </c>
      <c r="D3341" s="4" t="s">
        <v>63</v>
      </c>
      <c r="E3341" s="4">
        <v>41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0.56999999999999995</v>
      </c>
      <c r="U3341" s="5">
        <f>C3341+0</f>
        <v>40389</v>
      </c>
    </row>
    <row r="3342" spans="1:21" ht="12" customHeight="1">
      <c r="A3342" s="4">
        <v>7849</v>
      </c>
      <c r="B3342" s="4">
        <v>56128</v>
      </c>
      <c r="C3342" s="5">
        <f t="shared" si="1387"/>
        <v>40389</v>
      </c>
      <c r="D3342" s="4" t="s">
        <v>63</v>
      </c>
      <c r="E3342" s="4">
        <v>19</v>
      </c>
      <c r="F3342" s="4">
        <v>657.23199999999997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8">C3342+1</f>
        <v>40390</v>
      </c>
    </row>
    <row r="3343" spans="1:21" ht="12" customHeight="1">
      <c r="A3343" s="4">
        <v>7882</v>
      </c>
      <c r="B3343" s="4">
        <v>56384</v>
      </c>
      <c r="C3343" s="5">
        <f t="shared" ref="C3343:C3344" si="1389">DATE(2012,12,31)-153</f>
        <v>41121</v>
      </c>
      <c r="D3343" s="4" t="s">
        <v>78</v>
      </c>
      <c r="E3343" s="4">
        <v>47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4.4800000000000004</v>
      </c>
      <c r="K3343" s="4">
        <v>49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8"/>
        <v>41122</v>
      </c>
    </row>
    <row r="3344" spans="1:21" ht="12" customHeight="1">
      <c r="A3344" s="4">
        <v>7883</v>
      </c>
      <c r="B3344" s="4">
        <v>56384</v>
      </c>
      <c r="C3344" s="5">
        <f t="shared" si="1389"/>
        <v>41121</v>
      </c>
      <c r="D3344" s="4" t="s">
        <v>78</v>
      </c>
      <c r="E3344" s="4">
        <v>29</v>
      </c>
      <c r="F3344" s="4">
        <v>6139.34</v>
      </c>
      <c r="G3344" s="4">
        <v>0.08</v>
      </c>
      <c r="H3344" s="4" t="s">
        <v>31</v>
      </c>
      <c r="I3344" s="6">
        <v>-528.65312500000005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spans="1:21" ht="12" customHeight="1">
      <c r="A3345" s="4">
        <v>7926</v>
      </c>
      <c r="B3345" s="4">
        <v>56646</v>
      </c>
      <c r="C3345" s="5">
        <f>DATE(2012,12,31)-957</f>
        <v>40317</v>
      </c>
      <c r="D3345" s="4" t="s">
        <v>78</v>
      </c>
      <c r="E3345" s="4">
        <v>41</v>
      </c>
      <c r="F3345" s="4">
        <v>4257.2759999999998</v>
      </c>
      <c r="G3345" s="4">
        <v>0.04</v>
      </c>
      <c r="H3345" s="4" t="s">
        <v>22</v>
      </c>
      <c r="I3345" s="6">
        <v>1059.0840000000001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spans="1:21" ht="12" customHeight="1">
      <c r="A3346" s="4">
        <v>7968</v>
      </c>
      <c r="B3346" s="4">
        <v>56967</v>
      </c>
      <c r="C3346" s="5">
        <f>DATE(2012,12,31)-304</f>
        <v>40970</v>
      </c>
      <c r="D3346" s="4" t="s">
        <v>21</v>
      </c>
      <c r="E3346" s="4">
        <v>17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spans="1:21" ht="12" customHeight="1">
      <c r="A3347" s="4">
        <v>8053</v>
      </c>
      <c r="B3347" s="4">
        <v>57479</v>
      </c>
      <c r="C3347" s="5">
        <f>DATE(2012,12,31)-657</f>
        <v>40617</v>
      </c>
      <c r="D3347" s="4" t="s">
        <v>30</v>
      </c>
      <c r="E3347" s="4">
        <v>37</v>
      </c>
      <c r="F3347" s="4">
        <v>132.12</v>
      </c>
      <c r="G3347" s="4">
        <v>7.0000000000000007E-2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spans="1:21" ht="12" customHeight="1">
      <c r="A3348" s="4">
        <v>8089</v>
      </c>
      <c r="B3348" s="4">
        <v>57699</v>
      </c>
      <c r="C3348" s="5">
        <f t="shared" ref="C3348:C3350" si="1390">DATE(2012,12,31)-51</f>
        <v>41223</v>
      </c>
      <c r="D3348" s="4" t="s">
        <v>21</v>
      </c>
      <c r="E3348" s="4">
        <v>47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spans="1:21" ht="12" customHeight="1">
      <c r="A3349" s="4">
        <v>8090</v>
      </c>
      <c r="B3349" s="4">
        <v>57699</v>
      </c>
      <c r="C3349" s="5">
        <f t="shared" si="1390"/>
        <v>41223</v>
      </c>
      <c r="D3349" s="4" t="s">
        <v>21</v>
      </c>
      <c r="E3349" s="4">
        <v>36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19.989999999999998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spans="1:21" ht="12" customHeight="1">
      <c r="A3350" s="4">
        <v>8091</v>
      </c>
      <c r="B3350" s="4">
        <v>57699</v>
      </c>
      <c r="C3350" s="5">
        <f t="shared" si="1390"/>
        <v>41223</v>
      </c>
      <c r="D3350" s="4" t="s">
        <v>21</v>
      </c>
      <c r="E3350" s="4">
        <v>20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spans="1:21" ht="12" customHeight="1">
      <c r="A3351" s="4">
        <v>8209</v>
      </c>
      <c r="B3351" s="4">
        <v>58690</v>
      </c>
      <c r="C3351" s="5">
        <f>DATE(2012,12,31)-422</f>
        <v>40852</v>
      </c>
      <c r="D3351" s="4" t="s">
        <v>30</v>
      </c>
      <c r="E3351" s="4">
        <v>14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1">C3351+1</f>
        <v>40853</v>
      </c>
    </row>
    <row r="3352" spans="1:21" ht="12" customHeight="1">
      <c r="A3352" s="4">
        <v>8318</v>
      </c>
      <c r="B3352" s="4">
        <v>59428</v>
      </c>
      <c r="C3352" s="5">
        <f t="shared" ref="C3352:C3353" si="1392">DATE(2012,12,31)-844</f>
        <v>40430</v>
      </c>
      <c r="D3352" s="4" t="s">
        <v>30</v>
      </c>
      <c r="E3352" s="4">
        <v>36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1"/>
        <v>40431</v>
      </c>
    </row>
    <row r="3353" spans="1:21" ht="12" customHeight="1">
      <c r="A3353" s="4">
        <v>8319</v>
      </c>
      <c r="B3353" s="4">
        <v>59428</v>
      </c>
      <c r="C3353" s="5">
        <f t="shared" si="1392"/>
        <v>40430</v>
      </c>
      <c r="D3353" s="4" t="s">
        <v>30</v>
      </c>
      <c r="E3353" s="4">
        <v>43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spans="1:21" ht="12" customHeight="1">
      <c r="A3354" s="4">
        <v>443</v>
      </c>
      <c r="B3354" s="4">
        <v>2978</v>
      </c>
      <c r="C3354" s="5">
        <f>DATE(2012,12,31)-609</f>
        <v>40665</v>
      </c>
      <c r="D3354" s="4" t="s">
        <v>78</v>
      </c>
      <c r="E3354" s="4">
        <v>28</v>
      </c>
      <c r="F3354" s="4">
        <v>4671.1495000000004</v>
      </c>
      <c r="G3354" s="4">
        <v>7.0000000000000007E-2</v>
      </c>
      <c r="H3354" s="4" t="s">
        <v>22</v>
      </c>
      <c r="I3354" s="6">
        <v>947.31299999999987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spans="1:21" ht="12" customHeight="1">
      <c r="A3355" s="4">
        <v>1030</v>
      </c>
      <c r="B3355" s="4">
        <v>7521</v>
      </c>
      <c r="C3355" s="5">
        <f>DATE(2012,12,31)-673</f>
        <v>40601</v>
      </c>
      <c r="D3355" s="4" t="s">
        <v>21</v>
      </c>
      <c r="E3355" s="4">
        <v>19</v>
      </c>
      <c r="F3355" s="4">
        <v>1942.1734999999999</v>
      </c>
      <c r="G3355" s="4">
        <v>0</v>
      </c>
      <c r="H3355" s="4" t="s">
        <v>56</v>
      </c>
      <c r="I3355" s="6">
        <v>400.82400000000001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0.55000000000000004</v>
      </c>
      <c r="U3355" s="5">
        <f>C3355+6</f>
        <v>40607</v>
      </c>
    </row>
    <row r="3356" spans="1:21" ht="12" customHeight="1">
      <c r="A3356" s="4">
        <v>1858</v>
      </c>
      <c r="B3356" s="4">
        <v>13351</v>
      </c>
      <c r="C3356" s="5">
        <f>DATE(2012,12,31)-970</f>
        <v>40304</v>
      </c>
      <c r="D3356" s="4" t="s">
        <v>63</v>
      </c>
      <c r="E3356" s="4">
        <v>20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19.989999999999998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spans="1:21" ht="12" customHeight="1">
      <c r="A3357" s="4">
        <v>1872</v>
      </c>
      <c r="B3357" s="4">
        <v>13476</v>
      </c>
      <c r="C3357" s="5">
        <f>DATE(2012,12,31)-807</f>
        <v>40467</v>
      </c>
      <c r="D3357" s="4" t="s">
        <v>45</v>
      </c>
      <c r="E3357" s="4">
        <v>31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spans="1:21" ht="12" customHeight="1">
      <c r="A3358" s="4">
        <v>2151</v>
      </c>
      <c r="B3358" s="4">
        <v>15399</v>
      </c>
      <c r="C3358" s="5">
        <f>DATE(2012,12,31)-232</f>
        <v>41042</v>
      </c>
      <c r="D3358" s="4" t="s">
        <v>78</v>
      </c>
      <c r="E3358" s="4">
        <v>38</v>
      </c>
      <c r="F3358" s="4">
        <v>3988.0894999999996</v>
      </c>
      <c r="G3358" s="4">
        <v>0.02</v>
      </c>
      <c r="H3358" s="4" t="s">
        <v>22</v>
      </c>
      <c r="I3358" s="6">
        <v>969.85799999999995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spans="1:21" ht="12" customHeight="1">
      <c r="A3359" s="4">
        <v>2178</v>
      </c>
      <c r="B3359" s="4">
        <v>15687</v>
      </c>
      <c r="C3359" s="5">
        <f>DATE(2012,12,31)-266</f>
        <v>41008</v>
      </c>
      <c r="D3359" s="4" t="s">
        <v>78</v>
      </c>
      <c r="E3359" s="4">
        <v>48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0.56000000000000005</v>
      </c>
      <c r="U3359" s="5">
        <f>C3359+3</f>
        <v>41011</v>
      </c>
    </row>
    <row r="3360" spans="1:21" ht="12" customHeight="1">
      <c r="A3360" s="4">
        <v>3228</v>
      </c>
      <c r="B3360" s="4">
        <v>23169</v>
      </c>
      <c r="C3360" s="5">
        <f>DATE(2012,12,31)-557</f>
        <v>40717</v>
      </c>
      <c r="D3360" s="4" t="s">
        <v>78</v>
      </c>
      <c r="E3360" s="4">
        <v>22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3">C3360+2</f>
        <v>40719</v>
      </c>
    </row>
    <row r="3361" spans="1:21" ht="12" customHeight="1">
      <c r="A3361" s="4">
        <v>4539</v>
      </c>
      <c r="B3361" s="4">
        <v>32292</v>
      </c>
      <c r="C3361" s="5">
        <f>DATE(2012,12,31)-320</f>
        <v>40954</v>
      </c>
      <c r="D3361" s="4" t="s">
        <v>21</v>
      </c>
      <c r="E3361" s="4">
        <v>1</v>
      </c>
      <c r="F3361" s="4">
        <v>13.53</v>
      </c>
      <c r="G3361" s="4">
        <v>7.0000000000000007E-2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0.55000000000000004</v>
      </c>
      <c r="U3361" s="5">
        <f t="shared" si="1393"/>
        <v>40956</v>
      </c>
    </row>
    <row r="3362" spans="1:21" ht="12" customHeight="1">
      <c r="A3362" s="4">
        <v>4554</v>
      </c>
      <c r="B3362" s="4">
        <v>32389</v>
      </c>
      <c r="C3362" s="5">
        <f>DATE(2012,12,31)-792</f>
        <v>40482</v>
      </c>
      <c r="D3362" s="4" t="s">
        <v>63</v>
      </c>
      <c r="E3362" s="4">
        <v>1</v>
      </c>
      <c r="F3362" s="4">
        <v>65.466999999999999</v>
      </c>
      <c r="G3362" s="4">
        <v>0.06</v>
      </c>
      <c r="H3362" s="4" t="s">
        <v>56</v>
      </c>
      <c r="I3362" s="6">
        <v>-257.411</v>
      </c>
      <c r="J3362" s="4">
        <v>65.989999999999995</v>
      </c>
      <c r="K3362" s="4">
        <v>8.8000000000000007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0.57999999999999996</v>
      </c>
      <c r="U3362" s="5">
        <f>C3362+1</f>
        <v>40483</v>
      </c>
    </row>
    <row r="3363" spans="1:21" ht="12" customHeight="1">
      <c r="A3363" s="4">
        <v>5328</v>
      </c>
      <c r="B3363" s="4">
        <v>37863</v>
      </c>
      <c r="C3363" s="5">
        <f>DATE(2012,12,31)-676</f>
        <v>40598</v>
      </c>
      <c r="D3363" s="4" t="s">
        <v>30</v>
      </c>
      <c r="E3363" s="4">
        <v>27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0.56999999999999995</v>
      </c>
      <c r="U3363" s="5">
        <f>C3363+2</f>
        <v>40600</v>
      </c>
    </row>
    <row r="3364" spans="1:21" ht="12" customHeight="1">
      <c r="A3364" s="4">
        <v>5756</v>
      </c>
      <c r="B3364" s="4">
        <v>40866</v>
      </c>
      <c r="C3364" s="5">
        <f>DATE(2012,12,31)-953</f>
        <v>40321</v>
      </c>
      <c r="D3364" s="4" t="s">
        <v>30</v>
      </c>
      <c r="E3364" s="4">
        <v>3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300.64999999999998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4">C3364+1</f>
        <v>40322</v>
      </c>
    </row>
    <row r="3365" spans="1:21" ht="12" customHeight="1">
      <c r="A3365" s="4">
        <v>6779</v>
      </c>
      <c r="B3365" s="4">
        <v>48263</v>
      </c>
      <c r="C3365" s="5">
        <f>DATE(2012,12,31)-1028</f>
        <v>40246</v>
      </c>
      <c r="D3365" s="4" t="s">
        <v>63</v>
      </c>
      <c r="E3365" s="4">
        <v>25</v>
      </c>
      <c r="F3365" s="4">
        <v>135.91</v>
      </c>
      <c r="G3365" s="4">
        <v>7.0000000000000007E-2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4"/>
        <v>40247</v>
      </c>
    </row>
    <row r="3366" spans="1:21" ht="12" customHeight="1">
      <c r="A3366" s="4">
        <v>7004</v>
      </c>
      <c r="B3366" s="4">
        <v>49989</v>
      </c>
      <c r="C3366" s="5">
        <f>DATE(2012,12,31)-980</f>
        <v>40294</v>
      </c>
      <c r="D3366" s="4" t="s">
        <v>45</v>
      </c>
      <c r="E3366" s="4">
        <v>6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300.97000000000003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4"/>
        <v>40295</v>
      </c>
    </row>
    <row r="3367" spans="1:21" ht="12" customHeight="1">
      <c r="A3367" s="4">
        <v>8010</v>
      </c>
      <c r="B3367" s="4">
        <v>57249</v>
      </c>
      <c r="C3367" s="5">
        <f>DATE(2012,12,31)-895</f>
        <v>40379</v>
      </c>
      <c r="D3367" s="4" t="s">
        <v>30</v>
      </c>
      <c r="E3367" s="4">
        <v>30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4"/>
        <v>40380</v>
      </c>
    </row>
    <row r="3368" spans="1:21" ht="12" customHeight="1">
      <c r="A3368" s="4">
        <v>709</v>
      </c>
      <c r="B3368" s="4">
        <v>4965</v>
      </c>
      <c r="C3368" s="5">
        <f>DATE(2012,12,31)-803</f>
        <v>40471</v>
      </c>
      <c r="D3368" s="4" t="s">
        <v>21</v>
      </c>
      <c r="E3368" s="4">
        <v>46</v>
      </c>
      <c r="F3368" s="4">
        <v>287.13</v>
      </c>
      <c r="G3368" s="4">
        <v>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spans="1:21" ht="12" customHeight="1">
      <c r="A3369" s="4">
        <v>1165</v>
      </c>
      <c r="B3369" s="4">
        <v>8513</v>
      </c>
      <c r="C3369" s="5">
        <f>DATE(2012,12,31)-535</f>
        <v>40739</v>
      </c>
      <c r="D3369" s="4" t="s">
        <v>21</v>
      </c>
      <c r="E3369" s="4">
        <v>9</v>
      </c>
      <c r="F3369" s="4">
        <v>163.78</v>
      </c>
      <c r="G3369" s="4">
        <v>0.05</v>
      </c>
      <c r="H3369" s="4" t="s">
        <v>22</v>
      </c>
      <c r="I3369" s="6">
        <v>-43.030200000000001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spans="1:21" ht="12" customHeight="1">
      <c r="A3370" s="4">
        <v>1411</v>
      </c>
      <c r="B3370" s="4">
        <v>10245</v>
      </c>
      <c r="C3370" s="5">
        <f>DATE(2012,12,31)-687</f>
        <v>40587</v>
      </c>
      <c r="D3370" s="4" t="s">
        <v>63</v>
      </c>
      <c r="E3370" s="4">
        <v>20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spans="1:21" ht="12" customHeight="1">
      <c r="A3371" s="4">
        <v>1526</v>
      </c>
      <c r="B3371" s="4">
        <v>11011</v>
      </c>
      <c r="C3371" s="5">
        <f>DATE(2012,12,31)-232</f>
        <v>41042</v>
      </c>
      <c r="D3371" s="4" t="s">
        <v>30</v>
      </c>
      <c r="E3371" s="4">
        <v>33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0.56000000000000005</v>
      </c>
      <c r="U3371" s="5">
        <f t="shared" ref="U3371:U3374" si="1395">C3371+2</f>
        <v>41044</v>
      </c>
    </row>
    <row r="3372" spans="1:21" ht="12" customHeight="1">
      <c r="A3372" s="4">
        <v>1713</v>
      </c>
      <c r="B3372" s="4">
        <v>12320</v>
      </c>
      <c r="C3372" s="5">
        <f>DATE(2012,12,31)-377</f>
        <v>40897</v>
      </c>
      <c r="D3372" s="4" t="s">
        <v>78</v>
      </c>
      <c r="E3372" s="4">
        <v>35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5"/>
        <v>40899</v>
      </c>
    </row>
    <row r="3373" spans="1:21" ht="12" customHeight="1">
      <c r="A3373" s="4">
        <v>1717</v>
      </c>
      <c r="B3373" s="4">
        <v>12326</v>
      </c>
      <c r="C3373" s="5">
        <f>DATE(2012,12,31)-698</f>
        <v>40576</v>
      </c>
      <c r="D3373" s="4" t="s">
        <v>78</v>
      </c>
      <c r="E3373" s="4">
        <v>4</v>
      </c>
      <c r="F3373" s="4">
        <v>123.82</v>
      </c>
      <c r="G3373" s="4">
        <v>0.05</v>
      </c>
      <c r="H3373" s="4" t="s">
        <v>22</v>
      </c>
      <c r="I3373" s="6">
        <v>-0.37000000000000099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5"/>
        <v>40578</v>
      </c>
    </row>
    <row r="3374" spans="1:21" ht="12" customHeight="1">
      <c r="A3374" s="4">
        <v>1830</v>
      </c>
      <c r="B3374" s="4">
        <v>13125</v>
      </c>
      <c r="C3374" s="5">
        <f>DATE(2012,12,31)-749</f>
        <v>40525</v>
      </c>
      <c r="D3374" s="4" t="s">
        <v>45</v>
      </c>
      <c r="E3374" s="4">
        <v>30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5"/>
        <v>40527</v>
      </c>
    </row>
    <row r="3375" spans="1:21" ht="12" customHeight="1">
      <c r="A3375" s="4">
        <v>2404</v>
      </c>
      <c r="B3375" s="4">
        <v>17410</v>
      </c>
      <c r="C3375" s="5">
        <f>DATE(2012,12,31)-852</f>
        <v>40422</v>
      </c>
      <c r="D3375" s="4" t="s">
        <v>21</v>
      </c>
      <c r="E3375" s="4">
        <v>45</v>
      </c>
      <c r="F3375" s="4">
        <v>372.01</v>
      </c>
      <c r="G3375" s="4">
        <v>7.0000000000000007E-2</v>
      </c>
      <c r="H3375" s="4" t="s">
        <v>22</v>
      </c>
      <c r="I3375" s="6">
        <v>-203.68</v>
      </c>
      <c r="J3375" s="4">
        <v>8.4499999999999993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0.55000000000000004</v>
      </c>
      <c r="U3375" s="5">
        <f>C3375+5</f>
        <v>40427</v>
      </c>
    </row>
    <row r="3376" spans="1:21" ht="12" customHeight="1">
      <c r="A3376" s="4">
        <v>2466</v>
      </c>
      <c r="B3376" s="4">
        <v>17953</v>
      </c>
      <c r="C3376" s="5">
        <f>DATE(2012,12,31)-133</f>
        <v>41141</v>
      </c>
      <c r="D3376" s="4" t="s">
        <v>30</v>
      </c>
      <c r="E3376" s="4">
        <v>30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19.510000000000002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spans="1:21" ht="12" customHeight="1">
      <c r="A3377" s="4">
        <v>2997</v>
      </c>
      <c r="B3377" s="4">
        <v>21606</v>
      </c>
      <c r="C3377" s="5">
        <f>DATE(2012,12,31)-709</f>
        <v>40565</v>
      </c>
      <c r="D3377" s="4" t="s">
        <v>45</v>
      </c>
      <c r="E3377" s="4">
        <v>43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32.979999999999997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spans="1:21" ht="12" customHeight="1">
      <c r="A3378" s="4">
        <v>3174</v>
      </c>
      <c r="B3378" s="4">
        <v>22820</v>
      </c>
      <c r="C3378" s="5">
        <f>DATE(2012,12,31)-867</f>
        <v>40407</v>
      </c>
      <c r="D3378" s="4" t="s">
        <v>30</v>
      </c>
      <c r="E3378" s="4">
        <v>34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6">C3378+2</f>
        <v>40409</v>
      </c>
    </row>
    <row r="3379" spans="1:21" ht="12" customHeight="1">
      <c r="A3379" s="4">
        <v>3227</v>
      </c>
      <c r="B3379" s="4">
        <v>23169</v>
      </c>
      <c r="C3379" s="5">
        <f>DATE(2012,12,31)-557</f>
        <v>40717</v>
      </c>
      <c r="D3379" s="4" t="s">
        <v>78</v>
      </c>
      <c r="E3379" s="4">
        <v>27</v>
      </c>
      <c r="F3379" s="4">
        <v>172.7</v>
      </c>
      <c r="G3379" s="4">
        <v>7.0000000000000007E-2</v>
      </c>
      <c r="H3379" s="4" t="s">
        <v>22</v>
      </c>
      <c r="I3379" s="6">
        <v>-42.97</v>
      </c>
      <c r="J3379" s="4">
        <v>6.48</v>
      </c>
      <c r="K3379" s="4">
        <v>5.1100000000000003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6"/>
        <v>40719</v>
      </c>
    </row>
    <row r="3380" spans="1:21" ht="12" customHeight="1">
      <c r="A3380" s="4">
        <v>3286</v>
      </c>
      <c r="B3380" s="4">
        <v>23522</v>
      </c>
      <c r="C3380" s="5">
        <f>DATE(2012,12,31)-630</f>
        <v>40644</v>
      </c>
      <c r="D3380" s="4" t="s">
        <v>78</v>
      </c>
      <c r="E3380" s="4">
        <v>8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19.989999999999998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spans="1:21" ht="12" customHeight="1">
      <c r="A3381" s="4">
        <v>3303</v>
      </c>
      <c r="B3381" s="4">
        <v>23616</v>
      </c>
      <c r="C3381" s="5">
        <f>DATE(2012,12,31)-125</f>
        <v>41149</v>
      </c>
      <c r="D3381" s="4" t="s">
        <v>45</v>
      </c>
      <c r="E3381" s="4">
        <v>47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spans="1:21" ht="12" customHeight="1">
      <c r="A3382" s="4">
        <v>3526</v>
      </c>
      <c r="B3382" s="4">
        <v>25092</v>
      </c>
      <c r="C3382" s="5">
        <f>DATE(2012,12,31)-761</f>
        <v>40513</v>
      </c>
      <c r="D3382" s="4" t="s">
        <v>30</v>
      </c>
      <c r="E3382" s="4">
        <v>42</v>
      </c>
      <c r="F3382" s="4">
        <v>242.8</v>
      </c>
      <c r="G3382" s="4">
        <v>7.0000000000000007E-2</v>
      </c>
      <c r="H3382" s="4" t="s">
        <v>22</v>
      </c>
      <c r="I3382" s="6">
        <v>95.91</v>
      </c>
      <c r="J3382" s="4">
        <v>5.84</v>
      </c>
      <c r="K3382" s="4">
        <v>1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spans="1:21" ht="12" customHeight="1">
      <c r="A3383" s="4">
        <v>3538</v>
      </c>
      <c r="B3383" s="4">
        <v>25157</v>
      </c>
      <c r="C3383" s="5">
        <f>DATE(2012,12,31)-951</f>
        <v>40323</v>
      </c>
      <c r="D3383" s="4" t="s">
        <v>45</v>
      </c>
      <c r="E3383" s="4">
        <v>47</v>
      </c>
      <c r="F3383" s="4">
        <v>271.77999999999997</v>
      </c>
      <c r="G3383" s="4">
        <v>7.0000000000000007E-2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0.55000000000000004</v>
      </c>
      <c r="U3383" s="5">
        <f>C3383+1</f>
        <v>40324</v>
      </c>
    </row>
    <row r="3384" spans="1:21" ht="12" customHeight="1">
      <c r="A3384" s="4">
        <v>3545</v>
      </c>
      <c r="B3384" s="4">
        <v>25280</v>
      </c>
      <c r="C3384" s="5">
        <f>DATE(2012,12,31)-590</f>
        <v>40684</v>
      </c>
      <c r="D3384" s="4" t="s">
        <v>45</v>
      </c>
      <c r="E3384" s="4">
        <v>16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7">C3384+2</f>
        <v>40686</v>
      </c>
    </row>
    <row r="3385" spans="1:21" ht="12" customHeight="1">
      <c r="A3385" s="4">
        <v>3547</v>
      </c>
      <c r="B3385" s="4">
        <v>25313</v>
      </c>
      <c r="C3385" s="5">
        <f>DATE(2012,12,31)-132</f>
        <v>41142</v>
      </c>
      <c r="D3385" s="4" t="s">
        <v>78</v>
      </c>
      <c r="E3385" s="4">
        <v>19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7"/>
        <v>41144</v>
      </c>
    </row>
    <row r="3386" spans="1:21" ht="12" customHeight="1">
      <c r="A3386" s="4">
        <v>3581</v>
      </c>
      <c r="B3386" s="4">
        <v>25536</v>
      </c>
      <c r="C3386" s="5">
        <f>DATE(2012,12,31)-528</f>
        <v>40746</v>
      </c>
      <c r="D3386" s="4" t="s">
        <v>21</v>
      </c>
      <c r="E3386" s="4">
        <v>19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1.0900000000000001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8">C3386+0</f>
        <v>40746</v>
      </c>
    </row>
    <row r="3387" spans="1:21" ht="12" customHeight="1">
      <c r="A3387" s="4">
        <v>3598</v>
      </c>
      <c r="B3387" s="4">
        <v>25666</v>
      </c>
      <c r="C3387" s="5">
        <f>DATE(2012,12,31)-120</f>
        <v>41154</v>
      </c>
      <c r="D3387" s="4" t="s">
        <v>78</v>
      </c>
      <c r="E3387" s="4">
        <v>23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4.8099999999999996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0.57999999999999996</v>
      </c>
      <c r="U3387" s="5">
        <f t="shared" si="1398"/>
        <v>41154</v>
      </c>
    </row>
    <row r="3388" spans="1:21" ht="12" customHeight="1">
      <c r="A3388" s="4">
        <v>4178</v>
      </c>
      <c r="B3388" s="4">
        <v>29666</v>
      </c>
      <c r="C3388" s="5">
        <f>DATE(2012,12,31)-367</f>
        <v>40907</v>
      </c>
      <c r="D3388" s="4" t="s">
        <v>45</v>
      </c>
      <c r="E3388" s="4">
        <v>44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399">C3388+2</f>
        <v>40909</v>
      </c>
    </row>
    <row r="3389" spans="1:21" ht="12" customHeight="1">
      <c r="A3389" s="4">
        <v>4299</v>
      </c>
      <c r="B3389" s="4">
        <v>30599</v>
      </c>
      <c r="C3389" s="5">
        <f>DATE(2012,12,31)-325</f>
        <v>40949</v>
      </c>
      <c r="D3389" s="4" t="s">
        <v>45</v>
      </c>
      <c r="E3389" s="4">
        <v>23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399"/>
        <v>40951</v>
      </c>
    </row>
    <row r="3390" spans="1:21" ht="12" customHeight="1">
      <c r="A3390" s="4">
        <v>4381</v>
      </c>
      <c r="B3390" s="4">
        <v>31232</v>
      </c>
      <c r="C3390" s="5">
        <f>DATE(2012,12,31)-124</f>
        <v>41150</v>
      </c>
      <c r="D3390" s="4" t="s">
        <v>30</v>
      </c>
      <c r="E3390" s="4">
        <v>9</v>
      </c>
      <c r="F3390" s="4">
        <v>2643.15</v>
      </c>
      <c r="G3390" s="4">
        <v>0.01</v>
      </c>
      <c r="H3390" s="4" t="s">
        <v>31</v>
      </c>
      <c r="I3390" s="6">
        <v>-715.11440000000016</v>
      </c>
      <c r="J3390" s="4">
        <v>286.85000000000002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spans="1:21" ht="12" customHeight="1">
      <c r="A3391" s="4">
        <v>4388</v>
      </c>
      <c r="B3391" s="4">
        <v>31239</v>
      </c>
      <c r="C3391" s="5">
        <f>DATE(2012,12,31)-856</f>
        <v>40418</v>
      </c>
      <c r="D3391" s="4" t="s">
        <v>21</v>
      </c>
      <c r="E3391" s="4">
        <v>20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33.979999999999997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spans="1:21" ht="12" customHeight="1">
      <c r="A3392" s="4">
        <v>4403</v>
      </c>
      <c r="B3392" s="4">
        <v>31392</v>
      </c>
      <c r="C3392" s="5">
        <f>DATE(2012,12,31)-970</f>
        <v>40304</v>
      </c>
      <c r="D3392" s="4" t="s">
        <v>21</v>
      </c>
      <c r="E3392" s="4">
        <v>44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spans="1:21" ht="12" customHeight="1">
      <c r="A3393" s="4">
        <v>4552</v>
      </c>
      <c r="B3393" s="4">
        <v>32389</v>
      </c>
      <c r="C3393" s="5">
        <f>DATE(2012,12,31)-792</f>
        <v>40482</v>
      </c>
      <c r="D3393" s="4" t="s">
        <v>63</v>
      </c>
      <c r="E3393" s="4">
        <v>8</v>
      </c>
      <c r="F3393" s="4">
        <v>121.62400000000001</v>
      </c>
      <c r="G3393" s="4">
        <v>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0">C3393+1</f>
        <v>40483</v>
      </c>
    </row>
    <row r="3394" spans="1:21" ht="12" customHeight="1">
      <c r="A3394" s="4">
        <v>4785</v>
      </c>
      <c r="B3394" s="4">
        <v>33987</v>
      </c>
      <c r="C3394" s="5">
        <f>DATE(2012,12,31)-433</f>
        <v>40841</v>
      </c>
      <c r="D3394" s="4" t="s">
        <v>30</v>
      </c>
      <c r="E3394" s="4">
        <v>19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0"/>
        <v>40842</v>
      </c>
    </row>
    <row r="3395" spans="1:21" ht="12" customHeight="1">
      <c r="A3395" s="4">
        <v>5391</v>
      </c>
      <c r="B3395" s="4">
        <v>38337</v>
      </c>
      <c r="C3395" s="5">
        <f>DATE(2012,12,31)-792</f>
        <v>40482</v>
      </c>
      <c r="D3395" s="4" t="s">
        <v>63</v>
      </c>
      <c r="E3395" s="4">
        <v>46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0.56000000000000005</v>
      </c>
      <c r="U3395" s="5">
        <f>C3395+2</f>
        <v>40484</v>
      </c>
    </row>
    <row r="3396" spans="1:21" ht="12" customHeight="1">
      <c r="A3396" s="4">
        <v>5396</v>
      </c>
      <c r="B3396" s="4">
        <v>38369</v>
      </c>
      <c r="C3396" s="5">
        <f>DATE(2012,12,31)-1084</f>
        <v>40190</v>
      </c>
      <c r="D3396" s="4" t="s">
        <v>45</v>
      </c>
      <c r="E3396" s="4">
        <v>3</v>
      </c>
      <c r="F3396" s="4">
        <v>224.74400000000003</v>
      </c>
      <c r="G3396" s="4">
        <v>0.02</v>
      </c>
      <c r="H3396" s="4" t="s">
        <v>22</v>
      </c>
      <c r="I3396" s="6">
        <v>54.598050000000008</v>
      </c>
      <c r="J3396" s="4">
        <v>71.37</v>
      </c>
      <c r="K3396" s="4">
        <v>69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1">C3396+1</f>
        <v>40191</v>
      </c>
    </row>
    <row r="3397" spans="1:21" ht="12" customHeight="1">
      <c r="A3397" s="4">
        <v>5454</v>
      </c>
      <c r="B3397" s="4">
        <v>38723</v>
      </c>
      <c r="C3397" s="5">
        <f>DATE(2012,12,31)-102</f>
        <v>41172</v>
      </c>
      <c r="D3397" s="4" t="s">
        <v>78</v>
      </c>
      <c r="E3397" s="4">
        <v>9</v>
      </c>
      <c r="F3397" s="4">
        <v>169.27</v>
      </c>
      <c r="G3397" s="4">
        <v>0.09</v>
      </c>
      <c r="H3397" s="4" t="s">
        <v>22</v>
      </c>
      <c r="I3397" s="6">
        <v>-68.930000000000007</v>
      </c>
      <c r="J3397" s="4">
        <v>19.98</v>
      </c>
      <c r="K3397" s="4">
        <v>4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1"/>
        <v>41173</v>
      </c>
    </row>
    <row r="3398" spans="1:21" ht="12" customHeight="1">
      <c r="A3398" s="4">
        <v>5542</v>
      </c>
      <c r="B3398" s="4">
        <v>39266</v>
      </c>
      <c r="C3398" s="5">
        <f>DATE(2012,12,31)-126</f>
        <v>41148</v>
      </c>
      <c r="D3398" s="4" t="s">
        <v>30</v>
      </c>
      <c r="E3398" s="4">
        <v>16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spans="1:21" ht="12" customHeight="1">
      <c r="A3399" s="4">
        <v>5672</v>
      </c>
      <c r="B3399" s="4">
        <v>40103</v>
      </c>
      <c r="C3399" s="5">
        <f>DATE(2012,12,31)-829</f>
        <v>40445</v>
      </c>
      <c r="D3399" s="4" t="s">
        <v>45</v>
      </c>
      <c r="E3399" s="4">
        <v>7</v>
      </c>
      <c r="F3399" s="4">
        <v>353.02</v>
      </c>
      <c r="G3399" s="4">
        <v>0</v>
      </c>
      <c r="H3399" s="4" t="s">
        <v>22</v>
      </c>
      <c r="I3399" s="6">
        <v>72.55</v>
      </c>
      <c r="J3399" s="4">
        <v>46.89</v>
      </c>
      <c r="K3399" s="4">
        <v>5.0999999999999996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spans="1:21" ht="12" customHeight="1">
      <c r="A3400" s="4">
        <v>5674</v>
      </c>
      <c r="B3400" s="4">
        <v>40131</v>
      </c>
      <c r="C3400" s="5">
        <f>DATE(2012,12,31)-243</f>
        <v>41031</v>
      </c>
      <c r="D3400" s="4" t="s">
        <v>21</v>
      </c>
      <c r="E3400" s="4">
        <v>24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spans="1:21" ht="12" customHeight="1">
      <c r="A3401" s="4">
        <v>5848</v>
      </c>
      <c r="B3401" s="4">
        <v>41504</v>
      </c>
      <c r="C3401" s="5">
        <f>DATE(2012,12,31)-64</f>
        <v>41210</v>
      </c>
      <c r="D3401" s="4" t="s">
        <v>78</v>
      </c>
      <c r="E3401" s="4">
        <v>20</v>
      </c>
      <c r="F3401" s="4">
        <v>302.94</v>
      </c>
      <c r="G3401" s="4">
        <v>7.0000000000000007E-2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spans="1:21" ht="12" customHeight="1">
      <c r="A3402" s="4">
        <v>6155</v>
      </c>
      <c r="B3402" s="4">
        <v>43588</v>
      </c>
      <c r="C3402" s="5">
        <f>DATE(2012,12,31)-121</f>
        <v>41153</v>
      </c>
      <c r="D3402" s="4" t="s">
        <v>63</v>
      </c>
      <c r="E3402" s="4">
        <v>6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1.0900000000000001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spans="1:21" ht="12" customHeight="1">
      <c r="A3403" s="4">
        <v>6174</v>
      </c>
      <c r="B3403" s="4">
        <v>43751</v>
      </c>
      <c r="C3403" s="5">
        <f>DATE(2012,12,31)-187</f>
        <v>41087</v>
      </c>
      <c r="D3403" s="4" t="s">
        <v>30</v>
      </c>
      <c r="E3403" s="4">
        <v>43</v>
      </c>
      <c r="F3403" s="4">
        <v>621.44000000000005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spans="1:21" ht="12" customHeight="1">
      <c r="A3404" s="4">
        <v>6540</v>
      </c>
      <c r="B3404" s="4">
        <v>46531</v>
      </c>
      <c r="C3404" s="5">
        <f>DATE(2012,12,31)-498</f>
        <v>40776</v>
      </c>
      <c r="D3404" s="4" t="s">
        <v>21</v>
      </c>
      <c r="E3404" s="4">
        <v>2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spans="1:21" ht="12" customHeight="1">
      <c r="A3405" s="4">
        <v>6546</v>
      </c>
      <c r="B3405" s="4">
        <v>46534</v>
      </c>
      <c r="C3405" s="5">
        <f>DATE(2012,12,31)-89</f>
        <v>41185</v>
      </c>
      <c r="D3405" s="4" t="s">
        <v>30</v>
      </c>
      <c r="E3405" s="4">
        <v>13</v>
      </c>
      <c r="F3405" s="4">
        <v>1341.31</v>
      </c>
      <c r="G3405" s="4">
        <v>0.05</v>
      </c>
      <c r="H3405" s="4" t="s">
        <v>22</v>
      </c>
      <c r="I3405" s="6">
        <v>5.5499999999999829</v>
      </c>
      <c r="J3405" s="4">
        <v>99.99</v>
      </c>
      <c r="K3405" s="4">
        <v>19.989999999999998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spans="1:21" ht="12" customHeight="1">
      <c r="A3406" s="4">
        <v>6664</v>
      </c>
      <c r="B3406" s="4">
        <v>47459</v>
      </c>
      <c r="C3406" s="5">
        <f>DATE(2012,12,31)-502</f>
        <v>40772</v>
      </c>
      <c r="D3406" s="4" t="s">
        <v>45</v>
      </c>
      <c r="E3406" s="4">
        <v>10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2">C3406+1</f>
        <v>40773</v>
      </c>
    </row>
    <row r="3407" spans="1:21" ht="12" customHeight="1">
      <c r="A3407" s="4">
        <v>6897</v>
      </c>
      <c r="B3407" s="4">
        <v>49190</v>
      </c>
      <c r="C3407" s="5">
        <f>DATE(2012,12,31)-20</f>
        <v>41254</v>
      </c>
      <c r="D3407" s="4" t="s">
        <v>30</v>
      </c>
      <c r="E3407" s="4">
        <v>4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2"/>
        <v>41255</v>
      </c>
    </row>
    <row r="3408" spans="1:21" ht="12" customHeight="1">
      <c r="A3408" s="4">
        <v>7259</v>
      </c>
      <c r="B3408" s="4">
        <v>51783</v>
      </c>
      <c r="C3408" s="5">
        <f>DATE(2012,12,31)-416</f>
        <v>40858</v>
      </c>
      <c r="D3408" s="4" t="s">
        <v>63</v>
      </c>
      <c r="E3408" s="4">
        <v>13</v>
      </c>
      <c r="F3408" s="4">
        <v>646.54999999999995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spans="1:21" ht="12" customHeight="1">
      <c r="A3409" s="4">
        <v>7701</v>
      </c>
      <c r="B3409" s="4">
        <v>55202</v>
      </c>
      <c r="C3409" s="5">
        <f>DATE(2012,12,31)-495</f>
        <v>40779</v>
      </c>
      <c r="D3409" s="4" t="s">
        <v>21</v>
      </c>
      <c r="E3409" s="4">
        <v>49</v>
      </c>
      <c r="F3409" s="4">
        <v>6335.8575000000001</v>
      </c>
      <c r="G3409" s="4">
        <v>0.08</v>
      </c>
      <c r="H3409" s="4" t="s">
        <v>22</v>
      </c>
      <c r="I3409" s="6">
        <v>1620.2249999999999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0.57999999999999996</v>
      </c>
      <c r="U3409" s="5">
        <f>C3409+7</f>
        <v>40786</v>
      </c>
    </row>
    <row r="3410" spans="1:21" ht="12" customHeight="1">
      <c r="A3410" s="4">
        <v>7743</v>
      </c>
      <c r="B3410" s="4">
        <v>55431</v>
      </c>
      <c r="C3410" s="5">
        <f>DATE(2012,12,31)-206</f>
        <v>41068</v>
      </c>
      <c r="D3410" s="4" t="s">
        <v>45</v>
      </c>
      <c r="E3410" s="4">
        <v>13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289.52999999999997</v>
      </c>
      <c r="K3410" s="4">
        <v>19.989999999999998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0.56000000000000005</v>
      </c>
      <c r="U3410" s="5">
        <f>C3410+1</f>
        <v>41069</v>
      </c>
    </row>
    <row r="3411" spans="1:21" ht="12" customHeight="1">
      <c r="A3411" s="4">
        <v>8069</v>
      </c>
      <c r="B3411" s="4">
        <v>57570</v>
      </c>
      <c r="C3411" s="5">
        <f>DATE(2012,12,31)-94</f>
        <v>41180</v>
      </c>
      <c r="D3411" s="4" t="s">
        <v>30</v>
      </c>
      <c r="E3411" s="4">
        <v>15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spans="1:21" ht="12" customHeight="1">
      <c r="A3412" s="4">
        <v>8171</v>
      </c>
      <c r="B3412" s="4">
        <v>58372</v>
      </c>
      <c r="C3412" s="5">
        <f>DATE(2012,12,31)-639</f>
        <v>40635</v>
      </c>
      <c r="D3412" s="4" t="s">
        <v>21</v>
      </c>
      <c r="E3412" s="4">
        <v>16</v>
      </c>
      <c r="F3412" s="4">
        <v>38.200000000000003</v>
      </c>
      <c r="G3412" s="4">
        <v>7.0000000000000007E-2</v>
      </c>
      <c r="H3412" s="4" t="s">
        <v>56</v>
      </c>
      <c r="I3412" s="6">
        <v>4.34</v>
      </c>
      <c r="J3412" s="4">
        <v>2.21</v>
      </c>
      <c r="K3412" s="4">
        <v>1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spans="1:21" ht="12" customHeight="1">
      <c r="A3413" s="4">
        <v>8327</v>
      </c>
      <c r="B3413" s="4">
        <v>59552</v>
      </c>
      <c r="C3413" s="5">
        <f>DATE(2012,12,31)-1083</f>
        <v>40191</v>
      </c>
      <c r="D3413" s="4" t="s">
        <v>45</v>
      </c>
      <c r="E3413" s="4">
        <v>39</v>
      </c>
      <c r="F3413" s="4">
        <v>314.26</v>
      </c>
      <c r="G3413" s="4">
        <v>0</v>
      </c>
      <c r="H3413" s="4" t="s">
        <v>22</v>
      </c>
      <c r="I3413" s="6">
        <v>-71.046999999999997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spans="1:21" ht="12" customHeight="1">
      <c r="A3414" s="4">
        <v>329</v>
      </c>
      <c r="B3414" s="4">
        <v>2272</v>
      </c>
      <c r="C3414" s="5">
        <f>DATE(2012,12,31)-994</f>
        <v>40280</v>
      </c>
      <c r="D3414" s="4" t="s">
        <v>30</v>
      </c>
      <c r="E3414" s="4">
        <v>39</v>
      </c>
      <c r="F3414" s="4">
        <v>7680.29</v>
      </c>
      <c r="G3414" s="4">
        <v>0.08</v>
      </c>
      <c r="H3414" s="4" t="s">
        <v>31</v>
      </c>
      <c r="I3414" s="6">
        <v>-513.79042000000004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spans="1:21" ht="12" customHeight="1">
      <c r="A3415" s="4">
        <v>2264</v>
      </c>
      <c r="B3415" s="4">
        <v>16260</v>
      </c>
      <c r="C3415" s="5">
        <f>DATE(2012,12,31)-414</f>
        <v>40860</v>
      </c>
      <c r="D3415" s="4" t="s">
        <v>30</v>
      </c>
      <c r="E3415" s="4">
        <v>47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3">C3415+1</f>
        <v>40861</v>
      </c>
    </row>
    <row r="3416" spans="1:21" ht="12" customHeight="1">
      <c r="A3416" s="4">
        <v>2275</v>
      </c>
      <c r="B3416" s="4">
        <v>16359</v>
      </c>
      <c r="C3416" s="5">
        <f t="shared" ref="C3416:C3417" si="1404">DATE(2012,12,31)-231</f>
        <v>41043</v>
      </c>
      <c r="D3416" s="4" t="s">
        <v>78</v>
      </c>
      <c r="E3416" s="4">
        <v>39</v>
      </c>
      <c r="F3416" s="4">
        <v>1343.6</v>
      </c>
      <c r="G3416" s="4">
        <v>0.06</v>
      </c>
      <c r="H3416" s="4" t="s">
        <v>22</v>
      </c>
      <c r="I3416" s="6">
        <v>137.86000000000001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3"/>
        <v>41044</v>
      </c>
    </row>
    <row r="3417" spans="1:21" ht="12" customHeight="1">
      <c r="A3417" s="4">
        <v>2276</v>
      </c>
      <c r="B3417" s="4">
        <v>16359</v>
      </c>
      <c r="C3417" s="5">
        <f t="shared" si="1404"/>
        <v>41043</v>
      </c>
      <c r="D3417" s="4" t="s">
        <v>78</v>
      </c>
      <c r="E3417" s="4">
        <v>8</v>
      </c>
      <c r="F3417" s="4">
        <v>35.28</v>
      </c>
      <c r="G3417" s="4">
        <v>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spans="1:21" ht="12" customHeight="1">
      <c r="A3418" s="4">
        <v>3296</v>
      </c>
      <c r="B3418" s="4">
        <v>23558</v>
      </c>
      <c r="C3418" s="5">
        <f t="shared" ref="C3418:C3419" si="1405">DATE(2012,12,31)-510</f>
        <v>40764</v>
      </c>
      <c r="D3418" s="4" t="s">
        <v>21</v>
      </c>
      <c r="E3418" s="4">
        <v>4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4.9800000000000004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spans="1:21" ht="12" customHeight="1">
      <c r="A3419" s="4">
        <v>3297</v>
      </c>
      <c r="B3419" s="4">
        <v>23558</v>
      </c>
      <c r="C3419" s="5">
        <f t="shared" si="1405"/>
        <v>40764</v>
      </c>
      <c r="D3419" s="4" t="s">
        <v>21</v>
      </c>
      <c r="E3419" s="4">
        <v>17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spans="1:21" ht="12" customHeight="1">
      <c r="A3420" s="4">
        <v>3818</v>
      </c>
      <c r="B3420" s="4">
        <v>27205</v>
      </c>
      <c r="C3420" s="5">
        <f>DATE(2012,12,31)-955</f>
        <v>40319</v>
      </c>
      <c r="D3420" s="4" t="s">
        <v>45</v>
      </c>
      <c r="E3420" s="4">
        <v>12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spans="1:21" ht="12" customHeight="1">
      <c r="A3421" s="4">
        <v>3850</v>
      </c>
      <c r="B3421" s="4">
        <v>27461</v>
      </c>
      <c r="C3421" s="5">
        <f t="shared" ref="C3421:C3422" si="1406">DATE(2012,12,31)-1039</f>
        <v>40235</v>
      </c>
      <c r="D3421" s="4" t="s">
        <v>78</v>
      </c>
      <c r="E3421" s="4">
        <v>40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7">C3421+0</f>
        <v>40235</v>
      </c>
    </row>
    <row r="3422" spans="1:21" ht="12" customHeight="1">
      <c r="A3422" s="4">
        <v>3851</v>
      </c>
      <c r="B3422" s="4">
        <v>27461</v>
      </c>
      <c r="C3422" s="5">
        <f t="shared" si="1406"/>
        <v>40235</v>
      </c>
      <c r="D3422" s="4" t="s">
        <v>78</v>
      </c>
      <c r="E3422" s="4">
        <v>26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19.989999999999998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7"/>
        <v>40235</v>
      </c>
    </row>
    <row r="3423" spans="1:21" ht="12" customHeight="1">
      <c r="A3423" s="4">
        <v>4215</v>
      </c>
      <c r="B3423" s="4">
        <v>29957</v>
      </c>
      <c r="C3423" s="5">
        <f>DATE(2012,12,31)-1024</f>
        <v>40250</v>
      </c>
      <c r="D3423" s="4" t="s">
        <v>78</v>
      </c>
      <c r="E3423" s="4">
        <v>31</v>
      </c>
      <c r="F3423" s="4">
        <v>1447.62</v>
      </c>
      <c r="G3423" s="4">
        <v>7.0000000000000007E-2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spans="1:21" ht="12" customHeight="1">
      <c r="A3424" s="4">
        <v>4295</v>
      </c>
      <c r="B3424" s="4">
        <v>30593</v>
      </c>
      <c r="C3424" s="5">
        <f t="shared" ref="C3424:C3425" si="1408">DATE(2012,12,31)-525</f>
        <v>40749</v>
      </c>
      <c r="D3424" s="4" t="s">
        <v>78</v>
      </c>
      <c r="E3424" s="4">
        <v>20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spans="1:21" ht="12" customHeight="1">
      <c r="A3425" s="4">
        <v>4296</v>
      </c>
      <c r="B3425" s="4">
        <v>30593</v>
      </c>
      <c r="C3425" s="5">
        <f t="shared" si="1408"/>
        <v>40749</v>
      </c>
      <c r="D3425" s="4" t="s">
        <v>78</v>
      </c>
      <c r="E3425" s="4">
        <v>41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0.56000000000000005</v>
      </c>
      <c r="U3425" s="5">
        <f>C3425+3</f>
        <v>40752</v>
      </c>
    </row>
    <row r="3426" spans="1:21" ht="12" customHeight="1">
      <c r="A3426" s="4">
        <v>4617</v>
      </c>
      <c r="B3426" s="4">
        <v>32871</v>
      </c>
      <c r="C3426" s="5">
        <f t="shared" ref="C3426:C3427" si="1409">DATE(2012,12,31)-66</f>
        <v>41208</v>
      </c>
      <c r="D3426" s="4" t="s">
        <v>30</v>
      </c>
      <c r="E3426" s="4">
        <v>9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0">C3426+2</f>
        <v>41210</v>
      </c>
    </row>
    <row r="3427" spans="1:21" ht="12" customHeight="1">
      <c r="A3427" s="4">
        <v>4618</v>
      </c>
      <c r="B3427" s="4">
        <v>32871</v>
      </c>
      <c r="C3427" s="5">
        <f t="shared" si="1409"/>
        <v>41208</v>
      </c>
      <c r="D3427" s="4" t="s">
        <v>30</v>
      </c>
      <c r="E3427" s="4">
        <v>14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145.44999999999999</v>
      </c>
      <c r="K3427" s="4">
        <v>17.850000000000001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0.56000000000000005</v>
      </c>
      <c r="U3427" s="5">
        <f t="shared" si="1410"/>
        <v>41210</v>
      </c>
    </row>
    <row r="3428" spans="1:21" ht="12" customHeight="1">
      <c r="A3428" s="4">
        <v>5034</v>
      </c>
      <c r="B3428" s="4">
        <v>35878</v>
      </c>
      <c r="C3428" s="5">
        <f>DATE(2012,12,31)-871</f>
        <v>40403</v>
      </c>
      <c r="D3428" s="4" t="s">
        <v>63</v>
      </c>
      <c r="E3428" s="4">
        <v>11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spans="1:21" ht="12" customHeight="1">
      <c r="A3429" s="4">
        <v>5413</v>
      </c>
      <c r="B3429" s="4">
        <v>38498</v>
      </c>
      <c r="C3429" s="5">
        <f t="shared" ref="C3429:C3430" si="1411">DATE(2012,12,31)-248</f>
        <v>41026</v>
      </c>
      <c r="D3429" s="4" t="s">
        <v>78</v>
      </c>
      <c r="E3429" s="4">
        <v>30</v>
      </c>
      <c r="F3429" s="4">
        <v>3295.15</v>
      </c>
      <c r="G3429" s="4">
        <v>7.0000000000000007E-2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spans="1:21" ht="12" customHeight="1">
      <c r="A3430" s="4">
        <v>5414</v>
      </c>
      <c r="B3430" s="4">
        <v>38498</v>
      </c>
      <c r="C3430" s="5">
        <f t="shared" si="1411"/>
        <v>41026</v>
      </c>
      <c r="D3430" s="4" t="s">
        <v>78</v>
      </c>
      <c r="E3430" s="4">
        <v>1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4.2699999999999996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spans="1:21" ht="12" customHeight="1">
      <c r="A3431" s="4">
        <v>5575</v>
      </c>
      <c r="B3431" s="4">
        <v>39492</v>
      </c>
      <c r="C3431" s="5">
        <f t="shared" ref="C3431:C3432" si="1412">DATE(2012,12,31)-624</f>
        <v>40650</v>
      </c>
      <c r="D3431" s="4" t="s">
        <v>45</v>
      </c>
      <c r="E3431" s="4">
        <v>38</v>
      </c>
      <c r="F3431" s="4">
        <v>1541.92</v>
      </c>
      <c r="G3431" s="4">
        <v>0.03</v>
      </c>
      <c r="H3431" s="4" t="s">
        <v>22</v>
      </c>
      <c r="I3431" s="6">
        <v>-564.05999999999995</v>
      </c>
      <c r="J3431" s="4">
        <v>40.479999999999997</v>
      </c>
      <c r="K3431" s="4">
        <v>19.989999999999998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3">C3431+2</f>
        <v>40652</v>
      </c>
    </row>
    <row r="3432" spans="1:21" ht="12" customHeight="1">
      <c r="A3432" s="4">
        <v>5576</v>
      </c>
      <c r="B3432" s="4">
        <v>39492</v>
      </c>
      <c r="C3432" s="5">
        <f t="shared" si="1412"/>
        <v>40650</v>
      </c>
      <c r="D3432" s="4" t="s">
        <v>45</v>
      </c>
      <c r="E3432" s="4">
        <v>40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3"/>
        <v>40652</v>
      </c>
    </row>
    <row r="3433" spans="1:21" ht="12" customHeight="1">
      <c r="A3433" s="4">
        <v>5602</v>
      </c>
      <c r="B3433" s="4">
        <v>39686</v>
      </c>
      <c r="C3433" s="5">
        <f t="shared" ref="C3433:C3434" si="1414">DATE(2012,12,31)-206</f>
        <v>41068</v>
      </c>
      <c r="D3433" s="4" t="s">
        <v>45</v>
      </c>
      <c r="E3433" s="4">
        <v>2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0.56999999999999995</v>
      </c>
      <c r="U3433" s="5">
        <f t="shared" ref="U3433:U3436" si="1415">C3433+1</f>
        <v>41069</v>
      </c>
    </row>
    <row r="3434" spans="1:21" ht="12" customHeight="1">
      <c r="A3434" s="4">
        <v>5603</v>
      </c>
      <c r="B3434" s="4">
        <v>39686</v>
      </c>
      <c r="C3434" s="5">
        <f t="shared" si="1414"/>
        <v>41068</v>
      </c>
      <c r="D3434" s="4" t="s">
        <v>45</v>
      </c>
      <c r="E3434" s="4">
        <v>48</v>
      </c>
      <c r="F3434" s="4">
        <v>2750.7105000000001</v>
      </c>
      <c r="G3434" s="4">
        <v>0</v>
      </c>
      <c r="H3434" s="4" t="s">
        <v>22</v>
      </c>
      <c r="I3434" s="6">
        <v>791.90099999999995</v>
      </c>
      <c r="J3434" s="4">
        <v>65.989999999999995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0.56000000000000005</v>
      </c>
      <c r="U3434" s="5">
        <f t="shared" si="1415"/>
        <v>41069</v>
      </c>
    </row>
    <row r="3435" spans="1:21" ht="12" customHeight="1">
      <c r="A3435" s="4">
        <v>6043</v>
      </c>
      <c r="B3435" s="4">
        <v>42850</v>
      </c>
      <c r="C3435" s="5">
        <f>DATE(2012,12,31)-559</f>
        <v>40715</v>
      </c>
      <c r="D3435" s="4" t="s">
        <v>63</v>
      </c>
      <c r="E3435" s="4">
        <v>27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5"/>
        <v>40716</v>
      </c>
    </row>
    <row r="3436" spans="1:21" ht="12" customHeight="1">
      <c r="A3436" s="4">
        <v>6468</v>
      </c>
      <c r="B3436" s="4">
        <v>46050</v>
      </c>
      <c r="C3436" s="5">
        <f t="shared" ref="C3436:C3437" si="1416">DATE(2012,12,31)-1092</f>
        <v>40182</v>
      </c>
      <c r="D3436" s="4" t="s">
        <v>30</v>
      </c>
      <c r="E3436" s="4">
        <v>5</v>
      </c>
      <c r="F3436" s="4">
        <v>2249.0500000000002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5"/>
        <v>40183</v>
      </c>
    </row>
    <row r="3437" spans="1:21" ht="12" customHeight="1">
      <c r="A3437" s="4">
        <v>6469</v>
      </c>
      <c r="B3437" s="4">
        <v>46050</v>
      </c>
      <c r="C3437" s="5">
        <f t="shared" si="1416"/>
        <v>40182</v>
      </c>
      <c r="D3437" s="4" t="s">
        <v>30</v>
      </c>
      <c r="E3437" s="4">
        <v>48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19.989999999999998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spans="1:21" ht="12" customHeight="1">
      <c r="A3438" s="4">
        <v>6491</v>
      </c>
      <c r="B3438" s="4">
        <v>46212</v>
      </c>
      <c r="C3438" s="5">
        <f>DATE(2012,12,31)-110</f>
        <v>41164</v>
      </c>
      <c r="D3438" s="4" t="s">
        <v>45</v>
      </c>
      <c r="E3438" s="4">
        <v>7</v>
      </c>
      <c r="F3438" s="4">
        <v>3877.88</v>
      </c>
      <c r="G3438" s="4">
        <v>0.08</v>
      </c>
      <c r="H3438" s="4" t="s">
        <v>31</v>
      </c>
      <c r="I3438" s="6">
        <v>-1331.5533660000001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spans="1:21" ht="12" customHeight="1">
      <c r="A3439" s="4">
        <v>6933</v>
      </c>
      <c r="B3439" s="4">
        <v>49477</v>
      </c>
      <c r="C3439" s="5">
        <f>DATE(2012,12,31)-398</f>
        <v>40876</v>
      </c>
      <c r="D3439" s="4" t="s">
        <v>63</v>
      </c>
      <c r="E3439" s="4">
        <v>9</v>
      </c>
      <c r="F3439" s="4">
        <v>75.94</v>
      </c>
      <c r="G3439" s="4">
        <v>0.01</v>
      </c>
      <c r="H3439" s="4" t="s">
        <v>22</v>
      </c>
      <c r="I3439" s="6">
        <v>-16.559999999999999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spans="1:21" ht="12" customHeight="1">
      <c r="A3440" s="4">
        <v>6978</v>
      </c>
      <c r="B3440" s="4">
        <v>49889</v>
      </c>
      <c r="C3440" s="5">
        <f t="shared" ref="C3440:C3441" si="1417">DATE(2012,12,31)-19</f>
        <v>41255</v>
      </c>
      <c r="D3440" s="4" t="s">
        <v>78</v>
      </c>
      <c r="E3440" s="4">
        <v>47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8">C3440+2</f>
        <v>41257</v>
      </c>
    </row>
    <row r="3441" spans="1:21" ht="12" customHeight="1">
      <c r="A3441" s="4">
        <v>6979</v>
      </c>
      <c r="B3441" s="4">
        <v>49889</v>
      </c>
      <c r="C3441" s="5">
        <f t="shared" si="1417"/>
        <v>41255</v>
      </c>
      <c r="D3441" s="4" t="s">
        <v>78</v>
      </c>
      <c r="E3441" s="4">
        <v>21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2.0299999999999998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0.56999999999999995</v>
      </c>
      <c r="U3441" s="5">
        <f t="shared" si="1418"/>
        <v>41257</v>
      </c>
    </row>
    <row r="3442" spans="1:21" ht="12" customHeight="1">
      <c r="A3442" s="4">
        <v>7693</v>
      </c>
      <c r="B3442" s="4">
        <v>55140</v>
      </c>
      <c r="C3442" s="5">
        <f>DATE(2012,12,31)-911</f>
        <v>40363</v>
      </c>
      <c r="D3442" s="4" t="s">
        <v>78</v>
      </c>
      <c r="E3442" s="4">
        <v>39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8"/>
        <v>40365</v>
      </c>
    </row>
    <row r="3443" spans="1:21" ht="12" customHeight="1">
      <c r="A3443" s="4">
        <v>7908</v>
      </c>
      <c r="B3443" s="4">
        <v>56550</v>
      </c>
      <c r="C3443" s="5">
        <f>DATE(2012,12,31)-633</f>
        <v>40641</v>
      </c>
      <c r="D3443" s="4" t="s">
        <v>45</v>
      </c>
      <c r="E3443" s="4">
        <v>33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spans="1:21" ht="12" customHeight="1">
      <c r="A3444" s="4">
        <v>8042</v>
      </c>
      <c r="B3444" s="4">
        <v>57447</v>
      </c>
      <c r="C3444" s="5">
        <f t="shared" ref="C3444:C3445" si="1419">DATE(2012,12,31)-546</f>
        <v>40728</v>
      </c>
      <c r="D3444" s="4" t="s">
        <v>45</v>
      </c>
      <c r="E3444" s="4">
        <v>39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8.4600000000000009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spans="1:21" ht="12" customHeight="1">
      <c r="A3445" s="4">
        <v>8043</v>
      </c>
      <c r="B3445" s="4">
        <v>57447</v>
      </c>
      <c r="C3445" s="5">
        <f t="shared" si="1419"/>
        <v>40728</v>
      </c>
      <c r="D3445" s="4" t="s">
        <v>45</v>
      </c>
      <c r="E3445" s="4">
        <v>8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spans="1:21" ht="12" customHeight="1">
      <c r="A3446" s="4">
        <v>179</v>
      </c>
      <c r="B3446" s="4">
        <v>1185</v>
      </c>
      <c r="C3446" s="5">
        <f>DATE(2012,12,31)-130</f>
        <v>41144</v>
      </c>
      <c r="D3446" s="4" t="s">
        <v>21</v>
      </c>
      <c r="E3446" s="4">
        <v>7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0">C3446+4</f>
        <v>41148</v>
      </c>
    </row>
    <row r="3447" spans="1:21" ht="12" customHeight="1">
      <c r="A3447" s="4">
        <v>310</v>
      </c>
      <c r="B3447" s="4">
        <v>2149</v>
      </c>
      <c r="C3447" s="5">
        <f>DATE(2012,12,31)-1025</f>
        <v>40249</v>
      </c>
      <c r="D3447" s="4" t="s">
        <v>21</v>
      </c>
      <c r="E3447" s="4">
        <v>4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9.3800000000000008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0.56999999999999995</v>
      </c>
      <c r="U3447" s="5">
        <f t="shared" si="1420"/>
        <v>40253</v>
      </c>
    </row>
    <row r="3448" spans="1:21" ht="12" customHeight="1">
      <c r="A3448" s="4">
        <v>509</v>
      </c>
      <c r="B3448" s="4">
        <v>3493</v>
      </c>
      <c r="C3448" s="5">
        <f>DATE(2012,12,31)-861</f>
        <v>40413</v>
      </c>
      <c r="D3448" s="4" t="s">
        <v>30</v>
      </c>
      <c r="E3448" s="4">
        <v>48</v>
      </c>
      <c r="F3448" s="4">
        <v>7518.12</v>
      </c>
      <c r="G3448" s="4">
        <v>0.04</v>
      </c>
      <c r="H3448" s="4" t="s">
        <v>22</v>
      </c>
      <c r="I3448" s="6">
        <v>1027.6300000000001</v>
      </c>
      <c r="J3448" s="4">
        <v>152.47999999999999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spans="1:21" ht="12" customHeight="1">
      <c r="A3449" s="4">
        <v>525</v>
      </c>
      <c r="B3449" s="4">
        <v>3588</v>
      </c>
      <c r="C3449" s="5">
        <f t="shared" ref="C3449:C3452" si="1421">DATE(2012,12,31)-654</f>
        <v>40620</v>
      </c>
      <c r="D3449" s="4" t="s">
        <v>45</v>
      </c>
      <c r="E3449" s="4">
        <v>42</v>
      </c>
      <c r="F3449" s="4">
        <v>374.38</v>
      </c>
      <c r="G3449" s="4">
        <v>0.03</v>
      </c>
      <c r="H3449" s="4" t="s">
        <v>22</v>
      </c>
      <c r="I3449" s="6">
        <v>-1.1599999999999999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0.57999999999999996</v>
      </c>
      <c r="U3449" s="5">
        <f>C3449+1</f>
        <v>40621</v>
      </c>
    </row>
    <row r="3450" spans="1:21" ht="12" customHeight="1">
      <c r="A3450" s="4">
        <v>526</v>
      </c>
      <c r="B3450" s="4">
        <v>3588</v>
      </c>
      <c r="C3450" s="5">
        <f t="shared" si="1421"/>
        <v>40620</v>
      </c>
      <c r="D3450" s="4" t="s">
        <v>45</v>
      </c>
      <c r="E3450" s="4">
        <v>21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2">C3450+2</f>
        <v>40622</v>
      </c>
    </row>
    <row r="3451" spans="1:21" ht="12" customHeight="1">
      <c r="A3451" s="4">
        <v>527</v>
      </c>
      <c r="B3451" s="4">
        <v>3588</v>
      </c>
      <c r="C3451" s="5">
        <f t="shared" si="1421"/>
        <v>40620</v>
      </c>
      <c r="D3451" s="4" t="s">
        <v>45</v>
      </c>
      <c r="E3451" s="4">
        <v>14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2"/>
        <v>40622</v>
      </c>
    </row>
    <row r="3452" spans="1:21" ht="12" customHeight="1">
      <c r="A3452" s="4">
        <v>528</v>
      </c>
      <c r="B3452" s="4">
        <v>3588</v>
      </c>
      <c r="C3452" s="5">
        <f t="shared" si="1421"/>
        <v>40620</v>
      </c>
      <c r="D3452" s="4" t="s">
        <v>45</v>
      </c>
      <c r="E3452" s="4">
        <v>18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spans="1:21" ht="12" customHeight="1">
      <c r="A3453" s="4">
        <v>824</v>
      </c>
      <c r="B3453" s="4">
        <v>5957</v>
      </c>
      <c r="C3453" s="5">
        <f t="shared" ref="C3453:C3455" si="1423">DATE(2012,12,31)-736</f>
        <v>40538</v>
      </c>
      <c r="D3453" s="4" t="s">
        <v>30</v>
      </c>
      <c r="E3453" s="4">
        <v>15</v>
      </c>
      <c r="F3453" s="4">
        <v>68.319999999999993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spans="1:21" ht="12" customHeight="1">
      <c r="A3454" s="4">
        <v>825</v>
      </c>
      <c r="B3454" s="4">
        <v>5957</v>
      </c>
      <c r="C3454" s="5">
        <f t="shared" si="1423"/>
        <v>40538</v>
      </c>
      <c r="D3454" s="4" t="s">
        <v>30</v>
      </c>
      <c r="E3454" s="4">
        <v>3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150.97999999999999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spans="1:21" ht="12" customHeight="1">
      <c r="A3455" s="4">
        <v>826</v>
      </c>
      <c r="B3455" s="4">
        <v>5957</v>
      </c>
      <c r="C3455" s="5">
        <f t="shared" si="1423"/>
        <v>40538</v>
      </c>
      <c r="D3455" s="4" t="s">
        <v>30</v>
      </c>
      <c r="E3455" s="4">
        <v>23</v>
      </c>
      <c r="F3455" s="4">
        <v>391.87549999999999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4.8099999999999996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0.57999999999999996</v>
      </c>
      <c r="U3455" s="5">
        <f>C3455+3</f>
        <v>40541</v>
      </c>
    </row>
    <row r="3456" spans="1:21" ht="12" customHeight="1">
      <c r="A3456" s="4">
        <v>865</v>
      </c>
      <c r="B3456" s="4">
        <v>6183</v>
      </c>
      <c r="C3456" s="5">
        <f>DATE(2012,12,31)-199</f>
        <v>41075</v>
      </c>
      <c r="D3456" s="4" t="s">
        <v>63</v>
      </c>
      <c r="E3456" s="4">
        <v>41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spans="1:21" ht="12" customHeight="1">
      <c r="A3457" s="4">
        <v>890</v>
      </c>
      <c r="B3457" s="4">
        <v>6402</v>
      </c>
      <c r="C3457" s="5">
        <f>DATE(2012,12,31)-618</f>
        <v>40656</v>
      </c>
      <c r="D3457" s="4" t="s">
        <v>21</v>
      </c>
      <c r="E3457" s="4">
        <v>35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spans="1:21" ht="12" customHeight="1">
      <c r="A3458" s="4">
        <v>927</v>
      </c>
      <c r="B3458" s="4">
        <v>6720</v>
      </c>
      <c r="C3458" s="5">
        <f t="shared" ref="C3458:C3460" si="1424">DATE(2012,12,31)-844</f>
        <v>40430</v>
      </c>
      <c r="D3458" s="4" t="s">
        <v>45</v>
      </c>
      <c r="E3458" s="4">
        <v>31</v>
      </c>
      <c r="F3458" s="4">
        <v>164.62</v>
      </c>
      <c r="G3458" s="4">
        <v>0.03</v>
      </c>
      <c r="H3458" s="4" t="s">
        <v>22</v>
      </c>
      <c r="I3458" s="6">
        <v>-93.713499999999996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spans="1:21" ht="12" customHeight="1">
      <c r="A3459" s="4">
        <v>928</v>
      </c>
      <c r="B3459" s="4">
        <v>6720</v>
      </c>
      <c r="C3459" s="5">
        <f t="shared" si="1424"/>
        <v>40430</v>
      </c>
      <c r="D3459" s="4" t="s">
        <v>45</v>
      </c>
      <c r="E3459" s="4">
        <v>36</v>
      </c>
      <c r="F3459" s="4">
        <v>4225.7700000000004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spans="1:21" ht="12" customHeight="1">
      <c r="A3460" s="4">
        <v>929</v>
      </c>
      <c r="B3460" s="4">
        <v>6720</v>
      </c>
      <c r="C3460" s="5">
        <f t="shared" si="1424"/>
        <v>40430</v>
      </c>
      <c r="D3460" s="4" t="s">
        <v>45</v>
      </c>
      <c r="E3460" s="4">
        <v>8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5">C3460+2</f>
        <v>40432</v>
      </c>
    </row>
    <row r="3461" spans="1:21" ht="12" customHeight="1">
      <c r="A3461" s="4">
        <v>936</v>
      </c>
      <c r="B3461" s="4">
        <v>6785</v>
      </c>
      <c r="C3461" s="5">
        <f>DATE(2012,12,31)-239</f>
        <v>41035</v>
      </c>
      <c r="D3461" s="4" t="s">
        <v>63</v>
      </c>
      <c r="E3461" s="4">
        <v>7</v>
      </c>
      <c r="F3461" s="4">
        <v>181.32</v>
      </c>
      <c r="G3461" s="4">
        <v>0.03</v>
      </c>
      <c r="H3461" s="4" t="s">
        <v>22</v>
      </c>
      <c r="I3461" s="6">
        <v>80.319999999999993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5"/>
        <v>41037</v>
      </c>
    </row>
    <row r="3462" spans="1:21" ht="12" customHeight="1">
      <c r="A3462" s="4">
        <v>1189</v>
      </c>
      <c r="B3462" s="4">
        <v>8704</v>
      </c>
      <c r="C3462" s="5">
        <f t="shared" ref="C3462:C3463" si="1426">DATE(2012,12,31)-550</f>
        <v>40724</v>
      </c>
      <c r="D3462" s="4" t="s">
        <v>63</v>
      </c>
      <c r="E3462" s="4">
        <v>43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1.0900000000000001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7">C3462+1</f>
        <v>40725</v>
      </c>
    </row>
    <row r="3463" spans="1:21" ht="12" customHeight="1">
      <c r="A3463" s="4">
        <v>1190</v>
      </c>
      <c r="B3463" s="4">
        <v>8704</v>
      </c>
      <c r="C3463" s="5">
        <f t="shared" si="1426"/>
        <v>40724</v>
      </c>
      <c r="D3463" s="4" t="s">
        <v>63</v>
      </c>
      <c r="E3463" s="4">
        <v>38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7"/>
        <v>40725</v>
      </c>
    </row>
    <row r="3464" spans="1:21" ht="12" customHeight="1">
      <c r="A3464" s="4">
        <v>1206</v>
      </c>
      <c r="B3464" s="4">
        <v>8834</v>
      </c>
      <c r="C3464" s="5">
        <f>DATE(2012,12,31)-784</f>
        <v>40490</v>
      </c>
      <c r="D3464" s="4" t="s">
        <v>30</v>
      </c>
      <c r="E3464" s="4">
        <v>45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150.97999999999999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7"/>
        <v>40491</v>
      </c>
    </row>
    <row r="3465" spans="1:21" ht="12" customHeight="1">
      <c r="A3465" s="4">
        <v>1215</v>
      </c>
      <c r="B3465" s="4">
        <v>8933</v>
      </c>
      <c r="C3465" s="5">
        <f t="shared" ref="C3465:C3466" si="1428">DATE(2012,12,31)-816</f>
        <v>40458</v>
      </c>
      <c r="D3465" s="4" t="s">
        <v>30</v>
      </c>
      <c r="E3465" s="4">
        <v>37</v>
      </c>
      <c r="F3465" s="4">
        <v>1520.26</v>
      </c>
      <c r="G3465" s="4">
        <v>0.04</v>
      </c>
      <c r="H3465" s="4" t="s">
        <v>22</v>
      </c>
      <c r="I3465" s="6">
        <v>640.84050000000002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7"/>
        <v>40459</v>
      </c>
    </row>
    <row r="3466" spans="1:21" ht="12" customHeight="1">
      <c r="A3466" s="4">
        <v>1216</v>
      </c>
      <c r="B3466" s="4">
        <v>8933</v>
      </c>
      <c r="C3466" s="5">
        <f t="shared" si="1428"/>
        <v>40458</v>
      </c>
      <c r="D3466" s="4" t="s">
        <v>30</v>
      </c>
      <c r="E3466" s="4">
        <v>30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spans="1:21" ht="12" customHeight="1">
      <c r="A3467" s="4">
        <v>1409</v>
      </c>
      <c r="B3467" s="4">
        <v>10243</v>
      </c>
      <c r="C3467" s="5">
        <f>DATE(2012,12,31)-373</f>
        <v>40901</v>
      </c>
      <c r="D3467" s="4" t="s">
        <v>30</v>
      </c>
      <c r="E3467" s="4">
        <v>12</v>
      </c>
      <c r="F3467" s="4">
        <v>28.41</v>
      </c>
      <c r="G3467" s="4">
        <v>7.0000000000000007E-2</v>
      </c>
      <c r="H3467" s="4" t="s">
        <v>22</v>
      </c>
      <c r="I3467" s="6">
        <v>-44.079499999999996</v>
      </c>
      <c r="J3467" s="4">
        <v>1.98</v>
      </c>
      <c r="K3467" s="4">
        <v>4.7699999999999996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29">C3467+1</f>
        <v>40902</v>
      </c>
    </row>
    <row r="3468" spans="1:21" ht="12" customHeight="1">
      <c r="A3468" s="4">
        <v>1458</v>
      </c>
      <c r="B3468" s="4">
        <v>10502</v>
      </c>
      <c r="C3468" s="5">
        <f t="shared" ref="C3468:C3469" si="1430">DATE(2012,12,31)-962</f>
        <v>40312</v>
      </c>
      <c r="D3468" s="4" t="s">
        <v>45</v>
      </c>
      <c r="E3468" s="4">
        <v>33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0.55000000000000004</v>
      </c>
      <c r="U3468" s="5">
        <f t="shared" si="1429"/>
        <v>40313</v>
      </c>
    </row>
    <row r="3469" spans="1:21" ht="12" customHeight="1">
      <c r="A3469" s="4">
        <v>1459</v>
      </c>
      <c r="B3469" s="4">
        <v>10502</v>
      </c>
      <c r="C3469" s="5">
        <f t="shared" si="1430"/>
        <v>40312</v>
      </c>
      <c r="D3469" s="4" t="s">
        <v>45</v>
      </c>
      <c r="E3469" s="4">
        <v>36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spans="1:21" ht="12" customHeight="1">
      <c r="A3470" s="4">
        <v>1535</v>
      </c>
      <c r="B3470" s="4">
        <v>11047</v>
      </c>
      <c r="C3470" s="5">
        <f t="shared" ref="C3470:C3471" si="1431">DATE(2012,12,31)-752</f>
        <v>40522</v>
      </c>
      <c r="D3470" s="4" t="s">
        <v>21</v>
      </c>
      <c r="E3470" s="4">
        <v>27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spans="1:21" ht="12" customHeight="1">
      <c r="A3471" s="4">
        <v>1536</v>
      </c>
      <c r="B3471" s="4">
        <v>11047</v>
      </c>
      <c r="C3471" s="5">
        <f t="shared" si="1431"/>
        <v>40522</v>
      </c>
      <c r="D3471" s="4" t="s">
        <v>21</v>
      </c>
      <c r="E3471" s="4">
        <v>24</v>
      </c>
      <c r="F3471" s="4">
        <v>10480.272000000001</v>
      </c>
      <c r="G3471" s="4">
        <v>7.0000000000000007E-2</v>
      </c>
      <c r="H3471" s="4" t="s">
        <v>31</v>
      </c>
      <c r="I3471" s="6">
        <v>2271.6799999999998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2">C3471+2</f>
        <v>40524</v>
      </c>
    </row>
    <row r="3472" spans="1:21" ht="12" customHeight="1">
      <c r="A3472" s="4">
        <v>1787</v>
      </c>
      <c r="B3472" s="4">
        <v>12803</v>
      </c>
      <c r="C3472" s="5">
        <f>DATE(2012,12,31)-1040</f>
        <v>40234</v>
      </c>
      <c r="D3472" s="4" t="s">
        <v>45</v>
      </c>
      <c r="E3472" s="4">
        <v>32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4.8099999999999996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0.57999999999999996</v>
      </c>
      <c r="U3472" s="5">
        <f t="shared" si="1432"/>
        <v>40236</v>
      </c>
    </row>
    <row r="3473" spans="1:21" ht="12" customHeight="1">
      <c r="A3473" s="4">
        <v>1927</v>
      </c>
      <c r="B3473" s="4">
        <v>13767</v>
      </c>
      <c r="C3473" s="5">
        <f>DATE(2012,12,31)-858</f>
        <v>40416</v>
      </c>
      <c r="D3473" s="4" t="s">
        <v>30</v>
      </c>
      <c r="E3473" s="4">
        <v>12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2"/>
        <v>40418</v>
      </c>
    </row>
    <row r="3474" spans="1:21" ht="12" customHeight="1">
      <c r="A3474" s="4">
        <v>1980</v>
      </c>
      <c r="B3474" s="4">
        <v>14117</v>
      </c>
      <c r="C3474" s="5">
        <f>DATE(2012,12,31)-859</f>
        <v>40415</v>
      </c>
      <c r="D3474" s="4" t="s">
        <v>45</v>
      </c>
      <c r="E3474" s="4">
        <v>4</v>
      </c>
      <c r="F3474" s="4">
        <v>5.31</v>
      </c>
      <c r="G3474" s="4">
        <v>0</v>
      </c>
      <c r="H3474" s="4" t="s">
        <v>22</v>
      </c>
      <c r="I3474" s="6">
        <v>-1.5</v>
      </c>
      <c r="J3474" s="4">
        <v>1.1399999999999999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2"/>
        <v>40417</v>
      </c>
    </row>
    <row r="3475" spans="1:21" ht="12" customHeight="1">
      <c r="A3475" s="4">
        <v>2091</v>
      </c>
      <c r="B3475" s="4">
        <v>14976</v>
      </c>
      <c r="C3475" s="5">
        <f>DATE(2012,12,31)-528</f>
        <v>40746</v>
      </c>
      <c r="D3475" s="4" t="s">
        <v>30</v>
      </c>
      <c r="E3475" s="4">
        <v>46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4.9800000000000004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2"/>
        <v>40748</v>
      </c>
    </row>
    <row r="3476" spans="1:21" ht="12" customHeight="1">
      <c r="A3476" s="4">
        <v>2094</v>
      </c>
      <c r="B3476" s="4">
        <v>14980</v>
      </c>
      <c r="C3476" s="5">
        <f>DATE(2012,12,31)-170</f>
        <v>41104</v>
      </c>
      <c r="D3476" s="4" t="s">
        <v>78</v>
      </c>
      <c r="E3476" s="4">
        <v>27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spans="1:21" ht="12" customHeight="1">
      <c r="A3477" s="4">
        <v>2235</v>
      </c>
      <c r="B3477" s="4">
        <v>16134</v>
      </c>
      <c r="C3477" s="5">
        <f>DATE(2012,12,31)-42</f>
        <v>41232</v>
      </c>
      <c r="D3477" s="4" t="s">
        <v>30</v>
      </c>
      <c r="E3477" s="4">
        <v>43</v>
      </c>
      <c r="F3477" s="4">
        <v>21921.279999999999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spans="1:21" ht="12" customHeight="1">
      <c r="A3478" s="4">
        <v>2262</v>
      </c>
      <c r="B3478" s="4">
        <v>16258</v>
      </c>
      <c r="C3478" s="5">
        <f t="shared" ref="C3478:C3479" si="1433">DATE(2012,12,31)-544</f>
        <v>40730</v>
      </c>
      <c r="D3478" s="4" t="s">
        <v>63</v>
      </c>
      <c r="E3478" s="4">
        <v>1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4.9800000000000004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spans="1:21" ht="12" customHeight="1">
      <c r="A3479" s="4">
        <v>2263</v>
      </c>
      <c r="B3479" s="4">
        <v>16258</v>
      </c>
      <c r="C3479" s="5">
        <f t="shared" si="1433"/>
        <v>40730</v>
      </c>
      <c r="D3479" s="4" t="s">
        <v>63</v>
      </c>
      <c r="E3479" s="4">
        <v>48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4">C3479+2</f>
        <v>40732</v>
      </c>
    </row>
    <row r="3480" spans="1:21" ht="12" customHeight="1">
      <c r="A3480" s="4">
        <v>2267</v>
      </c>
      <c r="B3480" s="4">
        <v>16289</v>
      </c>
      <c r="C3480" s="5">
        <f>DATE(2012,12,31)-898</f>
        <v>40376</v>
      </c>
      <c r="D3480" s="4" t="s">
        <v>30</v>
      </c>
      <c r="E3480" s="4">
        <v>37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0.55000000000000004</v>
      </c>
      <c r="U3480" s="5">
        <f t="shared" si="1434"/>
        <v>40378</v>
      </c>
    </row>
    <row r="3481" spans="1:21" ht="12" customHeight="1">
      <c r="A3481" s="4">
        <v>2355</v>
      </c>
      <c r="B3481" s="4">
        <v>16993</v>
      </c>
      <c r="C3481" s="5">
        <f>DATE(2012,12,31)-411</f>
        <v>40863</v>
      </c>
      <c r="D3481" s="4" t="s">
        <v>63</v>
      </c>
      <c r="E3481" s="4">
        <v>8</v>
      </c>
      <c r="F3481" s="4">
        <v>1383.9190000000001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5">C3481+0</f>
        <v>40863</v>
      </c>
    </row>
    <row r="3482" spans="1:21" ht="12" customHeight="1">
      <c r="A3482" s="4">
        <v>2773</v>
      </c>
      <c r="B3482" s="4">
        <v>20036</v>
      </c>
      <c r="C3482" s="5">
        <f t="shared" ref="C3482:C3483" si="1436">DATE(2012,12,31)-757</f>
        <v>40517</v>
      </c>
      <c r="D3482" s="4" t="s">
        <v>45</v>
      </c>
      <c r="E3482" s="4">
        <v>25</v>
      </c>
      <c r="F3482" s="4">
        <v>290.45999999999998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4.9800000000000004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0.57999999999999996</v>
      </c>
      <c r="U3482" s="5">
        <f t="shared" si="1435"/>
        <v>40517</v>
      </c>
    </row>
    <row r="3483" spans="1:21" ht="12" customHeight="1">
      <c r="A3483" s="4">
        <v>2774</v>
      </c>
      <c r="B3483" s="4">
        <v>20036</v>
      </c>
      <c r="C3483" s="5">
        <f t="shared" si="1436"/>
        <v>40517</v>
      </c>
      <c r="D3483" s="4" t="s">
        <v>45</v>
      </c>
      <c r="E3483" s="4">
        <v>44</v>
      </c>
      <c r="F3483" s="4">
        <v>1207.4000000000001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7">C3483+2</f>
        <v>40519</v>
      </c>
    </row>
    <row r="3484" spans="1:21" ht="12" customHeight="1">
      <c r="A3484" s="4">
        <v>2903</v>
      </c>
      <c r="B3484" s="4">
        <v>20964</v>
      </c>
      <c r="C3484" s="5">
        <f>DATE(2012,12,31)-276</f>
        <v>40998</v>
      </c>
      <c r="D3484" s="4" t="s">
        <v>78</v>
      </c>
      <c r="E3484" s="4">
        <v>11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65.989999999999995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0.57999999999999996</v>
      </c>
      <c r="U3484" s="5">
        <f t="shared" si="1437"/>
        <v>41000</v>
      </c>
    </row>
    <row r="3485" spans="1:21" ht="12" customHeight="1">
      <c r="A3485" s="4">
        <v>3016</v>
      </c>
      <c r="B3485" s="4">
        <v>21702</v>
      </c>
      <c r="C3485" s="5">
        <f>DATE(2012,12,31)-745</f>
        <v>40529</v>
      </c>
      <c r="D3485" s="4" t="s">
        <v>45</v>
      </c>
      <c r="E3485" s="4">
        <v>40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spans="1:21" ht="12" customHeight="1">
      <c r="A3486" s="4">
        <v>3062</v>
      </c>
      <c r="B3486" s="4">
        <v>21925</v>
      </c>
      <c r="C3486" s="5">
        <f>DATE(2012,12,31)-172</f>
        <v>41102</v>
      </c>
      <c r="D3486" s="4" t="s">
        <v>45</v>
      </c>
      <c r="E3486" s="4">
        <v>3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77.510000000000005</v>
      </c>
      <c r="K3486" s="4">
        <v>4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spans="1:21" ht="12" customHeight="1">
      <c r="A3487" s="4">
        <v>3123</v>
      </c>
      <c r="B3487" s="4">
        <v>22432</v>
      </c>
      <c r="C3487" s="5">
        <f>DATE(2012,12,31)-33</f>
        <v>41241</v>
      </c>
      <c r="D3487" s="4" t="s">
        <v>45</v>
      </c>
      <c r="E3487" s="4">
        <v>45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19.989999999999998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spans="1:21" ht="12" customHeight="1">
      <c r="A3488" s="4">
        <v>3173</v>
      </c>
      <c r="B3488" s="4">
        <v>22819</v>
      </c>
      <c r="C3488" s="5">
        <f>DATE(2012,12,31)-51</f>
        <v>41223</v>
      </c>
      <c r="D3488" s="4" t="s">
        <v>30</v>
      </c>
      <c r="E3488" s="4">
        <v>1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spans="1:21" ht="12" customHeight="1">
      <c r="A3489" s="4">
        <v>3221</v>
      </c>
      <c r="B3489" s="4">
        <v>23107</v>
      </c>
      <c r="C3489" s="5">
        <f>DATE(2012,12,31)-569</f>
        <v>40705</v>
      </c>
      <c r="D3489" s="4" t="s">
        <v>63</v>
      </c>
      <c r="E3489" s="4">
        <v>7</v>
      </c>
      <c r="F3489" s="4">
        <v>43.29</v>
      </c>
      <c r="G3489" s="4">
        <v>7.0000000000000007E-2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spans="1:21" ht="12" customHeight="1">
      <c r="A3490" s="4">
        <v>3294</v>
      </c>
      <c r="B3490" s="4">
        <v>23556</v>
      </c>
      <c r="C3490" s="5">
        <f>DATE(2012,12,31)-722</f>
        <v>40552</v>
      </c>
      <c r="D3490" s="4" t="s">
        <v>63</v>
      </c>
      <c r="E3490" s="4">
        <v>34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19.989999999999998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0.56999999999999995</v>
      </c>
      <c r="U3490" s="5">
        <f t="shared" ref="U3490:U3492" si="1438">C3490+1</f>
        <v>40553</v>
      </c>
    </row>
    <row r="3491" spans="1:21" ht="12" customHeight="1">
      <c r="A3491" s="4">
        <v>3324</v>
      </c>
      <c r="B3491" s="4">
        <v>23777</v>
      </c>
      <c r="C3491" s="5">
        <f>DATE(2012,12,31)-35</f>
        <v>41239</v>
      </c>
      <c r="D3491" s="4" t="s">
        <v>45</v>
      </c>
      <c r="E3491" s="4">
        <v>16</v>
      </c>
      <c r="F3491" s="4">
        <v>487.7</v>
      </c>
      <c r="G3491" s="4">
        <v>0.06</v>
      </c>
      <c r="H3491" s="4" t="s">
        <v>22</v>
      </c>
      <c r="I3491" s="6">
        <v>-67.540000000000006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8"/>
        <v>41240</v>
      </c>
    </row>
    <row r="3492" spans="1:21" ht="12" customHeight="1">
      <c r="A3492" s="4">
        <v>3374</v>
      </c>
      <c r="B3492" s="4">
        <v>24098</v>
      </c>
      <c r="C3492" s="5">
        <f t="shared" ref="C3492:C3494" si="1439">DATE(2012,12,31)-258</f>
        <v>41016</v>
      </c>
      <c r="D3492" s="4" t="s">
        <v>78</v>
      </c>
      <c r="E3492" s="4">
        <v>42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8"/>
        <v>41017</v>
      </c>
    </row>
    <row r="3493" spans="1:21" ht="12" customHeight="1">
      <c r="A3493" s="4">
        <v>3375</v>
      </c>
      <c r="B3493" s="4">
        <v>24098</v>
      </c>
      <c r="C3493" s="5">
        <f t="shared" si="1439"/>
        <v>41016</v>
      </c>
      <c r="D3493" s="4" t="s">
        <v>78</v>
      </c>
      <c r="E3493" s="4">
        <v>10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spans="1:21" ht="12" customHeight="1">
      <c r="A3494" s="4">
        <v>3376</v>
      </c>
      <c r="B3494" s="4">
        <v>24098</v>
      </c>
      <c r="C3494" s="5">
        <f t="shared" si="1439"/>
        <v>41016</v>
      </c>
      <c r="D3494" s="4" t="s">
        <v>78</v>
      </c>
      <c r="E3494" s="4">
        <v>32</v>
      </c>
      <c r="F3494" s="4">
        <v>4158.0725000000002</v>
      </c>
      <c r="G3494" s="4">
        <v>0.02</v>
      </c>
      <c r="H3494" s="4" t="s">
        <v>22</v>
      </c>
      <c r="I3494" s="6">
        <v>836.14499999999998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0.57999999999999996</v>
      </c>
      <c r="U3494" s="5">
        <f>C3494+1</f>
        <v>41017</v>
      </c>
    </row>
    <row r="3495" spans="1:21" ht="12" customHeight="1">
      <c r="A3495" s="4">
        <v>3400</v>
      </c>
      <c r="B3495" s="4">
        <v>24227</v>
      </c>
      <c r="C3495" s="5">
        <f>DATE(2012,12,31)-868</f>
        <v>40406</v>
      </c>
      <c r="D3495" s="4" t="s">
        <v>63</v>
      </c>
      <c r="E3495" s="4">
        <v>24</v>
      </c>
      <c r="F3495" s="4">
        <v>1840.8534999999999</v>
      </c>
      <c r="G3495" s="4">
        <v>0.01</v>
      </c>
      <c r="H3495" s="4" t="s">
        <v>22</v>
      </c>
      <c r="I3495" s="6">
        <v>424.63799999999998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0.57999999999999996</v>
      </c>
      <c r="U3495" s="5">
        <f t="shared" ref="U3495:U3497" si="1440">C3495+2</f>
        <v>40408</v>
      </c>
    </row>
    <row r="3496" spans="1:21" ht="12" customHeight="1">
      <c r="A3496" s="4">
        <v>3595</v>
      </c>
      <c r="B3496" s="4">
        <v>25637</v>
      </c>
      <c r="C3496" s="5">
        <f>DATE(2012,12,31)-310</f>
        <v>40964</v>
      </c>
      <c r="D3496" s="4" t="s">
        <v>45</v>
      </c>
      <c r="E3496" s="4">
        <v>12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259.70999999999998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0"/>
        <v>40966</v>
      </c>
    </row>
    <row r="3497" spans="1:21" ht="12" customHeight="1">
      <c r="A3497" s="4">
        <v>3737</v>
      </c>
      <c r="B3497" s="4">
        <v>26695</v>
      </c>
      <c r="C3497" s="5">
        <f>DATE(2012,12,31)-939</f>
        <v>40335</v>
      </c>
      <c r="D3497" s="4" t="s">
        <v>45</v>
      </c>
      <c r="E3497" s="4">
        <v>43</v>
      </c>
      <c r="F3497" s="4">
        <v>367.11</v>
      </c>
      <c r="G3497" s="4">
        <v>0.01</v>
      </c>
      <c r="H3497" s="4" t="s">
        <v>22</v>
      </c>
      <c r="I3497" s="6">
        <v>163.41999999999999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0"/>
        <v>40337</v>
      </c>
    </row>
    <row r="3498" spans="1:21" ht="12" customHeight="1">
      <c r="A3498" s="4">
        <v>3797</v>
      </c>
      <c r="B3498" s="4">
        <v>27078</v>
      </c>
      <c r="C3498" s="5">
        <f>DATE(2012,12,31)-141</f>
        <v>41133</v>
      </c>
      <c r="D3498" s="4" t="s">
        <v>45</v>
      </c>
      <c r="E3498" s="4">
        <v>22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spans="1:21" ht="12" customHeight="1">
      <c r="A3499" s="4">
        <v>4135</v>
      </c>
      <c r="B3499" s="4">
        <v>29376</v>
      </c>
      <c r="C3499" s="5">
        <f>DATE(2012,12,31)-142</f>
        <v>41132</v>
      </c>
      <c r="D3499" s="4" t="s">
        <v>78</v>
      </c>
      <c r="E3499" s="4">
        <v>20</v>
      </c>
      <c r="F3499" s="4">
        <v>2850.31</v>
      </c>
      <c r="G3499" s="4">
        <v>0.09</v>
      </c>
      <c r="H3499" s="4" t="s">
        <v>22</v>
      </c>
      <c r="I3499" s="6">
        <v>569.08000000000004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spans="1:21" ht="12" customHeight="1">
      <c r="A3500" s="4">
        <v>4302</v>
      </c>
      <c r="B3500" s="4">
        <v>30626</v>
      </c>
      <c r="C3500" s="5">
        <f>DATE(2012,12,31)-616</f>
        <v>40658</v>
      </c>
      <c r="D3500" s="4" t="s">
        <v>78</v>
      </c>
      <c r="E3500" s="4">
        <v>23</v>
      </c>
      <c r="F3500" s="4">
        <v>220.82</v>
      </c>
      <c r="G3500" s="4">
        <v>0.1</v>
      </c>
      <c r="H3500" s="4" t="s">
        <v>56</v>
      </c>
      <c r="I3500" s="6">
        <v>77.680000000000007</v>
      </c>
      <c r="J3500" s="4">
        <v>9.93</v>
      </c>
      <c r="K3500" s="4">
        <v>1.0900000000000001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spans="1:21" ht="12" customHeight="1">
      <c r="A3501" s="4">
        <v>4328</v>
      </c>
      <c r="B3501" s="4">
        <v>30851</v>
      </c>
      <c r="C3501" s="5">
        <f>DATE(2012,12,31)-832</f>
        <v>40442</v>
      </c>
      <c r="D3501" s="4" t="s">
        <v>21</v>
      </c>
      <c r="E3501" s="4">
        <v>16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1">C3501+4</f>
        <v>40446</v>
      </c>
    </row>
    <row r="3502" spans="1:21" ht="12" customHeight="1">
      <c r="A3502" s="4">
        <v>4452</v>
      </c>
      <c r="B3502" s="4">
        <v>31718</v>
      </c>
      <c r="C3502" s="5">
        <f t="shared" ref="C3502:C3503" si="1442">DATE(2012,12,31)-765</f>
        <v>40509</v>
      </c>
      <c r="D3502" s="4" t="s">
        <v>21</v>
      </c>
      <c r="E3502" s="4">
        <v>24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65.989999999999995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1"/>
        <v>40513</v>
      </c>
    </row>
    <row r="3503" spans="1:21" ht="12" customHeight="1">
      <c r="A3503" s="4">
        <v>4453</v>
      </c>
      <c r="B3503" s="4">
        <v>31718</v>
      </c>
      <c r="C3503" s="5">
        <f t="shared" si="1442"/>
        <v>40509</v>
      </c>
      <c r="D3503" s="4" t="s">
        <v>21</v>
      </c>
      <c r="E3503" s="4">
        <v>20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65.989999999999995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spans="1:21" ht="12" customHeight="1">
      <c r="A3504" s="4">
        <v>4871</v>
      </c>
      <c r="B3504" s="4">
        <v>34661</v>
      </c>
      <c r="C3504" s="5">
        <f>DATE(2012,12,31)-1076</f>
        <v>40198</v>
      </c>
      <c r="D3504" s="4" t="s">
        <v>78</v>
      </c>
      <c r="E3504" s="4">
        <v>26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33.979999999999997</v>
      </c>
      <c r="K3504" s="4">
        <v>19.989999999999998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0.55000000000000004</v>
      </c>
      <c r="U3504" s="5">
        <f t="shared" ref="U3504:U3505" si="1443">C3504+2</f>
        <v>40200</v>
      </c>
    </row>
    <row r="3505" spans="1:21" ht="12" customHeight="1">
      <c r="A3505" s="4">
        <v>4886</v>
      </c>
      <c r="B3505" s="4">
        <v>34754</v>
      </c>
      <c r="C3505" s="5">
        <f>DATE(2012,12,31)-210</f>
        <v>41064</v>
      </c>
      <c r="D3505" s="4" t="s">
        <v>78</v>
      </c>
      <c r="E3505" s="4">
        <v>16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3"/>
        <v>41066</v>
      </c>
    </row>
    <row r="3506" spans="1:21" ht="12" customHeight="1">
      <c r="A3506" s="4">
        <v>4975</v>
      </c>
      <c r="B3506" s="4">
        <v>35392</v>
      </c>
      <c r="C3506" s="5">
        <f>DATE(2012,12,31)-312</f>
        <v>40962</v>
      </c>
      <c r="D3506" s="4" t="s">
        <v>30</v>
      </c>
      <c r="E3506" s="4">
        <v>9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spans="1:21" ht="12" customHeight="1">
      <c r="A3507" s="4">
        <v>5066</v>
      </c>
      <c r="B3507" s="4">
        <v>36103</v>
      </c>
      <c r="C3507" s="5">
        <f t="shared" ref="C3507:C3508" si="1444">DATE(2012,12,31)-246</f>
        <v>41028</v>
      </c>
      <c r="D3507" s="4" t="s">
        <v>78</v>
      </c>
      <c r="E3507" s="4">
        <v>10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5">C3507+2</f>
        <v>41030</v>
      </c>
    </row>
    <row r="3508" spans="1:21" ht="12" customHeight="1">
      <c r="A3508" s="4">
        <v>5067</v>
      </c>
      <c r="B3508" s="4">
        <v>36103</v>
      </c>
      <c r="C3508" s="5">
        <f t="shared" si="1444"/>
        <v>41028</v>
      </c>
      <c r="D3508" s="4" t="s">
        <v>78</v>
      </c>
      <c r="E3508" s="4">
        <v>45</v>
      </c>
      <c r="F3508" s="4">
        <v>1335.316</v>
      </c>
      <c r="G3508" s="4">
        <v>0.03</v>
      </c>
      <c r="H3508" s="4" t="s">
        <v>22</v>
      </c>
      <c r="I3508" s="6">
        <v>701.65800000000002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5"/>
        <v>41030</v>
      </c>
    </row>
    <row r="3509" spans="1:21" ht="12" customHeight="1">
      <c r="A3509" s="4">
        <v>5221</v>
      </c>
      <c r="B3509" s="4">
        <v>37157</v>
      </c>
      <c r="C3509" s="5">
        <f>DATE(2012,12,31)-1045</f>
        <v>40229</v>
      </c>
      <c r="D3509" s="4" t="s">
        <v>30</v>
      </c>
      <c r="E3509" s="4">
        <v>39</v>
      </c>
      <c r="F3509" s="4">
        <v>213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5.0599999999999996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5"/>
        <v>40231</v>
      </c>
    </row>
    <row r="3510" spans="1:21" ht="12" customHeight="1">
      <c r="A3510" s="4">
        <v>5368</v>
      </c>
      <c r="B3510" s="4">
        <v>38176</v>
      </c>
      <c r="C3510" s="5">
        <f t="shared" ref="C3510:C3511" si="1446">DATE(2012,12,31)-869</f>
        <v>40405</v>
      </c>
      <c r="D3510" s="4" t="s">
        <v>30</v>
      </c>
      <c r="E3510" s="4">
        <v>39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spans="1:21" ht="12" customHeight="1">
      <c r="A3511" s="4">
        <v>5369</v>
      </c>
      <c r="B3511" s="4">
        <v>38176</v>
      </c>
      <c r="C3511" s="5">
        <f t="shared" si="1446"/>
        <v>40405</v>
      </c>
      <c r="D3511" s="4" t="s">
        <v>30</v>
      </c>
      <c r="E3511" s="4">
        <v>48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spans="1:21" ht="12" customHeight="1">
      <c r="A3512" s="4">
        <v>5424</v>
      </c>
      <c r="B3512" s="4">
        <v>38531</v>
      </c>
      <c r="C3512" s="5">
        <f>DATE(2012,12,31)-392</f>
        <v>40882</v>
      </c>
      <c r="D3512" s="4" t="s">
        <v>21</v>
      </c>
      <c r="E3512" s="4">
        <v>26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2.2599999999999998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spans="1:21" ht="12" customHeight="1">
      <c r="A3513" s="4">
        <v>5748</v>
      </c>
      <c r="B3513" s="4">
        <v>40832</v>
      </c>
      <c r="C3513" s="5">
        <f>DATE(2012,12,31)-1008</f>
        <v>40266</v>
      </c>
      <c r="D3513" s="4" t="s">
        <v>30</v>
      </c>
      <c r="E3513" s="4">
        <v>22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20.239999999999998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spans="1:21" ht="12" customHeight="1">
      <c r="A3514" s="4">
        <v>5865</v>
      </c>
      <c r="B3514" s="4">
        <v>41632</v>
      </c>
      <c r="C3514" s="5">
        <f>DATE(2012,12,31)-761</f>
        <v>40513</v>
      </c>
      <c r="D3514" s="4" t="s">
        <v>21</v>
      </c>
      <c r="E3514" s="4">
        <v>34</v>
      </c>
      <c r="F3514" s="4">
        <v>1541.4580000000001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spans="1:21" ht="12" customHeight="1">
      <c r="A3515" s="4">
        <v>5976</v>
      </c>
      <c r="B3515" s="4">
        <v>42373</v>
      </c>
      <c r="C3515" s="5">
        <f>DATE(2012,12,31)-502</f>
        <v>40772</v>
      </c>
      <c r="D3515" s="4" t="s">
        <v>45</v>
      </c>
      <c r="E3515" s="4">
        <v>11</v>
      </c>
      <c r="F3515" s="4">
        <v>127.32</v>
      </c>
      <c r="G3515" s="4">
        <v>0.1</v>
      </c>
      <c r="H3515" s="4" t="s">
        <v>56</v>
      </c>
      <c r="I3515" s="6">
        <v>22.958500000000001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7">C3515+1</f>
        <v>40773</v>
      </c>
    </row>
    <row r="3516" spans="1:21" ht="12" customHeight="1">
      <c r="A3516" s="4">
        <v>6277</v>
      </c>
      <c r="B3516" s="4">
        <v>44423</v>
      </c>
      <c r="C3516" s="5">
        <f>DATE(2012,12,31)-155</f>
        <v>41119</v>
      </c>
      <c r="D3516" s="4" t="s">
        <v>78</v>
      </c>
      <c r="E3516" s="4">
        <v>39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7"/>
        <v>41120</v>
      </c>
    </row>
    <row r="3517" spans="1:21" ht="12" customHeight="1">
      <c r="A3517" s="4">
        <v>6447</v>
      </c>
      <c r="B3517" s="4">
        <v>45863</v>
      </c>
      <c r="C3517" s="5">
        <f>DATE(2012,12,31)-834</f>
        <v>40440</v>
      </c>
      <c r="D3517" s="4" t="s">
        <v>21</v>
      </c>
      <c r="E3517" s="4">
        <v>5</v>
      </c>
      <c r="F3517" s="4">
        <v>845.61400000000003</v>
      </c>
      <c r="G3517" s="4">
        <v>0.01</v>
      </c>
      <c r="H3517" s="4" t="s">
        <v>56</v>
      </c>
      <c r="I3517" s="6">
        <v>-653.48800000000006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spans="1:21" ht="12" customHeight="1">
      <c r="A3518" s="4">
        <v>6615</v>
      </c>
      <c r="B3518" s="4">
        <v>47078</v>
      </c>
      <c r="C3518" s="5">
        <f t="shared" ref="C3518:C3520" si="1448">DATE(2012,12,31)-987</f>
        <v>40287</v>
      </c>
      <c r="D3518" s="4" t="s">
        <v>63</v>
      </c>
      <c r="E3518" s="4">
        <v>18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spans="1:21" ht="12" customHeight="1">
      <c r="A3519" s="4">
        <v>6616</v>
      </c>
      <c r="B3519" s="4">
        <v>47078</v>
      </c>
      <c r="C3519" s="5">
        <f t="shared" si="1448"/>
        <v>40287</v>
      </c>
      <c r="D3519" s="4" t="s">
        <v>63</v>
      </c>
      <c r="E3519" s="4">
        <v>43</v>
      </c>
      <c r="F3519" s="4">
        <v>279.83</v>
      </c>
      <c r="G3519" s="4">
        <v>0.01</v>
      </c>
      <c r="H3519" s="4" t="s">
        <v>22</v>
      </c>
      <c r="I3519" s="6">
        <v>77.040000000000006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49">C3519+1</f>
        <v>40288</v>
      </c>
    </row>
    <row r="3520" spans="1:21" ht="12" customHeight="1">
      <c r="A3520" s="4">
        <v>6617</v>
      </c>
      <c r="B3520" s="4">
        <v>47078</v>
      </c>
      <c r="C3520" s="5">
        <f t="shared" si="1448"/>
        <v>40287</v>
      </c>
      <c r="D3520" s="4" t="s">
        <v>63</v>
      </c>
      <c r="E3520" s="4">
        <v>20</v>
      </c>
      <c r="F3520" s="4">
        <v>98.57</v>
      </c>
      <c r="G3520" s="4">
        <v>7.0000000000000007E-2</v>
      </c>
      <c r="H3520" s="4" t="s">
        <v>22</v>
      </c>
      <c r="I3520" s="6">
        <v>-49.64</v>
      </c>
      <c r="J3520" s="4">
        <v>4.9800000000000004</v>
      </c>
      <c r="K3520" s="4">
        <v>5.0199999999999996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49"/>
        <v>40288</v>
      </c>
    </row>
    <row r="3521" spans="1:21" ht="12" customHeight="1">
      <c r="A3521" s="4">
        <v>6703</v>
      </c>
      <c r="B3521" s="4">
        <v>47747</v>
      </c>
      <c r="C3521" s="5">
        <f>DATE(2012,12,31)-406</f>
        <v>40868</v>
      </c>
      <c r="D3521" s="4" t="s">
        <v>30</v>
      </c>
      <c r="E3521" s="4">
        <v>40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spans="1:21" ht="12" customHeight="1">
      <c r="A3522" s="4">
        <v>6710</v>
      </c>
      <c r="B3522" s="4">
        <v>47810</v>
      </c>
      <c r="C3522" s="5">
        <f>DATE(2012,12,31)-505</f>
        <v>40769</v>
      </c>
      <c r="D3522" s="4" t="s">
        <v>78</v>
      </c>
      <c r="E3522" s="4">
        <v>3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0.55000000000000004</v>
      </c>
      <c r="U3522" s="5">
        <f>C3522+1</f>
        <v>40770</v>
      </c>
    </row>
    <row r="3523" spans="1:21" ht="12" customHeight="1">
      <c r="A3523" s="4">
        <v>7353</v>
      </c>
      <c r="B3523" s="4">
        <v>52389</v>
      </c>
      <c r="C3523" s="5">
        <f>DATE(2012,12,31)-437</f>
        <v>40837</v>
      </c>
      <c r="D3523" s="4" t="s">
        <v>78</v>
      </c>
      <c r="E3523" s="4">
        <v>31</v>
      </c>
      <c r="F3523" s="4">
        <v>655.33000000000004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spans="1:21" ht="12" customHeight="1">
      <c r="A3524" s="4">
        <v>7510</v>
      </c>
      <c r="B3524" s="4">
        <v>53605</v>
      </c>
      <c r="C3524" s="5">
        <f t="shared" ref="C3524:C3526" si="1450">DATE(2012,12,31)-881</f>
        <v>40393</v>
      </c>
      <c r="D3524" s="4" t="s">
        <v>63</v>
      </c>
      <c r="E3524" s="4">
        <v>19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1">C3524+2</f>
        <v>40395</v>
      </c>
    </row>
    <row r="3525" spans="1:21" ht="12" customHeight="1">
      <c r="A3525" s="4">
        <v>7511</v>
      </c>
      <c r="B3525" s="4">
        <v>53605</v>
      </c>
      <c r="C3525" s="5">
        <f t="shared" si="1450"/>
        <v>40393</v>
      </c>
      <c r="D3525" s="4" t="s">
        <v>63</v>
      </c>
      <c r="E3525" s="4">
        <v>48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1"/>
        <v>40395</v>
      </c>
    </row>
    <row r="3526" spans="1:21" ht="12" customHeight="1">
      <c r="A3526" s="4">
        <v>7512</v>
      </c>
      <c r="B3526" s="4">
        <v>53605</v>
      </c>
      <c r="C3526" s="5">
        <f t="shared" si="1450"/>
        <v>40393</v>
      </c>
      <c r="D3526" s="4" t="s">
        <v>63</v>
      </c>
      <c r="E3526" s="4">
        <v>1</v>
      </c>
      <c r="F3526" s="4">
        <v>74.31</v>
      </c>
      <c r="G3526" s="4">
        <v>7.0000000000000007E-2</v>
      </c>
      <c r="H3526" s="4" t="s">
        <v>22</v>
      </c>
      <c r="I3526" s="6">
        <v>-73.099999999999994</v>
      </c>
      <c r="J3526" s="4">
        <v>41.47</v>
      </c>
      <c r="K3526" s="4">
        <v>34.200000000000003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1"/>
        <v>40395</v>
      </c>
    </row>
    <row r="3527" spans="1:21" ht="12" customHeight="1">
      <c r="A3527" s="4">
        <v>7748</v>
      </c>
      <c r="B3527" s="4">
        <v>55460</v>
      </c>
      <c r="C3527" s="5">
        <f t="shared" ref="C3527:C3528" si="1452">DATE(2012,12,31)-219</f>
        <v>41055</v>
      </c>
      <c r="D3527" s="4" t="s">
        <v>30</v>
      </c>
      <c r="E3527" s="4">
        <v>49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0.56000000000000005</v>
      </c>
      <c r="U3527" s="5">
        <f t="shared" si="1451"/>
        <v>41057</v>
      </c>
    </row>
    <row r="3528" spans="1:21" ht="12" customHeight="1">
      <c r="A3528" s="4">
        <v>7749</v>
      </c>
      <c r="B3528" s="4">
        <v>55460</v>
      </c>
      <c r="C3528" s="5">
        <f t="shared" si="1452"/>
        <v>41055</v>
      </c>
      <c r="D3528" s="4" t="s">
        <v>30</v>
      </c>
      <c r="E3528" s="4">
        <v>12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spans="1:21" ht="12" customHeight="1">
      <c r="A3529" s="4">
        <v>7815</v>
      </c>
      <c r="B3529" s="4">
        <v>55877</v>
      </c>
      <c r="C3529" s="5">
        <f t="shared" ref="C3529:C3530" si="1453">DATE(2012,12,31)-1063</f>
        <v>40211</v>
      </c>
      <c r="D3529" s="4" t="s">
        <v>45</v>
      </c>
      <c r="E3529" s="4">
        <v>40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spans="1:21" ht="12" customHeight="1">
      <c r="A3530" s="4">
        <v>7816</v>
      </c>
      <c r="B3530" s="4">
        <v>55877</v>
      </c>
      <c r="C3530" s="5">
        <f t="shared" si="1453"/>
        <v>40211</v>
      </c>
      <c r="D3530" s="4" t="s">
        <v>45</v>
      </c>
      <c r="E3530" s="4">
        <v>19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4">C3530+1</f>
        <v>40212</v>
      </c>
    </row>
    <row r="3531" spans="1:21" ht="12" customHeight="1">
      <c r="A3531" s="4">
        <v>7927</v>
      </c>
      <c r="B3531" s="4">
        <v>56647</v>
      </c>
      <c r="C3531" s="5">
        <f>DATE(2012,12,31)-516</f>
        <v>40758</v>
      </c>
      <c r="D3531" s="4" t="s">
        <v>63</v>
      </c>
      <c r="E3531" s="4">
        <v>41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0.56999999999999995</v>
      </c>
      <c r="U3531" s="5">
        <f t="shared" si="1454"/>
        <v>40759</v>
      </c>
    </row>
    <row r="3532" spans="1:21" ht="12" customHeight="1">
      <c r="A3532" s="4">
        <v>8044</v>
      </c>
      <c r="B3532" s="4">
        <v>57475</v>
      </c>
      <c r="C3532" s="5">
        <f t="shared" ref="C3532:C3535" si="1455">DATE(2012,12,31)-819</f>
        <v>40455</v>
      </c>
      <c r="D3532" s="4" t="s">
        <v>21</v>
      </c>
      <c r="E3532" s="4">
        <v>32</v>
      </c>
      <c r="F3532" s="4">
        <v>167.07</v>
      </c>
      <c r="G3532" s="4">
        <v>0.04</v>
      </c>
      <c r="H3532" s="4" t="s">
        <v>22</v>
      </c>
      <c r="I3532" s="6">
        <v>-93.230499999999992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spans="1:21" ht="12" customHeight="1">
      <c r="A3533" s="4">
        <v>8045</v>
      </c>
      <c r="B3533" s="4">
        <v>57475</v>
      </c>
      <c r="C3533" s="5">
        <f t="shared" si="1455"/>
        <v>40455</v>
      </c>
      <c r="D3533" s="4" t="s">
        <v>21</v>
      </c>
      <c r="E3533" s="4">
        <v>34</v>
      </c>
      <c r="F3533" s="4">
        <v>554.88</v>
      </c>
      <c r="G3533" s="4">
        <v>0.06</v>
      </c>
      <c r="H3533" s="4" t="s">
        <v>22</v>
      </c>
      <c r="I3533" s="6">
        <v>-145.32550000000001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6">C3533+0</f>
        <v>40455</v>
      </c>
    </row>
    <row r="3534" spans="1:21" ht="12" customHeight="1">
      <c r="A3534" s="4">
        <v>8046</v>
      </c>
      <c r="B3534" s="4">
        <v>57475</v>
      </c>
      <c r="C3534" s="5">
        <f t="shared" si="1455"/>
        <v>40455</v>
      </c>
      <c r="D3534" s="4" t="s">
        <v>21</v>
      </c>
      <c r="E3534" s="4">
        <v>48</v>
      </c>
      <c r="F3534" s="4">
        <v>309.64999999999998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6"/>
        <v>40455</v>
      </c>
    </row>
    <row r="3535" spans="1:21" ht="12" customHeight="1">
      <c r="A3535" s="4">
        <v>8047</v>
      </c>
      <c r="B3535" s="4">
        <v>57475</v>
      </c>
      <c r="C3535" s="5">
        <f t="shared" si="1455"/>
        <v>40455</v>
      </c>
      <c r="D3535" s="4" t="s">
        <v>21</v>
      </c>
      <c r="E3535" s="4">
        <v>24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spans="1:21" ht="12" customHeight="1">
      <c r="A3536" s="4">
        <v>8062</v>
      </c>
      <c r="B3536" s="4">
        <v>57537</v>
      </c>
      <c r="C3536" s="5">
        <f t="shared" ref="C3536:C3538" si="1457">DATE(2012,12,31)-104</f>
        <v>41170</v>
      </c>
      <c r="D3536" s="4" t="s">
        <v>63</v>
      </c>
      <c r="E3536" s="4">
        <v>13</v>
      </c>
      <c r="F3536" s="4">
        <v>76.38</v>
      </c>
      <c r="G3536" s="4">
        <v>0.03</v>
      </c>
      <c r="H3536" s="4" t="s">
        <v>56</v>
      </c>
      <c r="I3536" s="6">
        <v>-29.693000000000001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8">C3536+1</f>
        <v>41171</v>
      </c>
    </row>
    <row r="3537" spans="1:21" ht="12" customHeight="1">
      <c r="A3537" s="4">
        <v>8063</v>
      </c>
      <c r="B3537" s="4">
        <v>57537</v>
      </c>
      <c r="C3537" s="5">
        <f t="shared" si="1457"/>
        <v>41170</v>
      </c>
      <c r="D3537" s="4" t="s">
        <v>63</v>
      </c>
      <c r="E3537" s="4">
        <v>29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8"/>
        <v>41171</v>
      </c>
    </row>
    <row r="3538" spans="1:21" ht="12" customHeight="1">
      <c r="A3538" s="4">
        <v>8064</v>
      </c>
      <c r="B3538" s="4">
        <v>57537</v>
      </c>
      <c r="C3538" s="5">
        <f t="shared" si="1457"/>
        <v>41170</v>
      </c>
      <c r="D3538" s="4" t="s">
        <v>63</v>
      </c>
      <c r="E3538" s="4">
        <v>4</v>
      </c>
      <c r="F3538" s="4">
        <v>18.329999999999998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spans="1:21" ht="12" customHeight="1">
      <c r="A3539" s="4">
        <v>8087</v>
      </c>
      <c r="B3539" s="4">
        <v>57698</v>
      </c>
      <c r="C3539" s="5">
        <f t="shared" ref="C3539:C3540" si="1459">DATE(2012,12,31)-360</f>
        <v>40914</v>
      </c>
      <c r="D3539" s="4" t="s">
        <v>78</v>
      </c>
      <c r="E3539" s="4">
        <v>10</v>
      </c>
      <c r="F3539" s="4">
        <v>86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0.57999999999999996</v>
      </c>
      <c r="U3539" s="5">
        <f>C3539+1</f>
        <v>40915</v>
      </c>
    </row>
    <row r="3540" spans="1:21" ht="12" customHeight="1">
      <c r="A3540" s="4">
        <v>8088</v>
      </c>
      <c r="B3540" s="4">
        <v>57698</v>
      </c>
      <c r="C3540" s="5">
        <f t="shared" si="1459"/>
        <v>40914</v>
      </c>
      <c r="D3540" s="4" t="s">
        <v>78</v>
      </c>
      <c r="E3540" s="4">
        <v>13</v>
      </c>
      <c r="F3540" s="4">
        <v>4805.3599999999997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19.989999999999998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0.56999999999999995</v>
      </c>
      <c r="U3540" s="5">
        <f>C3540+2</f>
        <v>40916</v>
      </c>
    </row>
    <row r="3541" spans="1:21" ht="12" customHeight="1">
      <c r="A3541" s="4">
        <v>8143</v>
      </c>
      <c r="B3541" s="4">
        <v>58241</v>
      </c>
      <c r="C3541" s="5">
        <f t="shared" ref="C3541:C3542" si="1460">DATE(2012,12,31)-846</f>
        <v>40428</v>
      </c>
      <c r="D3541" s="4" t="s">
        <v>78</v>
      </c>
      <c r="E3541" s="4">
        <v>36</v>
      </c>
      <c r="F3541" s="4">
        <v>146.71</v>
      </c>
      <c r="G3541" s="4">
        <v>0.01</v>
      </c>
      <c r="H3541" s="4" t="s">
        <v>22</v>
      </c>
      <c r="I3541" s="6">
        <v>38.630000000000003</v>
      </c>
      <c r="J3541" s="4">
        <v>4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1">C3541+1</f>
        <v>40429</v>
      </c>
    </row>
    <row r="3542" spans="1:21" ht="12" customHeight="1">
      <c r="A3542" s="4">
        <v>8144</v>
      </c>
      <c r="B3542" s="4">
        <v>58241</v>
      </c>
      <c r="C3542" s="5">
        <f t="shared" si="1460"/>
        <v>40428</v>
      </c>
      <c r="D3542" s="4" t="s">
        <v>78</v>
      </c>
      <c r="E3542" s="4">
        <v>36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1"/>
        <v>40429</v>
      </c>
    </row>
    <row r="3543" spans="1:21" ht="12" customHeight="1">
      <c r="A3543" s="4">
        <v>93</v>
      </c>
      <c r="B3543" s="4">
        <v>610</v>
      </c>
      <c r="C3543" s="5">
        <f>DATE(2012,12,31)-518</f>
        <v>40756</v>
      </c>
      <c r="D3543" s="4" t="s">
        <v>78</v>
      </c>
      <c r="E3543" s="4">
        <v>38</v>
      </c>
      <c r="F3543" s="4">
        <v>283.64999999999998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2">C3543+2</f>
        <v>40758</v>
      </c>
    </row>
    <row r="3544" spans="1:21" ht="12" customHeight="1">
      <c r="A3544" s="4">
        <v>95</v>
      </c>
      <c r="B3544" s="4">
        <v>612</v>
      </c>
      <c r="C3544" s="5">
        <f t="shared" ref="C3544:C3545" si="1463">DATE(2012,12,31)-72</f>
        <v>41202</v>
      </c>
      <c r="D3544" s="4" t="s">
        <v>63</v>
      </c>
      <c r="E3544" s="4">
        <v>50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2"/>
        <v>41204</v>
      </c>
    </row>
    <row r="3545" spans="1:21" ht="12" customHeight="1">
      <c r="A3545" s="4">
        <v>96</v>
      </c>
      <c r="B3545" s="4">
        <v>612</v>
      </c>
      <c r="C3545" s="5">
        <f t="shared" si="1463"/>
        <v>41202</v>
      </c>
      <c r="D3545" s="4" t="s">
        <v>63</v>
      </c>
      <c r="E3545" s="4">
        <v>43</v>
      </c>
      <c r="F3545" s="4">
        <v>2531.0875000000001</v>
      </c>
      <c r="G3545" s="4">
        <v>0.01</v>
      </c>
      <c r="H3545" s="4" t="s">
        <v>22</v>
      </c>
      <c r="I3545" s="6">
        <v>881.67599999999993</v>
      </c>
      <c r="J3545" s="4">
        <v>65.989999999999995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0.55000000000000004</v>
      </c>
      <c r="U3545" s="5">
        <f t="shared" si="1462"/>
        <v>41204</v>
      </c>
    </row>
    <row r="3546" spans="1:21" ht="12" customHeight="1">
      <c r="A3546" s="4">
        <v>216</v>
      </c>
      <c r="B3546" s="4">
        <v>1440</v>
      </c>
      <c r="C3546" s="5">
        <f>DATE(2012,12,31)-510</f>
        <v>40764</v>
      </c>
      <c r="D3546" s="4" t="s">
        <v>21</v>
      </c>
      <c r="E3546" s="4">
        <v>41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17.670000000000002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2"/>
        <v>40766</v>
      </c>
    </row>
    <row r="3547" spans="1:21" ht="12" customHeight="1">
      <c r="A3547" s="4">
        <v>553</v>
      </c>
      <c r="B3547" s="4">
        <v>3749</v>
      </c>
      <c r="C3547" s="5">
        <f>DATE(2012,12,31)-677</f>
        <v>40597</v>
      </c>
      <c r="D3547" s="4" t="s">
        <v>63</v>
      </c>
      <c r="E3547" s="4">
        <v>27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2"/>
        <v>40599</v>
      </c>
    </row>
    <row r="3548" spans="1:21" ht="12" customHeight="1">
      <c r="A3548" s="4">
        <v>598</v>
      </c>
      <c r="B3548" s="4">
        <v>4070</v>
      </c>
      <c r="C3548" s="5">
        <f>DATE(2012,12,31)-569</f>
        <v>40705</v>
      </c>
      <c r="D3548" s="4" t="s">
        <v>30</v>
      </c>
      <c r="E3548" s="4">
        <v>22</v>
      </c>
      <c r="F3548" s="4">
        <v>646.07000000000005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spans="1:21" ht="12" customHeight="1">
      <c r="A3549" s="4">
        <v>687</v>
      </c>
      <c r="B3549" s="4">
        <v>4774</v>
      </c>
      <c r="C3549" s="5">
        <f>DATE(2012,12,31)-987</f>
        <v>40287</v>
      </c>
      <c r="D3549" s="4" t="s">
        <v>63</v>
      </c>
      <c r="E3549" s="4">
        <v>4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32.979999999999997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spans="1:21" ht="12" customHeight="1">
      <c r="A3550" s="4">
        <v>958</v>
      </c>
      <c r="B3550" s="4">
        <v>6947</v>
      </c>
      <c r="C3550" s="5">
        <f>DATE(2012,12,31)-531</f>
        <v>40743</v>
      </c>
      <c r="D3550" s="4" t="s">
        <v>78</v>
      </c>
      <c r="E3550" s="4">
        <v>9</v>
      </c>
      <c r="F3550" s="4">
        <v>520.49</v>
      </c>
      <c r="G3550" s="4">
        <v>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spans="1:21" ht="12" customHeight="1">
      <c r="A3551" s="4">
        <v>985</v>
      </c>
      <c r="B3551" s="4">
        <v>7107</v>
      </c>
      <c r="C3551" s="5">
        <f t="shared" ref="C3551:C3553" si="1464">DATE(2012,12,31)-362</f>
        <v>40912</v>
      </c>
      <c r="D3551" s="4" t="s">
        <v>45</v>
      </c>
      <c r="E3551" s="4">
        <v>3</v>
      </c>
      <c r="F3551" s="4">
        <v>172.04</v>
      </c>
      <c r="G3551" s="4">
        <v>0.02</v>
      </c>
      <c r="H3551" s="4" t="s">
        <v>22</v>
      </c>
      <c r="I3551" s="6">
        <v>143.08000000000001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spans="1:21" ht="12" customHeight="1">
      <c r="A3552" s="4">
        <v>986</v>
      </c>
      <c r="B3552" s="4">
        <v>7107</v>
      </c>
      <c r="C3552" s="5">
        <f t="shared" si="1464"/>
        <v>40912</v>
      </c>
      <c r="D3552" s="4" t="s">
        <v>45</v>
      </c>
      <c r="E3552" s="4">
        <v>3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spans="1:21" ht="12" customHeight="1">
      <c r="A3553" s="4">
        <v>987</v>
      </c>
      <c r="B3553" s="4">
        <v>7107</v>
      </c>
      <c r="C3553" s="5">
        <f t="shared" si="1464"/>
        <v>40912</v>
      </c>
      <c r="D3553" s="4" t="s">
        <v>45</v>
      </c>
      <c r="E3553" s="4">
        <v>32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5">C3553+1</f>
        <v>40913</v>
      </c>
    </row>
    <row r="3554" spans="1:21" ht="12" customHeight="1">
      <c r="A3554" s="4">
        <v>1132</v>
      </c>
      <c r="B3554" s="4">
        <v>8288</v>
      </c>
      <c r="C3554" s="5">
        <f>DATE(2012,12,31)-602</f>
        <v>40672</v>
      </c>
      <c r="D3554" s="4" t="s">
        <v>78</v>
      </c>
      <c r="E3554" s="4">
        <v>22</v>
      </c>
      <c r="F3554" s="4">
        <v>1337.81</v>
      </c>
      <c r="G3554" s="4">
        <v>0.02</v>
      </c>
      <c r="H3554" s="4" t="s">
        <v>22</v>
      </c>
      <c r="I3554" s="6">
        <v>407.11599999999999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5"/>
        <v>40673</v>
      </c>
    </row>
    <row r="3555" spans="1:21" ht="12" customHeight="1">
      <c r="A3555" s="4">
        <v>1187</v>
      </c>
      <c r="B3555" s="4">
        <v>8678</v>
      </c>
      <c r="C3555" s="5">
        <f>DATE(2012,12,31)-92</f>
        <v>41182</v>
      </c>
      <c r="D3555" s="4" t="s">
        <v>21</v>
      </c>
      <c r="E3555" s="4">
        <v>31</v>
      </c>
      <c r="F3555" s="4">
        <v>937.8</v>
      </c>
      <c r="G3555" s="4">
        <v>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spans="1:21" ht="12" customHeight="1">
      <c r="A3556" s="4">
        <v>1489</v>
      </c>
      <c r="B3556" s="4">
        <v>10695</v>
      </c>
      <c r="C3556" s="5">
        <f>DATE(2012,12,31)-609</f>
        <v>40665</v>
      </c>
      <c r="D3556" s="4" t="s">
        <v>30</v>
      </c>
      <c r="E3556" s="4">
        <v>39</v>
      </c>
      <c r="F3556" s="4">
        <v>6330.0859999999993</v>
      </c>
      <c r="G3556" s="4">
        <v>0.1</v>
      </c>
      <c r="H3556" s="4" t="s">
        <v>22</v>
      </c>
      <c r="I3556" s="6">
        <v>1421.8920000000001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6">C3556+1</f>
        <v>40666</v>
      </c>
    </row>
    <row r="3557" spans="1:21" ht="12" customHeight="1">
      <c r="A3557" s="4">
        <v>1620</v>
      </c>
      <c r="B3557" s="4">
        <v>11719</v>
      </c>
      <c r="C3557" s="5">
        <f t="shared" ref="C3557:C3559" si="1467">DATE(2012,12,31)-695</f>
        <v>40579</v>
      </c>
      <c r="D3557" s="4" t="s">
        <v>45</v>
      </c>
      <c r="E3557" s="4">
        <v>3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6"/>
        <v>40580</v>
      </c>
    </row>
    <row r="3558" spans="1:21" ht="12" customHeight="1">
      <c r="A3558" s="4">
        <v>1621</v>
      </c>
      <c r="B3558" s="4">
        <v>11719</v>
      </c>
      <c r="C3558" s="5">
        <f t="shared" si="1467"/>
        <v>40579</v>
      </c>
      <c r="D3558" s="4" t="s">
        <v>45</v>
      </c>
      <c r="E3558" s="4">
        <v>30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8">C3558+0</f>
        <v>40579</v>
      </c>
    </row>
    <row r="3559" spans="1:21" ht="12" customHeight="1">
      <c r="A3559" s="4">
        <v>1622</v>
      </c>
      <c r="B3559" s="4">
        <v>11719</v>
      </c>
      <c r="C3559" s="5">
        <f t="shared" si="1467"/>
        <v>40579</v>
      </c>
      <c r="D3559" s="4" t="s">
        <v>45</v>
      </c>
      <c r="E3559" s="4">
        <v>17</v>
      </c>
      <c r="F3559" s="4">
        <v>438.60849999999999</v>
      </c>
      <c r="G3559" s="4">
        <v>0.01</v>
      </c>
      <c r="H3559" s="4" t="s">
        <v>22</v>
      </c>
      <c r="I3559" s="6">
        <v>-56.045000000000002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0.56000000000000005</v>
      </c>
      <c r="U3559" s="5">
        <f t="shared" si="1468"/>
        <v>40579</v>
      </c>
    </row>
    <row r="3560" spans="1:21" ht="12" customHeight="1">
      <c r="A3560" s="4">
        <v>1651</v>
      </c>
      <c r="B3560" s="4">
        <v>11908</v>
      </c>
      <c r="C3560" s="5">
        <f>DATE(2012,12,31)-951</f>
        <v>40323</v>
      </c>
      <c r="D3560" s="4" t="s">
        <v>45</v>
      </c>
      <c r="E3560" s="4">
        <v>5</v>
      </c>
      <c r="F3560" s="4">
        <v>1386.6</v>
      </c>
      <c r="G3560" s="4">
        <v>0.09</v>
      </c>
      <c r="H3560" s="4" t="s">
        <v>31</v>
      </c>
      <c r="I3560" s="6">
        <v>-556.17999999999995</v>
      </c>
      <c r="J3560" s="4">
        <v>280.98</v>
      </c>
      <c r="K3560" s="4">
        <v>57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69">C3560+2</f>
        <v>40325</v>
      </c>
    </row>
    <row r="3561" spans="1:21" ht="12" customHeight="1">
      <c r="A3561" s="4">
        <v>2079</v>
      </c>
      <c r="B3561" s="4">
        <v>14855</v>
      </c>
      <c r="C3561" s="5">
        <f t="shared" ref="C3561:C3563" si="1470">DATE(2012,12,31)-976</f>
        <v>40298</v>
      </c>
      <c r="D3561" s="4" t="s">
        <v>45</v>
      </c>
      <c r="E3561" s="4">
        <v>44</v>
      </c>
      <c r="F3561" s="4">
        <v>174.9</v>
      </c>
      <c r="G3561" s="4">
        <v>0.06</v>
      </c>
      <c r="H3561" s="4" t="s">
        <v>56</v>
      </c>
      <c r="I3561" s="6">
        <v>-150.90299999999999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69"/>
        <v>40300</v>
      </c>
    </row>
    <row r="3562" spans="1:21" ht="12" customHeight="1">
      <c r="A3562" s="4">
        <v>2080</v>
      </c>
      <c r="B3562" s="4">
        <v>14855</v>
      </c>
      <c r="C3562" s="5">
        <f t="shared" si="1470"/>
        <v>40298</v>
      </c>
      <c r="D3562" s="4" t="s">
        <v>45</v>
      </c>
      <c r="E3562" s="4">
        <v>48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69"/>
        <v>40300</v>
      </c>
    </row>
    <row r="3563" spans="1:21" ht="12" customHeight="1">
      <c r="A3563" s="4">
        <v>2081</v>
      </c>
      <c r="B3563" s="4">
        <v>14855</v>
      </c>
      <c r="C3563" s="5">
        <f t="shared" si="1470"/>
        <v>40298</v>
      </c>
      <c r="D3563" s="4" t="s">
        <v>45</v>
      </c>
      <c r="E3563" s="4">
        <v>19</v>
      </c>
      <c r="F3563" s="4">
        <v>2557.5100000000002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69"/>
        <v>40300</v>
      </c>
    </row>
    <row r="3564" spans="1:21" ht="12" customHeight="1">
      <c r="A3564" s="4">
        <v>2105</v>
      </c>
      <c r="B3564" s="4">
        <v>15045</v>
      </c>
      <c r="C3564" s="5">
        <f>DATE(2012,12,31)-864</f>
        <v>40410</v>
      </c>
      <c r="D3564" s="4" t="s">
        <v>45</v>
      </c>
      <c r="E3564" s="4">
        <v>11</v>
      </c>
      <c r="F3564" s="4">
        <v>1378.72</v>
      </c>
      <c r="G3564" s="4">
        <v>7.0000000000000007E-2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69"/>
        <v>40412</v>
      </c>
    </row>
    <row r="3565" spans="1:21" ht="12" customHeight="1">
      <c r="A3565" s="4">
        <v>2266</v>
      </c>
      <c r="B3565" s="4">
        <v>16289</v>
      </c>
      <c r="C3565" s="5">
        <f>DATE(2012,12,31)-898</f>
        <v>40376</v>
      </c>
      <c r="D3565" s="4" t="s">
        <v>30</v>
      </c>
      <c r="E3565" s="4">
        <v>49</v>
      </c>
      <c r="F3565" s="4">
        <v>5610.6120000000001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0.57999999999999996</v>
      </c>
      <c r="U3565" s="5">
        <f t="shared" si="1469"/>
        <v>40378</v>
      </c>
    </row>
    <row r="3566" spans="1:21" ht="12" customHeight="1">
      <c r="A3566" s="4">
        <v>2718</v>
      </c>
      <c r="B3566" s="4">
        <v>19621</v>
      </c>
      <c r="C3566" s="5">
        <f t="shared" ref="C3566:C3567" si="1471">DATE(2012,12,31)-481</f>
        <v>40793</v>
      </c>
      <c r="D3566" s="4" t="s">
        <v>78</v>
      </c>
      <c r="E3566" s="4">
        <v>20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2">C3566+1</f>
        <v>40794</v>
      </c>
    </row>
    <row r="3567" spans="1:21" ht="12" customHeight="1">
      <c r="A3567" s="4">
        <v>2719</v>
      </c>
      <c r="B3567" s="4">
        <v>19621</v>
      </c>
      <c r="C3567" s="5">
        <f t="shared" si="1471"/>
        <v>40793</v>
      </c>
      <c r="D3567" s="4" t="s">
        <v>78</v>
      </c>
      <c r="E3567" s="4">
        <v>15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2"/>
        <v>40794</v>
      </c>
    </row>
    <row r="3568" spans="1:21" ht="12" customHeight="1">
      <c r="A3568" s="4">
        <v>2771</v>
      </c>
      <c r="B3568" s="4">
        <v>20036</v>
      </c>
      <c r="C3568" s="5">
        <f t="shared" ref="C3568:C3569" si="1473">DATE(2012,12,31)-757</f>
        <v>40517</v>
      </c>
      <c r="D3568" s="4" t="s">
        <v>45</v>
      </c>
      <c r="E3568" s="4">
        <v>28</v>
      </c>
      <c r="F3568" s="4">
        <v>4371.92</v>
      </c>
      <c r="G3568" s="4">
        <v>0.03</v>
      </c>
      <c r="H3568" s="4" t="s">
        <v>31</v>
      </c>
      <c r="I3568" s="6">
        <v>-533.44000000000005</v>
      </c>
      <c r="J3568" s="4">
        <v>150.97999999999999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spans="1:21" ht="12" customHeight="1">
      <c r="A3569" s="4">
        <v>2772</v>
      </c>
      <c r="B3569" s="4">
        <v>20036</v>
      </c>
      <c r="C3569" s="5">
        <f t="shared" si="1473"/>
        <v>40517</v>
      </c>
      <c r="D3569" s="4" t="s">
        <v>45</v>
      </c>
      <c r="E3569" s="4">
        <v>21</v>
      </c>
      <c r="F3569" s="4">
        <v>1745.1179999999999</v>
      </c>
      <c r="G3569" s="4">
        <v>0.03</v>
      </c>
      <c r="H3569" s="4" t="s">
        <v>22</v>
      </c>
      <c r="I3569" s="6">
        <v>307.25099999999998</v>
      </c>
      <c r="J3569" s="4">
        <v>95.99</v>
      </c>
      <c r="K3569" s="4">
        <v>4.9000000000000004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0.56000000000000005</v>
      </c>
      <c r="U3569" s="5">
        <f>C3569+2</f>
        <v>40519</v>
      </c>
    </row>
    <row r="3570" spans="1:21" ht="12" customHeight="1">
      <c r="A3570" s="4">
        <v>2909</v>
      </c>
      <c r="B3570" s="4">
        <v>20967</v>
      </c>
      <c r="C3570" s="5">
        <f t="shared" ref="C3570:C3571" si="1474">DATE(2012,12,31)-657</f>
        <v>40617</v>
      </c>
      <c r="D3570" s="4" t="s">
        <v>30</v>
      </c>
      <c r="E3570" s="4">
        <v>50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spans="1:21" ht="12" customHeight="1">
      <c r="A3571" s="4">
        <v>2910</v>
      </c>
      <c r="B3571" s="4">
        <v>20967</v>
      </c>
      <c r="C3571" s="5">
        <f t="shared" si="1474"/>
        <v>40617</v>
      </c>
      <c r="D3571" s="4" t="s">
        <v>30</v>
      </c>
      <c r="E3571" s="4">
        <v>6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0.56999999999999995</v>
      </c>
      <c r="U3571" s="5">
        <f>C3571+1</f>
        <v>40618</v>
      </c>
    </row>
    <row r="3572" spans="1:21" ht="12" customHeight="1">
      <c r="A3572" s="4">
        <v>2974</v>
      </c>
      <c r="B3572" s="4">
        <v>21478</v>
      </c>
      <c r="C3572" s="5">
        <f t="shared" ref="C3572:C3573" si="1475">DATE(2012,12,31)-304</f>
        <v>40970</v>
      </c>
      <c r="D3572" s="4" t="s">
        <v>21</v>
      </c>
      <c r="E3572" s="4">
        <v>16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spans="1:21" ht="12" customHeight="1">
      <c r="A3573" s="4">
        <v>2975</v>
      </c>
      <c r="B3573" s="4">
        <v>21478</v>
      </c>
      <c r="C3573" s="5">
        <f t="shared" si="1475"/>
        <v>40970</v>
      </c>
      <c r="D3573" s="4" t="s">
        <v>21</v>
      </c>
      <c r="E3573" s="4">
        <v>33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spans="1:21" ht="12" customHeight="1">
      <c r="A3574" s="4">
        <v>3015</v>
      </c>
      <c r="B3574" s="4">
        <v>21696</v>
      </c>
      <c r="C3574" s="5">
        <f>DATE(2012,12,31)-802</f>
        <v>40472</v>
      </c>
      <c r="D3574" s="4" t="s">
        <v>63</v>
      </c>
      <c r="E3574" s="4">
        <v>14</v>
      </c>
      <c r="F3574" s="4">
        <v>278.27</v>
      </c>
      <c r="G3574" s="4">
        <v>0.02</v>
      </c>
      <c r="H3574" s="4" t="s">
        <v>22</v>
      </c>
      <c r="I3574" s="6">
        <v>-51.911000000000001</v>
      </c>
      <c r="J3574" s="4">
        <v>19.350000000000001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6">C3574+1</f>
        <v>40473</v>
      </c>
    </row>
    <row r="3575" spans="1:21" ht="12" customHeight="1">
      <c r="A3575" s="4">
        <v>3295</v>
      </c>
      <c r="B3575" s="4">
        <v>23557</v>
      </c>
      <c r="C3575" s="5">
        <f>DATE(2012,12,31)-580</f>
        <v>40694</v>
      </c>
      <c r="D3575" s="4" t="s">
        <v>45</v>
      </c>
      <c r="E3575" s="4">
        <v>7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136.97999999999999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6"/>
        <v>40695</v>
      </c>
    </row>
    <row r="3576" spans="1:21" ht="12" customHeight="1">
      <c r="A3576" s="4">
        <v>3443</v>
      </c>
      <c r="B3576" s="4">
        <v>24577</v>
      </c>
      <c r="C3576" s="5">
        <f>DATE(2012,12,31)-1036</f>
        <v>40238</v>
      </c>
      <c r="D3576" s="4" t="s">
        <v>63</v>
      </c>
      <c r="E3576" s="4">
        <v>8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6"/>
        <v>40239</v>
      </c>
    </row>
    <row r="3577" spans="1:21" ht="12" customHeight="1">
      <c r="A3577" s="4">
        <v>3504</v>
      </c>
      <c r="B3577" s="4">
        <v>24961</v>
      </c>
      <c r="C3577" s="5">
        <f>DATE(2012,12,31)-1070</f>
        <v>40204</v>
      </c>
      <c r="D3577" s="4" t="s">
        <v>21</v>
      </c>
      <c r="E3577" s="4">
        <v>8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spans="1:21" ht="12" customHeight="1">
      <c r="A3578" s="4">
        <v>3507</v>
      </c>
      <c r="B3578" s="4">
        <v>24966</v>
      </c>
      <c r="C3578" s="5">
        <f>DATE(2012,12,31)-380</f>
        <v>40894</v>
      </c>
      <c r="D3578" s="4" t="s">
        <v>63</v>
      </c>
      <c r="E3578" s="4">
        <v>34</v>
      </c>
      <c r="F3578" s="4">
        <v>4152.12</v>
      </c>
      <c r="G3578" s="4">
        <v>0</v>
      </c>
      <c r="H3578" s="4" t="s">
        <v>22</v>
      </c>
      <c r="I3578" s="6">
        <v>817.98</v>
      </c>
      <c r="J3578" s="4">
        <v>120.33</v>
      </c>
      <c r="K3578" s="4">
        <v>19.989999999999998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7">C3578+1</f>
        <v>40895</v>
      </c>
    </row>
    <row r="3579" spans="1:21" ht="12" customHeight="1">
      <c r="A3579" s="4">
        <v>3838</v>
      </c>
      <c r="B3579" s="4">
        <v>27363</v>
      </c>
      <c r="C3579" s="5">
        <f>DATE(2012,12,31)-440</f>
        <v>40834</v>
      </c>
      <c r="D3579" s="4" t="s">
        <v>63</v>
      </c>
      <c r="E3579" s="4">
        <v>16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20.239999999999998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7"/>
        <v>40835</v>
      </c>
    </row>
    <row r="3580" spans="1:21" ht="12" customHeight="1">
      <c r="A3580" s="4">
        <v>4074</v>
      </c>
      <c r="B3580" s="4">
        <v>29028</v>
      </c>
      <c r="C3580" s="5">
        <f>DATE(2012,12,31)-695</f>
        <v>40579</v>
      </c>
      <c r="D3580" s="4" t="s">
        <v>78</v>
      </c>
      <c r="E3580" s="4">
        <v>43</v>
      </c>
      <c r="F3580" s="4">
        <v>17131.36</v>
      </c>
      <c r="G3580" s="4">
        <v>0.08</v>
      </c>
      <c r="H3580" s="4" t="s">
        <v>31</v>
      </c>
      <c r="I3580" s="6">
        <v>4722.7700000000004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spans="1:21" ht="12" customHeight="1">
      <c r="A3581" s="4">
        <v>4089</v>
      </c>
      <c r="B3581" s="4">
        <v>29156</v>
      </c>
      <c r="C3581" s="5">
        <f>DATE(2012,12,31)-1041</f>
        <v>40233</v>
      </c>
      <c r="D3581" s="4" t="s">
        <v>21</v>
      </c>
      <c r="E3581" s="4">
        <v>10</v>
      </c>
      <c r="F3581" s="4">
        <v>208.77</v>
      </c>
      <c r="G3581" s="4">
        <v>7.0000000000000007E-2</v>
      </c>
      <c r="H3581" s="4" t="s">
        <v>22</v>
      </c>
      <c r="I3581" s="6">
        <v>-76.58</v>
      </c>
      <c r="J3581" s="4">
        <v>20.97</v>
      </c>
      <c r="K3581" s="4">
        <v>4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spans="1:21" ht="12" customHeight="1">
      <c r="A3582" s="4">
        <v>4115</v>
      </c>
      <c r="B3582" s="4">
        <v>29282</v>
      </c>
      <c r="C3582" s="5">
        <f>DATE(2012,12,31)-33</f>
        <v>41241</v>
      </c>
      <c r="D3582" s="4" t="s">
        <v>63</v>
      </c>
      <c r="E3582" s="4">
        <v>4</v>
      </c>
      <c r="F3582" s="4">
        <v>34.270000000000003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9.5399999999999991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spans="1:21" ht="12" customHeight="1">
      <c r="A3583" s="4">
        <v>4214</v>
      </c>
      <c r="B3583" s="4">
        <v>29957</v>
      </c>
      <c r="C3583" s="5">
        <f>DATE(2012,12,31)-1024</f>
        <v>40250</v>
      </c>
      <c r="D3583" s="4" t="s">
        <v>78</v>
      </c>
      <c r="E3583" s="4">
        <v>28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0.57999999999999996</v>
      </c>
      <c r="U3583" s="5">
        <f>C3583+1</f>
        <v>40251</v>
      </c>
    </row>
    <row r="3584" spans="1:21" ht="12" customHeight="1">
      <c r="A3584" s="4">
        <v>4233</v>
      </c>
      <c r="B3584" s="4">
        <v>30081</v>
      </c>
      <c r="C3584" s="5">
        <f>DATE(2012,12,31)-380</f>
        <v>40894</v>
      </c>
      <c r="D3584" s="4" t="s">
        <v>30</v>
      </c>
      <c r="E3584" s="4">
        <v>26</v>
      </c>
      <c r="F3584" s="4">
        <v>213.49</v>
      </c>
      <c r="G3584" s="4">
        <v>0.05</v>
      </c>
      <c r="H3584" s="4" t="s">
        <v>22</v>
      </c>
      <c r="I3584" s="6">
        <v>-136.44749999999999</v>
      </c>
      <c r="J3584" s="4">
        <v>8.0399999999999991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8">C3584+2</f>
        <v>40896</v>
      </c>
    </row>
    <row r="3585" spans="1:21" ht="12" customHeight="1">
      <c r="A3585" s="4">
        <v>4280</v>
      </c>
      <c r="B3585" s="4">
        <v>30497</v>
      </c>
      <c r="C3585" s="5">
        <f t="shared" ref="C3585:C3586" si="1479">DATE(2012,12,31)-694</f>
        <v>40580</v>
      </c>
      <c r="D3585" s="4" t="s">
        <v>78</v>
      </c>
      <c r="E3585" s="4">
        <v>34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8"/>
        <v>40582</v>
      </c>
    </row>
    <row r="3586" spans="1:21" ht="12" customHeight="1">
      <c r="A3586" s="4">
        <v>4281</v>
      </c>
      <c r="B3586" s="4">
        <v>30497</v>
      </c>
      <c r="C3586" s="5">
        <f t="shared" si="1479"/>
        <v>40580</v>
      </c>
      <c r="D3586" s="4" t="s">
        <v>78</v>
      </c>
      <c r="E3586" s="4">
        <v>31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8"/>
        <v>40582</v>
      </c>
    </row>
    <row r="3587" spans="1:21" ht="12" customHeight="1">
      <c r="A3587" s="4">
        <v>4343</v>
      </c>
      <c r="B3587" s="4">
        <v>30917</v>
      </c>
      <c r="C3587" s="5">
        <f t="shared" ref="C3587:C3588" si="1480">DATE(2012,12,31)-791</f>
        <v>40483</v>
      </c>
      <c r="D3587" s="4" t="s">
        <v>21</v>
      </c>
      <c r="E3587" s="4">
        <v>11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8.1199999999999992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8"/>
        <v>40485</v>
      </c>
    </row>
    <row r="3588" spans="1:21" ht="12" customHeight="1">
      <c r="A3588" s="4">
        <v>4344</v>
      </c>
      <c r="B3588" s="4">
        <v>30917</v>
      </c>
      <c r="C3588" s="5">
        <f t="shared" si="1480"/>
        <v>40483</v>
      </c>
      <c r="D3588" s="4" t="s">
        <v>21</v>
      </c>
      <c r="E3588" s="4">
        <v>8</v>
      </c>
      <c r="F3588" s="4">
        <v>753.8</v>
      </c>
      <c r="G3588" s="4">
        <v>0.06</v>
      </c>
      <c r="H3588" s="4" t="s">
        <v>22</v>
      </c>
      <c r="I3588" s="6">
        <v>-32.303100000000001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spans="1:21" ht="12" customHeight="1">
      <c r="A3589" s="4">
        <v>4444</v>
      </c>
      <c r="B3589" s="4">
        <v>31681</v>
      </c>
      <c r="C3589" s="5">
        <f>DATE(2012,12,31)-54</f>
        <v>41220</v>
      </c>
      <c r="D3589" s="4" t="s">
        <v>45</v>
      </c>
      <c r="E3589" s="4">
        <v>38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spans="1:21" ht="12" customHeight="1">
      <c r="A3590" s="4">
        <v>4456</v>
      </c>
      <c r="B3590" s="4">
        <v>31777</v>
      </c>
      <c r="C3590" s="5">
        <f t="shared" ref="C3590:C3591" si="1481">DATE(2012,12,31)-439</f>
        <v>40835</v>
      </c>
      <c r="D3590" s="4" t="s">
        <v>45</v>
      </c>
      <c r="E3590" s="4">
        <v>32</v>
      </c>
      <c r="F3590" s="4">
        <v>6483.42</v>
      </c>
      <c r="G3590" s="4">
        <v>7.0000000000000007E-2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0.57999999999999996</v>
      </c>
      <c r="U3590" s="5">
        <f>C3590+2</f>
        <v>40837</v>
      </c>
    </row>
    <row r="3591" spans="1:21" ht="12" customHeight="1">
      <c r="A3591" s="4">
        <v>4457</v>
      </c>
      <c r="B3591" s="4">
        <v>31777</v>
      </c>
      <c r="C3591" s="5">
        <f t="shared" si="1481"/>
        <v>40835</v>
      </c>
      <c r="D3591" s="4" t="s">
        <v>45</v>
      </c>
      <c r="E3591" s="4">
        <v>10</v>
      </c>
      <c r="F3591" s="4">
        <v>137.77000000000001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spans="1:21" ht="12" customHeight="1">
      <c r="A3592" s="4">
        <v>4644</v>
      </c>
      <c r="B3592" s="4">
        <v>33060</v>
      </c>
      <c r="C3592" s="5">
        <f>DATE(2012,12,31)-1046</f>
        <v>40228</v>
      </c>
      <c r="D3592" s="4" t="s">
        <v>30</v>
      </c>
      <c r="E3592" s="4">
        <v>3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4.6900000000000004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spans="1:21" ht="12" customHeight="1">
      <c r="A3593" s="4">
        <v>4675</v>
      </c>
      <c r="B3593" s="4">
        <v>33254</v>
      </c>
      <c r="C3593" s="5">
        <f>DATE(2012,12,31)-424</f>
        <v>40850</v>
      </c>
      <c r="D3593" s="4" t="s">
        <v>45</v>
      </c>
      <c r="E3593" s="4">
        <v>11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39.979999999999997</v>
      </c>
      <c r="K3593" s="4">
        <v>9.1999999999999993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2">C3593+2</f>
        <v>40852</v>
      </c>
    </row>
    <row r="3594" spans="1:21" ht="12" customHeight="1">
      <c r="A3594" s="4">
        <v>4720</v>
      </c>
      <c r="B3594" s="4">
        <v>33605</v>
      </c>
      <c r="C3594" s="5">
        <f>DATE(2012,12,31)-272</f>
        <v>41002</v>
      </c>
      <c r="D3594" s="4" t="s">
        <v>78</v>
      </c>
      <c r="E3594" s="4">
        <v>42</v>
      </c>
      <c r="F3594" s="4">
        <v>153.01</v>
      </c>
      <c r="G3594" s="4">
        <v>0.04</v>
      </c>
      <c r="H3594" s="4" t="s">
        <v>22</v>
      </c>
      <c r="I3594" s="6">
        <v>-218.53450000000001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2"/>
        <v>41004</v>
      </c>
    </row>
    <row r="3595" spans="1:21" ht="12" customHeight="1">
      <c r="A3595" s="4">
        <v>4807</v>
      </c>
      <c r="B3595" s="4">
        <v>34180</v>
      </c>
      <c r="C3595" s="5">
        <f>DATE(2012,12,31)-485</f>
        <v>40789</v>
      </c>
      <c r="D3595" s="4" t="s">
        <v>30</v>
      </c>
      <c r="E3595" s="4">
        <v>2</v>
      </c>
      <c r="F3595" s="4">
        <v>27</v>
      </c>
      <c r="G3595" s="4">
        <v>0.02</v>
      </c>
      <c r="H3595" s="4" t="s">
        <v>56</v>
      </c>
      <c r="I3595" s="6">
        <v>-4.9000000000000004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spans="1:21" ht="12" customHeight="1">
      <c r="A3596" s="4">
        <v>4939</v>
      </c>
      <c r="B3596" s="4">
        <v>35137</v>
      </c>
      <c r="C3596" s="5">
        <f t="shared" ref="C3596:C3597" si="1483">DATE(2012,12,31)-898</f>
        <v>40376</v>
      </c>
      <c r="D3596" s="4" t="s">
        <v>30</v>
      </c>
      <c r="E3596" s="4">
        <v>41</v>
      </c>
      <c r="F3596" s="4">
        <v>225.06</v>
      </c>
      <c r="G3596" s="4">
        <v>0.05</v>
      </c>
      <c r="H3596" s="4" t="s">
        <v>56</v>
      </c>
      <c r="I3596" s="6">
        <v>7.3014999999999999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spans="1:21" ht="12" customHeight="1">
      <c r="A3597" s="4">
        <v>4940</v>
      </c>
      <c r="B3597" s="4">
        <v>35137</v>
      </c>
      <c r="C3597" s="5">
        <f t="shared" si="1483"/>
        <v>40376</v>
      </c>
      <c r="D3597" s="4" t="s">
        <v>30</v>
      </c>
      <c r="E3597" s="4">
        <v>47</v>
      </c>
      <c r="F3597" s="4">
        <v>1041.78</v>
      </c>
      <c r="G3597" s="4">
        <v>0.1</v>
      </c>
      <c r="H3597" s="4" t="s">
        <v>22</v>
      </c>
      <c r="I3597" s="6">
        <v>283.79000000000002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spans="1:21" ht="12" customHeight="1">
      <c r="A3598" s="4">
        <v>5232</v>
      </c>
      <c r="B3598" s="4">
        <v>37252</v>
      </c>
      <c r="C3598" s="5">
        <f t="shared" ref="C3598:C3601" si="1484">DATE(2012,12,31)-408</f>
        <v>40866</v>
      </c>
      <c r="D3598" s="4" t="s">
        <v>21</v>
      </c>
      <c r="E3598" s="4">
        <v>21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spans="1:21" ht="12" customHeight="1">
      <c r="A3599" s="4">
        <v>5233</v>
      </c>
      <c r="B3599" s="4">
        <v>37252</v>
      </c>
      <c r="C3599" s="5">
        <f t="shared" si="1484"/>
        <v>40866</v>
      </c>
      <c r="D3599" s="4" t="s">
        <v>21</v>
      </c>
      <c r="E3599" s="4">
        <v>1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spans="1:21" ht="12" customHeight="1">
      <c r="A3600" s="4">
        <v>5234</v>
      </c>
      <c r="B3600" s="4">
        <v>37252</v>
      </c>
      <c r="C3600" s="5">
        <f t="shared" si="1484"/>
        <v>40866</v>
      </c>
      <c r="D3600" s="4" t="s">
        <v>21</v>
      </c>
      <c r="E3600" s="4">
        <v>50</v>
      </c>
      <c r="F3600" s="4">
        <v>2337.0300000000002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19.989999999999998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spans="1:21" ht="12" customHeight="1">
      <c r="A3601" s="4">
        <v>5235</v>
      </c>
      <c r="B3601" s="4">
        <v>37252</v>
      </c>
      <c r="C3601" s="5">
        <f t="shared" si="1484"/>
        <v>40866</v>
      </c>
      <c r="D3601" s="4" t="s">
        <v>21</v>
      </c>
      <c r="E3601" s="4">
        <v>34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spans="1:21" ht="12" customHeight="1">
      <c r="A3602" s="4">
        <v>5496</v>
      </c>
      <c r="B3602" s="4">
        <v>38979</v>
      </c>
      <c r="C3602" s="5">
        <f t="shared" ref="C3602:C3604" si="1485">DATE(2012,12,31)-1039</f>
        <v>40235</v>
      </c>
      <c r="D3602" s="4" t="s">
        <v>21</v>
      </c>
      <c r="E3602" s="4">
        <v>48</v>
      </c>
      <c r="F3602" s="4">
        <v>3355.1</v>
      </c>
      <c r="G3602" s="4">
        <v>7.0000000000000007E-2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spans="1:21" ht="12" customHeight="1">
      <c r="A3603" s="4">
        <v>5497</v>
      </c>
      <c r="B3603" s="4">
        <v>38979</v>
      </c>
      <c r="C3603" s="5">
        <f t="shared" si="1485"/>
        <v>40235</v>
      </c>
      <c r="D3603" s="4" t="s">
        <v>21</v>
      </c>
      <c r="E3603" s="4">
        <v>34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6">C3603+5</f>
        <v>40240</v>
      </c>
    </row>
    <row r="3604" spans="1:21" ht="12" customHeight="1">
      <c r="A3604" s="4">
        <v>5498</v>
      </c>
      <c r="B3604" s="4">
        <v>38979</v>
      </c>
      <c r="C3604" s="5">
        <f t="shared" si="1485"/>
        <v>40235</v>
      </c>
      <c r="D3604" s="4" t="s">
        <v>21</v>
      </c>
      <c r="E3604" s="4">
        <v>31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6"/>
        <v>40240</v>
      </c>
    </row>
    <row r="3605" spans="1:21" ht="12" customHeight="1">
      <c r="A3605" s="4">
        <v>5588</v>
      </c>
      <c r="B3605" s="4">
        <v>39619</v>
      </c>
      <c r="C3605" s="5">
        <f>DATE(2012,12,31)-362</f>
        <v>40912</v>
      </c>
      <c r="D3605" s="4" t="s">
        <v>21</v>
      </c>
      <c r="E3605" s="4">
        <v>15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0.56999999999999995</v>
      </c>
      <c r="U3605" s="5">
        <f>C3605+4</f>
        <v>40916</v>
      </c>
    </row>
    <row r="3606" spans="1:21" ht="12" customHeight="1">
      <c r="A3606" s="4">
        <v>6010</v>
      </c>
      <c r="B3606" s="4">
        <v>42565</v>
      </c>
      <c r="C3606" s="5">
        <f>DATE(2012,12,31)-831</f>
        <v>40443</v>
      </c>
      <c r="D3606" s="4" t="s">
        <v>21</v>
      </c>
      <c r="E3606" s="4">
        <v>33</v>
      </c>
      <c r="F3606" s="4">
        <v>283.8</v>
      </c>
      <c r="G3606" s="4">
        <v>0.04</v>
      </c>
      <c r="H3606" s="4" t="s">
        <v>22</v>
      </c>
      <c r="I3606" s="6">
        <v>47.523499999999999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spans="1:21" ht="12" customHeight="1">
      <c r="A3607" s="4">
        <v>6041</v>
      </c>
      <c r="B3607" s="4">
        <v>42823</v>
      </c>
      <c r="C3607" s="5">
        <f>DATE(2012,12,31)-920</f>
        <v>40354</v>
      </c>
      <c r="D3607" s="4" t="s">
        <v>63</v>
      </c>
      <c r="E3607" s="4">
        <v>8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spans="1:21" ht="12" customHeight="1">
      <c r="A3608" s="4">
        <v>6131</v>
      </c>
      <c r="B3608" s="4">
        <v>43398</v>
      </c>
      <c r="C3608" s="5">
        <f>DATE(2012,12,31)-617</f>
        <v>40657</v>
      </c>
      <c r="D3608" s="4" t="s">
        <v>45</v>
      </c>
      <c r="E3608" s="4">
        <v>10</v>
      </c>
      <c r="F3608" s="4">
        <v>1600.85</v>
      </c>
      <c r="G3608" s="4">
        <v>7.0000000000000007E-2</v>
      </c>
      <c r="H3608" s="4" t="s">
        <v>31</v>
      </c>
      <c r="I3608" s="6">
        <v>-193.97</v>
      </c>
      <c r="J3608" s="4">
        <v>159.31</v>
      </c>
      <c r="K3608" s="4">
        <v>60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0.55000000000000004</v>
      </c>
      <c r="U3608" s="5">
        <f>C3608+1</f>
        <v>40658</v>
      </c>
    </row>
    <row r="3609" spans="1:21" ht="12" customHeight="1">
      <c r="A3609" s="4">
        <v>6267</v>
      </c>
      <c r="B3609" s="4">
        <v>44359</v>
      </c>
      <c r="C3609" s="5">
        <f>DATE(2012,12,31)-763</f>
        <v>40511</v>
      </c>
      <c r="D3609" s="4" t="s">
        <v>30</v>
      </c>
      <c r="E3609" s="4">
        <v>19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7">C3609+2</f>
        <v>40513</v>
      </c>
    </row>
    <row r="3610" spans="1:21" ht="12" customHeight="1">
      <c r="A3610" s="4">
        <v>6334</v>
      </c>
      <c r="B3610" s="4">
        <v>44871</v>
      </c>
      <c r="C3610" s="5">
        <f>DATE(2012,12,31)-608</f>
        <v>40666</v>
      </c>
      <c r="D3610" s="4" t="s">
        <v>78</v>
      </c>
      <c r="E3610" s="4">
        <v>27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0.56000000000000005</v>
      </c>
      <c r="U3610" s="5">
        <f t="shared" si="1487"/>
        <v>40668</v>
      </c>
    </row>
    <row r="3611" spans="1:21" ht="12" customHeight="1">
      <c r="A3611" s="4">
        <v>6475</v>
      </c>
      <c r="B3611" s="4">
        <v>46055</v>
      </c>
      <c r="C3611" s="5">
        <f>DATE(2012,12,31)-212</f>
        <v>41062</v>
      </c>
      <c r="D3611" s="4" t="s">
        <v>63</v>
      </c>
      <c r="E3611" s="4">
        <v>25</v>
      </c>
      <c r="F3611" s="4">
        <v>1291.2</v>
      </c>
      <c r="G3611" s="4">
        <v>0.04</v>
      </c>
      <c r="H3611" s="4" t="s">
        <v>22</v>
      </c>
      <c r="I3611" s="6">
        <v>-5.5999999999999801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7"/>
        <v>41064</v>
      </c>
    </row>
    <row r="3612" spans="1:21" ht="12" customHeight="1">
      <c r="A3612" s="4">
        <v>6556</v>
      </c>
      <c r="B3612" s="4">
        <v>46624</v>
      </c>
      <c r="C3612" s="5">
        <f t="shared" ref="C3612:C3613" si="1488">DATE(2012,12,31)-980</f>
        <v>40294</v>
      </c>
      <c r="D3612" s="4" t="s">
        <v>45</v>
      </c>
      <c r="E3612" s="4">
        <v>28</v>
      </c>
      <c r="F3612" s="4">
        <v>110.2</v>
      </c>
      <c r="G3612" s="4">
        <v>7.0000000000000007E-2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spans="1:21" ht="12" customHeight="1">
      <c r="A3613" s="4">
        <v>6557</v>
      </c>
      <c r="B3613" s="4">
        <v>46624</v>
      </c>
      <c r="C3613" s="5">
        <f t="shared" si="1488"/>
        <v>40294</v>
      </c>
      <c r="D3613" s="4" t="s">
        <v>45</v>
      </c>
      <c r="E3613" s="4">
        <v>12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89">C3613+2</f>
        <v>40296</v>
      </c>
    </row>
    <row r="3614" spans="1:21" ht="12" customHeight="1">
      <c r="A3614" s="4">
        <v>6618</v>
      </c>
      <c r="B3614" s="4">
        <v>47079</v>
      </c>
      <c r="C3614" s="5">
        <f>DATE(2012,12,31)-381</f>
        <v>40893</v>
      </c>
      <c r="D3614" s="4" t="s">
        <v>78</v>
      </c>
      <c r="E3614" s="4">
        <v>34</v>
      </c>
      <c r="F3614" s="4">
        <v>1069.8499999999999</v>
      </c>
      <c r="G3614" s="4">
        <v>7.0000000000000007E-2</v>
      </c>
      <c r="H3614" s="4" t="s">
        <v>31</v>
      </c>
      <c r="I3614" s="6">
        <v>-1179.3900000000001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89"/>
        <v>40895</v>
      </c>
    </row>
    <row r="3615" spans="1:21" ht="12" customHeight="1">
      <c r="A3615" s="4">
        <v>6694</v>
      </c>
      <c r="B3615" s="4">
        <v>47622</v>
      </c>
      <c r="C3615" s="5">
        <f>DATE(2012,12,31)-110</f>
        <v>41164</v>
      </c>
      <c r="D3615" s="4" t="s">
        <v>45</v>
      </c>
      <c r="E3615" s="4">
        <v>41</v>
      </c>
      <c r="F3615" s="4">
        <v>8188.19</v>
      </c>
      <c r="G3615" s="4">
        <v>0.05</v>
      </c>
      <c r="H3615" s="4" t="s">
        <v>22</v>
      </c>
      <c r="I3615" s="6">
        <v>3702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0">C3615+1</f>
        <v>41165</v>
      </c>
    </row>
    <row r="3616" spans="1:21" ht="12" customHeight="1">
      <c r="A3616" s="4">
        <v>6744</v>
      </c>
      <c r="B3616" s="4">
        <v>48032</v>
      </c>
      <c r="C3616" s="5">
        <f t="shared" ref="C3616:C3617" si="1491">DATE(2012,12,31)-858</f>
        <v>40416</v>
      </c>
      <c r="D3616" s="4" t="s">
        <v>30</v>
      </c>
      <c r="E3616" s="4">
        <v>42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0.57999999999999996</v>
      </c>
      <c r="U3616" s="5">
        <f t="shared" si="1490"/>
        <v>40417</v>
      </c>
    </row>
    <row r="3617" spans="1:21" ht="12" customHeight="1">
      <c r="A3617" s="4">
        <v>6745</v>
      </c>
      <c r="B3617" s="4">
        <v>48032</v>
      </c>
      <c r="C3617" s="5">
        <f t="shared" si="1491"/>
        <v>40416</v>
      </c>
      <c r="D3617" s="4" t="s">
        <v>30</v>
      </c>
      <c r="E3617" s="4">
        <v>29</v>
      </c>
      <c r="F3617" s="4">
        <v>412.86</v>
      </c>
      <c r="G3617" s="4">
        <v>7.0000000000000007E-2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0"/>
        <v>40417</v>
      </c>
    </row>
    <row r="3618" spans="1:21" ht="12" customHeight="1">
      <c r="A3618" s="4">
        <v>6884</v>
      </c>
      <c r="B3618" s="4">
        <v>49062</v>
      </c>
      <c r="C3618" s="5">
        <f>DATE(2012,12,31)-264</f>
        <v>41010</v>
      </c>
      <c r="D3618" s="4" t="s">
        <v>21</v>
      </c>
      <c r="E3618" s="4">
        <v>33</v>
      </c>
      <c r="F3618" s="4">
        <v>103.32</v>
      </c>
      <c r="G3618" s="4">
        <v>0</v>
      </c>
      <c r="H3618" s="4" t="s">
        <v>22</v>
      </c>
      <c r="I3618" s="6">
        <v>-25.68</v>
      </c>
      <c r="J3618" s="4">
        <v>2.98</v>
      </c>
      <c r="K3618" s="4">
        <v>2.0299999999999998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0.56999999999999995</v>
      </c>
      <c r="U3618" s="5">
        <f>C3618+7</f>
        <v>41017</v>
      </c>
    </row>
    <row r="3619" spans="1:21" ht="12" customHeight="1">
      <c r="A3619" s="4">
        <v>6973</v>
      </c>
      <c r="B3619" s="4">
        <v>49828</v>
      </c>
      <c r="C3619" s="5">
        <f>DATE(2012,12,31)-489</f>
        <v>40785</v>
      </c>
      <c r="D3619" s="4" t="s">
        <v>63</v>
      </c>
      <c r="E3619" s="4">
        <v>39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spans="1:21" ht="12" customHeight="1">
      <c r="A3620" s="4">
        <v>7014</v>
      </c>
      <c r="B3620" s="4">
        <v>50054</v>
      </c>
      <c r="C3620" s="5">
        <f t="shared" ref="C3620:C3621" si="1492">DATE(2012,12,31)-847</f>
        <v>40427</v>
      </c>
      <c r="D3620" s="4" t="s">
        <v>45</v>
      </c>
      <c r="E3620" s="4">
        <v>50</v>
      </c>
      <c r="F3620" s="4">
        <v>5369.46</v>
      </c>
      <c r="G3620" s="4">
        <v>0</v>
      </c>
      <c r="H3620" s="4" t="s">
        <v>22</v>
      </c>
      <c r="I3620" s="6">
        <v>1370.26</v>
      </c>
      <c r="J3620" s="4">
        <v>99.99</v>
      </c>
      <c r="K3620" s="4">
        <v>19.989999999999998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3">C3620+2</f>
        <v>40429</v>
      </c>
    </row>
    <row r="3621" spans="1:21" ht="12" customHeight="1">
      <c r="A3621" s="4">
        <v>7015</v>
      </c>
      <c r="B3621" s="4">
        <v>50054</v>
      </c>
      <c r="C3621" s="5">
        <f t="shared" si="1492"/>
        <v>40427</v>
      </c>
      <c r="D3621" s="4" t="s">
        <v>45</v>
      </c>
      <c r="E3621" s="4">
        <v>41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3"/>
        <v>40429</v>
      </c>
    </row>
    <row r="3622" spans="1:21" ht="12" customHeight="1">
      <c r="A3622" s="4">
        <v>7058</v>
      </c>
      <c r="B3622" s="4">
        <v>50370</v>
      </c>
      <c r="C3622" s="5">
        <f>DATE(2012,12,31)-55</f>
        <v>41219</v>
      </c>
      <c r="D3622" s="4" t="s">
        <v>78</v>
      </c>
      <c r="E3622" s="4">
        <v>25</v>
      </c>
      <c r="F3622" s="4">
        <v>122.05</v>
      </c>
      <c r="G3622" s="4">
        <v>0</v>
      </c>
      <c r="H3622" s="4" t="s">
        <v>56</v>
      </c>
      <c r="I3622" s="6">
        <v>-67.597000000000008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spans="1:21" ht="12" customHeight="1">
      <c r="A3623" s="4">
        <v>7150</v>
      </c>
      <c r="B3623" s="4">
        <v>51009</v>
      </c>
      <c r="C3623" s="5">
        <f>DATE(2012,12,31)-422</f>
        <v>40852</v>
      </c>
      <c r="D3623" s="4" t="s">
        <v>45</v>
      </c>
      <c r="E3623" s="4">
        <v>10</v>
      </c>
      <c r="F3623" s="4">
        <v>48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4">C3623+2</f>
        <v>40854</v>
      </c>
    </row>
    <row r="3624" spans="1:21" ht="12" customHeight="1">
      <c r="A3624" s="4">
        <v>7698</v>
      </c>
      <c r="B3624" s="4">
        <v>55200</v>
      </c>
      <c r="C3624" s="5">
        <f t="shared" ref="C3624:C3625" si="1495">DATE(2012,12,31)-856</f>
        <v>40418</v>
      </c>
      <c r="D3624" s="4" t="s">
        <v>63</v>
      </c>
      <c r="E3624" s="4">
        <v>33</v>
      </c>
      <c r="F3624" s="4">
        <v>505.08</v>
      </c>
      <c r="G3624" s="4">
        <v>0.01</v>
      </c>
      <c r="H3624" s="4" t="s">
        <v>22</v>
      </c>
      <c r="I3624" s="6">
        <v>-56.913499999999999</v>
      </c>
      <c r="J3624" s="4">
        <v>15.15</v>
      </c>
      <c r="K3624" s="4">
        <v>10.130000000000001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4"/>
        <v>40420</v>
      </c>
    </row>
    <row r="3625" spans="1:21" ht="12" customHeight="1">
      <c r="A3625" s="4">
        <v>7699</v>
      </c>
      <c r="B3625" s="4">
        <v>55200</v>
      </c>
      <c r="C3625" s="5">
        <f t="shared" si="1495"/>
        <v>40418</v>
      </c>
      <c r="D3625" s="4" t="s">
        <v>63</v>
      </c>
      <c r="E3625" s="4">
        <v>4</v>
      </c>
      <c r="F3625" s="4">
        <v>649.23849999999993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0.57999999999999996</v>
      </c>
      <c r="U3625" s="5">
        <f t="shared" si="1494"/>
        <v>40420</v>
      </c>
    </row>
    <row r="3626" spans="1:21" ht="12" customHeight="1">
      <c r="A3626" s="4">
        <v>7799</v>
      </c>
      <c r="B3626" s="4">
        <v>55808</v>
      </c>
      <c r="C3626" s="5">
        <f t="shared" ref="C3626:C3627" si="1496">DATE(2012,12,31)-686</f>
        <v>40588</v>
      </c>
      <c r="D3626" s="4" t="s">
        <v>45</v>
      </c>
      <c r="E3626" s="4">
        <v>6</v>
      </c>
      <c r="F3626" s="4">
        <v>830.28</v>
      </c>
      <c r="G3626" s="4">
        <v>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4"/>
        <v>40590</v>
      </c>
    </row>
    <row r="3627" spans="1:21" ht="12" customHeight="1">
      <c r="A3627" s="4">
        <v>7800</v>
      </c>
      <c r="B3627" s="4">
        <v>55808</v>
      </c>
      <c r="C3627" s="5">
        <f t="shared" si="1496"/>
        <v>40588</v>
      </c>
      <c r="D3627" s="4" t="s">
        <v>45</v>
      </c>
      <c r="E3627" s="4">
        <v>45</v>
      </c>
      <c r="F3627" s="4">
        <v>837.38599999999997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4.8099999999999996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0.57999999999999996</v>
      </c>
      <c r="U3627" s="5">
        <f t="shared" si="1494"/>
        <v>40590</v>
      </c>
    </row>
    <row r="3628" spans="1:21" ht="12" customHeight="1">
      <c r="A3628" s="4">
        <v>7854</v>
      </c>
      <c r="B3628" s="4">
        <v>56161</v>
      </c>
      <c r="C3628" s="5">
        <f>DATE(2012,12,31)-261</f>
        <v>41013</v>
      </c>
      <c r="D3628" s="4" t="s">
        <v>30</v>
      </c>
      <c r="E3628" s="4">
        <v>38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0.55000000000000004</v>
      </c>
      <c r="U3628" s="5">
        <f t="shared" si="1494"/>
        <v>41015</v>
      </c>
    </row>
    <row r="3629" spans="1:21" ht="12" customHeight="1">
      <c r="A3629" s="4">
        <v>8050</v>
      </c>
      <c r="B3629" s="4">
        <v>57477</v>
      </c>
      <c r="C3629" s="5">
        <f t="shared" ref="C3629:C3630" si="1497">DATE(2012,12,31)-827</f>
        <v>40447</v>
      </c>
      <c r="D3629" s="4" t="s">
        <v>30</v>
      </c>
      <c r="E3629" s="4">
        <v>50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0.57999999999999996</v>
      </c>
      <c r="U3629" s="5">
        <f t="shared" si="1494"/>
        <v>40449</v>
      </c>
    </row>
    <row r="3630" spans="1:21" ht="12" customHeight="1">
      <c r="A3630" s="4">
        <v>8051</v>
      </c>
      <c r="B3630" s="4">
        <v>57477</v>
      </c>
      <c r="C3630" s="5">
        <f t="shared" si="1497"/>
        <v>40447</v>
      </c>
      <c r="D3630" s="4" t="s">
        <v>30</v>
      </c>
      <c r="E3630" s="4">
        <v>45</v>
      </c>
      <c r="F3630" s="4">
        <v>3086.5115000000001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spans="1:21" ht="12" customHeight="1">
      <c r="A3631" s="4">
        <v>8255</v>
      </c>
      <c r="B3631" s="4">
        <v>59044</v>
      </c>
      <c r="C3631" s="5">
        <f>DATE(2012,12,31)-530</f>
        <v>40744</v>
      </c>
      <c r="D3631" s="4" t="s">
        <v>78</v>
      </c>
      <c r="E3631" s="4">
        <v>6</v>
      </c>
      <c r="F3631" s="4">
        <v>20.190000000000001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spans="1:21" ht="12" customHeight="1">
      <c r="A3632" s="4">
        <v>8286</v>
      </c>
      <c r="B3632" s="4">
        <v>59204</v>
      </c>
      <c r="C3632" s="5">
        <f>DATE(2012,12,31)-306</f>
        <v>40968</v>
      </c>
      <c r="D3632" s="4" t="s">
        <v>63</v>
      </c>
      <c r="E3632" s="4">
        <v>25</v>
      </c>
      <c r="F3632" s="4">
        <v>151.75</v>
      </c>
      <c r="G3632" s="4">
        <v>0.04</v>
      </c>
      <c r="H3632" s="4" t="s">
        <v>22</v>
      </c>
      <c r="I3632" s="6">
        <v>-66.239999999999995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spans="1:21" ht="12" customHeight="1">
      <c r="A3633" s="4">
        <v>8393</v>
      </c>
      <c r="B3633" s="4">
        <v>59969</v>
      </c>
      <c r="C3633" s="5">
        <f t="shared" ref="C3633:C3634" si="1498">DATE(2012,12,31)-355</f>
        <v>40919</v>
      </c>
      <c r="D3633" s="4" t="s">
        <v>30</v>
      </c>
      <c r="E3633" s="4">
        <v>42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spans="1:21" ht="12" customHeight="1">
      <c r="A3634" s="4">
        <v>8394</v>
      </c>
      <c r="B3634" s="4">
        <v>59969</v>
      </c>
      <c r="C3634" s="5">
        <f t="shared" si="1498"/>
        <v>40919</v>
      </c>
      <c r="D3634" s="4" t="s">
        <v>30</v>
      </c>
      <c r="E3634" s="4">
        <v>16</v>
      </c>
      <c r="F3634" s="4">
        <v>275.01</v>
      </c>
      <c r="G3634" s="4">
        <v>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spans="1:21" ht="12" customHeight="1">
      <c r="A3635" s="4">
        <v>26</v>
      </c>
      <c r="B3635" s="4">
        <v>166</v>
      </c>
      <c r="C3635" s="5">
        <f>DATE(2012,12,31)-477</f>
        <v>40797</v>
      </c>
      <c r="D3635" s="4" t="s">
        <v>30</v>
      </c>
      <c r="E3635" s="4">
        <v>10</v>
      </c>
      <c r="F3635" s="4">
        <v>567.93599999999992</v>
      </c>
      <c r="G3635" s="4">
        <v>0.02</v>
      </c>
      <c r="H3635" s="4" t="s">
        <v>56</v>
      </c>
      <c r="I3635" s="6">
        <v>-126.09299999999999</v>
      </c>
      <c r="J3635" s="4">
        <v>65.989999999999995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0.55000000000000004</v>
      </c>
      <c r="U3635" s="5">
        <f t="shared" ref="U3635:U3636" si="1499">C3635+2</f>
        <v>40799</v>
      </c>
    </row>
    <row r="3636" spans="1:21" ht="12" customHeight="1">
      <c r="A3636" s="4">
        <v>31</v>
      </c>
      <c r="B3636" s="4">
        <v>197</v>
      </c>
      <c r="C3636" s="5">
        <f>DATE(2012,12,31)-635</f>
        <v>40639</v>
      </c>
      <c r="D3636" s="4" t="s">
        <v>30</v>
      </c>
      <c r="E3636" s="4">
        <v>23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499"/>
        <v>40641</v>
      </c>
    </row>
    <row r="3637" spans="1:21" ht="12" customHeight="1">
      <c r="A3637" s="4">
        <v>81</v>
      </c>
      <c r="B3637" s="4">
        <v>487</v>
      </c>
      <c r="C3637" s="5">
        <f>DATE(2012,12,31)-136</f>
        <v>41138</v>
      </c>
      <c r="D3637" s="4" t="s">
        <v>78</v>
      </c>
      <c r="E3637" s="4">
        <v>19</v>
      </c>
      <c r="F3637" s="4">
        <v>210.4</v>
      </c>
      <c r="G3637" s="4">
        <v>7.0000000000000007E-2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spans="1:21" ht="12" customHeight="1">
      <c r="A3638" s="4">
        <v>109</v>
      </c>
      <c r="B3638" s="4">
        <v>710</v>
      </c>
      <c r="C3638" s="5">
        <f t="shared" ref="C3638:C3640" si="1500">DATE(2012,12,31)-1095</f>
        <v>40179</v>
      </c>
      <c r="D3638" s="4" t="s">
        <v>21</v>
      </c>
      <c r="E3638" s="4">
        <v>42</v>
      </c>
      <c r="F3638" s="4">
        <v>161.77000000000001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spans="1:21" ht="12" customHeight="1">
      <c r="A3639" s="4">
        <v>110</v>
      </c>
      <c r="B3639" s="4">
        <v>710</v>
      </c>
      <c r="C3639" s="5">
        <f t="shared" si="1500"/>
        <v>40179</v>
      </c>
      <c r="D3639" s="4" t="s">
        <v>21</v>
      </c>
      <c r="E3639" s="4">
        <v>11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spans="1:21" ht="12" customHeight="1">
      <c r="A3640" s="4">
        <v>111</v>
      </c>
      <c r="B3640" s="4">
        <v>710</v>
      </c>
      <c r="C3640" s="5">
        <f t="shared" si="1500"/>
        <v>40179</v>
      </c>
      <c r="D3640" s="4" t="s">
        <v>21</v>
      </c>
      <c r="E3640" s="4">
        <v>29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145.44999999999999</v>
      </c>
      <c r="K3640" s="4">
        <v>17.850000000000001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0.56000000000000005</v>
      </c>
      <c r="U3640" s="5">
        <f>C3640+4</f>
        <v>40183</v>
      </c>
    </row>
    <row r="3641" spans="1:21" ht="12" customHeight="1">
      <c r="A3641" s="4">
        <v>123</v>
      </c>
      <c r="B3641" s="4">
        <v>801</v>
      </c>
      <c r="C3641" s="5">
        <f>DATE(2012,12,31)-318</f>
        <v>40956</v>
      </c>
      <c r="D3641" s="4" t="s">
        <v>78</v>
      </c>
      <c r="E3641" s="4">
        <v>20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0.57999999999999996</v>
      </c>
      <c r="U3641" s="5">
        <f>C3641+3</f>
        <v>40959</v>
      </c>
    </row>
    <row r="3642" spans="1:21" ht="12" customHeight="1">
      <c r="A3642" s="4">
        <v>136</v>
      </c>
      <c r="B3642" s="4">
        <v>870</v>
      </c>
      <c r="C3642" s="5">
        <f>DATE(2012,12,31)-926</f>
        <v>40348</v>
      </c>
      <c r="D3642" s="4" t="s">
        <v>45</v>
      </c>
      <c r="E3642" s="4">
        <v>23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1">C3642+0</f>
        <v>40348</v>
      </c>
    </row>
    <row r="3643" spans="1:21" ht="12" customHeight="1">
      <c r="A3643" s="4">
        <v>189</v>
      </c>
      <c r="B3643" s="4">
        <v>1253</v>
      </c>
      <c r="C3643" s="5">
        <f>DATE(2012,12,31)-1071</f>
        <v>40203</v>
      </c>
      <c r="D3643" s="4" t="s">
        <v>78</v>
      </c>
      <c r="E3643" s="4">
        <v>15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1"/>
        <v>40203</v>
      </c>
    </row>
    <row r="3644" spans="1:21" ht="12" customHeight="1">
      <c r="A3644" s="4">
        <v>232</v>
      </c>
      <c r="B3644" s="4">
        <v>1542</v>
      </c>
      <c r="C3644" s="5">
        <f t="shared" ref="C3644:C3645" si="1502">DATE(2012,12,31)-839</f>
        <v>40435</v>
      </c>
      <c r="D3644" s="4" t="s">
        <v>63</v>
      </c>
      <c r="E3644" s="4">
        <v>47</v>
      </c>
      <c r="F3644" s="4">
        <v>2150.25</v>
      </c>
      <c r="G3644" s="4">
        <v>0.06</v>
      </c>
      <c r="H3644" s="4" t="s">
        <v>22</v>
      </c>
      <c r="I3644" s="6">
        <v>586.92999999999995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0.56000000000000005</v>
      </c>
      <c r="U3644" s="5">
        <f t="shared" ref="U3644:U3646" si="1503">C3644+2</f>
        <v>40437</v>
      </c>
    </row>
    <row r="3645" spans="1:21" ht="12" customHeight="1">
      <c r="A3645" s="4">
        <v>233</v>
      </c>
      <c r="B3645" s="4">
        <v>1542</v>
      </c>
      <c r="C3645" s="5">
        <f t="shared" si="1502"/>
        <v>40435</v>
      </c>
      <c r="D3645" s="4" t="s">
        <v>63</v>
      </c>
      <c r="E3645" s="4">
        <v>13</v>
      </c>
      <c r="F3645" s="4">
        <v>448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0.57999999999999996</v>
      </c>
      <c r="U3645" s="5">
        <f t="shared" si="1503"/>
        <v>40437</v>
      </c>
    </row>
    <row r="3646" spans="1:21" ht="12" customHeight="1">
      <c r="A3646" s="4">
        <v>356</v>
      </c>
      <c r="B3646" s="4">
        <v>2497</v>
      </c>
      <c r="C3646" s="5">
        <f>DATE(2012,12,31)-127</f>
        <v>41147</v>
      </c>
      <c r="D3646" s="4" t="s">
        <v>78</v>
      </c>
      <c r="E3646" s="4">
        <v>21</v>
      </c>
      <c r="F3646" s="4">
        <v>3629.1174999999998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0.56000000000000005</v>
      </c>
      <c r="U3646" s="5">
        <f t="shared" si="1503"/>
        <v>41149</v>
      </c>
    </row>
    <row r="3647" spans="1:21" ht="12" customHeight="1">
      <c r="A3647" s="4">
        <v>380</v>
      </c>
      <c r="B3647" s="4">
        <v>2630</v>
      </c>
      <c r="C3647" s="5">
        <f>DATE(2012,12,31)-69</f>
        <v>41205</v>
      </c>
      <c r="D3647" s="4" t="s">
        <v>21</v>
      </c>
      <c r="E3647" s="4">
        <v>31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4.7300000000000004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spans="1:21" ht="12" customHeight="1">
      <c r="A3648" s="4">
        <v>384</v>
      </c>
      <c r="B3648" s="4">
        <v>2657</v>
      </c>
      <c r="C3648" s="5">
        <f t="shared" ref="C3648:C3649" si="1504">DATE(2012,12,31)-442</f>
        <v>40832</v>
      </c>
      <c r="D3648" s="4" t="s">
        <v>30</v>
      </c>
      <c r="E3648" s="4">
        <v>30</v>
      </c>
      <c r="F3648" s="4">
        <v>8316.76</v>
      </c>
      <c r="G3648" s="4">
        <v>0.05</v>
      </c>
      <c r="H3648" s="4" t="s">
        <v>31</v>
      </c>
      <c r="I3648" s="6">
        <v>2108.8000000000002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spans="1:21" ht="12" customHeight="1">
      <c r="A3649" s="4">
        <v>385</v>
      </c>
      <c r="B3649" s="4">
        <v>2657</v>
      </c>
      <c r="C3649" s="5">
        <f t="shared" si="1504"/>
        <v>40832</v>
      </c>
      <c r="D3649" s="4" t="s">
        <v>30</v>
      </c>
      <c r="E3649" s="4">
        <v>37</v>
      </c>
      <c r="F3649" s="4">
        <v>2143.2154999999998</v>
      </c>
      <c r="G3649" s="4">
        <v>0.02</v>
      </c>
      <c r="H3649" s="4" t="s">
        <v>22</v>
      </c>
      <c r="I3649" s="6">
        <v>464.35500000000002</v>
      </c>
      <c r="J3649" s="4">
        <v>65.989999999999995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0.55000000000000004</v>
      </c>
      <c r="U3649" s="5">
        <f t="shared" ref="U3649:U3651" si="1505">C3649+1</f>
        <v>40833</v>
      </c>
    </row>
    <row r="3650" spans="1:21" ht="12" customHeight="1">
      <c r="A3650" s="4">
        <v>389</v>
      </c>
      <c r="B3650" s="4">
        <v>2688</v>
      </c>
      <c r="C3650" s="5">
        <f t="shared" ref="C3650:C3652" si="1506">DATE(2012,12,31)-343</f>
        <v>40931</v>
      </c>
      <c r="D3650" s="4" t="s">
        <v>30</v>
      </c>
      <c r="E3650" s="4">
        <v>31</v>
      </c>
      <c r="F3650" s="4">
        <v>2080.0349999999999</v>
      </c>
      <c r="G3650" s="4">
        <v>0.1</v>
      </c>
      <c r="H3650" s="4" t="s">
        <v>22</v>
      </c>
      <c r="I3650" s="6">
        <v>844.90199999999993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5"/>
        <v>40932</v>
      </c>
    </row>
    <row r="3651" spans="1:21" ht="12" customHeight="1">
      <c r="A3651" s="4">
        <v>390</v>
      </c>
      <c r="B3651" s="4">
        <v>2688</v>
      </c>
      <c r="C3651" s="5">
        <f t="shared" si="1506"/>
        <v>40931</v>
      </c>
      <c r="D3651" s="4" t="s">
        <v>30</v>
      </c>
      <c r="E3651" s="4">
        <v>7</v>
      </c>
      <c r="F3651" s="4">
        <v>145.41999999999999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5"/>
        <v>40932</v>
      </c>
    </row>
    <row r="3652" spans="1:21" ht="12" customHeight="1">
      <c r="A3652" s="4">
        <v>391</v>
      </c>
      <c r="B3652" s="4">
        <v>2688</v>
      </c>
      <c r="C3652" s="5">
        <f t="shared" si="1506"/>
        <v>40931</v>
      </c>
      <c r="D3652" s="4" t="s">
        <v>30</v>
      </c>
      <c r="E3652" s="4">
        <v>11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0.55000000000000004</v>
      </c>
      <c r="U3652" s="5">
        <f>C3652+2</f>
        <v>40933</v>
      </c>
    </row>
    <row r="3653" spans="1:21" ht="12" customHeight="1">
      <c r="A3653" s="4">
        <v>447</v>
      </c>
      <c r="B3653" s="4">
        <v>3040</v>
      </c>
      <c r="C3653" s="5">
        <f>DATE(2012,12,31)-995</f>
        <v>40279</v>
      </c>
      <c r="D3653" s="4" t="s">
        <v>63</v>
      </c>
      <c r="E3653" s="4">
        <v>13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7">C3653+1</f>
        <v>40280</v>
      </c>
    </row>
    <row r="3654" spans="1:21" ht="12" customHeight="1">
      <c r="A3654" s="4">
        <v>457</v>
      </c>
      <c r="B3654" s="4">
        <v>3108</v>
      </c>
      <c r="C3654" s="5">
        <f>DATE(2012,12,31)-880</f>
        <v>40394</v>
      </c>
      <c r="D3654" s="4" t="s">
        <v>78</v>
      </c>
      <c r="E3654" s="4">
        <v>36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7"/>
        <v>40395</v>
      </c>
    </row>
    <row r="3655" spans="1:21" ht="12" customHeight="1">
      <c r="A3655" s="4">
        <v>504</v>
      </c>
      <c r="B3655" s="4">
        <v>3488</v>
      </c>
      <c r="C3655" s="5">
        <f t="shared" ref="C3655:C3656" si="1508">DATE(2012,12,31)-724</f>
        <v>40550</v>
      </c>
      <c r="D3655" s="4" t="s">
        <v>63</v>
      </c>
      <c r="E3655" s="4">
        <v>39</v>
      </c>
      <c r="F3655" s="4">
        <v>4669.1899999999996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spans="1:21" ht="12" customHeight="1">
      <c r="A3656" s="4">
        <v>505</v>
      </c>
      <c r="B3656" s="4">
        <v>3488</v>
      </c>
      <c r="C3656" s="5">
        <f t="shared" si="1508"/>
        <v>40550</v>
      </c>
      <c r="D3656" s="4" t="s">
        <v>63</v>
      </c>
      <c r="E3656" s="4">
        <v>6</v>
      </c>
      <c r="F3656" s="4">
        <v>133.4</v>
      </c>
      <c r="G3656" s="4">
        <v>0.02</v>
      </c>
      <c r="H3656" s="4" t="s">
        <v>22</v>
      </c>
      <c r="I3656" s="6">
        <v>-0.31000000000000227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0.55000000000000004</v>
      </c>
      <c r="U3656" s="5">
        <f>C3656+1</f>
        <v>40551</v>
      </c>
    </row>
    <row r="3657" spans="1:21" ht="12" customHeight="1">
      <c r="A3657" s="4">
        <v>533</v>
      </c>
      <c r="B3657" s="4">
        <v>3622</v>
      </c>
      <c r="C3657" s="5">
        <f>DATE(2012,12,31)-401</f>
        <v>40873</v>
      </c>
      <c r="D3657" s="4" t="s">
        <v>21</v>
      </c>
      <c r="E3657" s="4">
        <v>16</v>
      </c>
      <c r="F3657" s="4">
        <v>76.599999999999994</v>
      </c>
      <c r="G3657" s="4">
        <v>0.01</v>
      </c>
      <c r="H3657" s="4" t="s">
        <v>22</v>
      </c>
      <c r="I3657" s="6">
        <v>-48.506999999999998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spans="1:21" ht="12" customHeight="1">
      <c r="A3658" s="4">
        <v>563</v>
      </c>
      <c r="B3658" s="4">
        <v>3810</v>
      </c>
      <c r="C3658" s="5">
        <f t="shared" ref="C3658:C3659" si="1509">DATE(2012,12,31)-106</f>
        <v>41168</v>
      </c>
      <c r="D3658" s="4" t="s">
        <v>78</v>
      </c>
      <c r="E3658" s="4">
        <v>40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4.4800000000000004</v>
      </c>
      <c r="K3658" s="4">
        <v>49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0">C3658+2</f>
        <v>41170</v>
      </c>
    </row>
    <row r="3659" spans="1:21" ht="12" customHeight="1">
      <c r="A3659" s="4">
        <v>564</v>
      </c>
      <c r="B3659" s="4">
        <v>3810</v>
      </c>
      <c r="C3659" s="5">
        <f t="shared" si="1509"/>
        <v>41168</v>
      </c>
      <c r="D3659" s="4" t="s">
        <v>78</v>
      </c>
      <c r="E3659" s="4">
        <v>25</v>
      </c>
      <c r="F3659" s="4">
        <v>78.260000000000005</v>
      </c>
      <c r="G3659" s="4">
        <v>0.04</v>
      </c>
      <c r="H3659" s="4" t="s">
        <v>56</v>
      </c>
      <c r="I3659" s="6">
        <v>35.090000000000003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0"/>
        <v>41170</v>
      </c>
    </row>
    <row r="3660" spans="1:21" ht="12" customHeight="1">
      <c r="A3660" s="4">
        <v>646</v>
      </c>
      <c r="B3660" s="4">
        <v>4578</v>
      </c>
      <c r="C3660" s="5">
        <f t="shared" ref="C3660:C3662" si="1511">DATE(2012,12,31)-110</f>
        <v>41164</v>
      </c>
      <c r="D3660" s="4" t="s">
        <v>21</v>
      </c>
      <c r="E3660" s="4">
        <v>45</v>
      </c>
      <c r="F3660" s="4">
        <v>282.70999999999998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spans="1:21" ht="12" customHeight="1">
      <c r="A3661" s="4">
        <v>647</v>
      </c>
      <c r="B3661" s="4">
        <v>4578</v>
      </c>
      <c r="C3661" s="5">
        <f t="shared" si="1511"/>
        <v>41164</v>
      </c>
      <c r="D3661" s="4" t="s">
        <v>21</v>
      </c>
      <c r="E3661" s="4">
        <v>48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2">C3661+7</f>
        <v>41171</v>
      </c>
    </row>
    <row r="3662" spans="1:21" ht="12" customHeight="1">
      <c r="A3662" s="4">
        <v>648</v>
      </c>
      <c r="B3662" s="4">
        <v>4578</v>
      </c>
      <c r="C3662" s="5">
        <f t="shared" si="1511"/>
        <v>41164</v>
      </c>
      <c r="D3662" s="4" t="s">
        <v>21</v>
      </c>
      <c r="E3662" s="4">
        <v>15</v>
      </c>
      <c r="F3662" s="4">
        <v>294.66000000000003</v>
      </c>
      <c r="G3662" s="4">
        <v>7.0000000000000007E-2</v>
      </c>
      <c r="H3662" s="4" t="s">
        <v>22</v>
      </c>
      <c r="I3662" s="6">
        <v>86.33</v>
      </c>
      <c r="J3662" s="4">
        <v>20.239999999999998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2"/>
        <v>41171</v>
      </c>
    </row>
    <row r="3663" spans="1:21" ht="12" customHeight="1">
      <c r="A3663" s="4">
        <v>655</v>
      </c>
      <c r="B3663" s="4">
        <v>4611</v>
      </c>
      <c r="C3663" s="5">
        <f>DATE(2012,12,31)-1087</f>
        <v>40187</v>
      </c>
      <c r="D3663" s="4" t="s">
        <v>30</v>
      </c>
      <c r="E3663" s="4">
        <v>32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spans="1:21" ht="12" customHeight="1">
      <c r="A3664" s="4">
        <v>731</v>
      </c>
      <c r="B3664" s="4">
        <v>5281</v>
      </c>
      <c r="C3664" s="5">
        <f t="shared" ref="C3664:C3665" si="1513">DATE(2012,12,31)-426</f>
        <v>40848</v>
      </c>
      <c r="D3664" s="4" t="s">
        <v>30</v>
      </c>
      <c r="E3664" s="4">
        <v>36</v>
      </c>
      <c r="F3664" s="4">
        <v>4733.7</v>
      </c>
      <c r="G3664" s="4">
        <v>0</v>
      </c>
      <c r="H3664" s="4" t="s">
        <v>31</v>
      </c>
      <c r="I3664" s="6">
        <v>624.36</v>
      </c>
      <c r="J3664" s="4">
        <v>120.98</v>
      </c>
      <c r="K3664" s="4">
        <v>30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4">C3664+1</f>
        <v>40849</v>
      </c>
    </row>
    <row r="3665" spans="1:21" ht="12" customHeight="1">
      <c r="A3665" s="4">
        <v>732</v>
      </c>
      <c r="B3665" s="4">
        <v>5281</v>
      </c>
      <c r="C3665" s="5">
        <f t="shared" si="1513"/>
        <v>40848</v>
      </c>
      <c r="D3665" s="4" t="s">
        <v>30</v>
      </c>
      <c r="E3665" s="4">
        <v>14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4"/>
        <v>40849</v>
      </c>
    </row>
    <row r="3666" spans="1:21" ht="12" customHeight="1">
      <c r="A3666" s="4">
        <v>787</v>
      </c>
      <c r="B3666" s="4">
        <v>5635</v>
      </c>
      <c r="C3666" s="5">
        <f t="shared" ref="C3666:C3667" si="1515">DATE(2012,12,31)-138</f>
        <v>41136</v>
      </c>
      <c r="D3666" s="4" t="s">
        <v>63</v>
      </c>
      <c r="E3666" s="4">
        <v>17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6">C3666+2</f>
        <v>41138</v>
      </c>
    </row>
    <row r="3667" spans="1:21" ht="12" customHeight="1">
      <c r="A3667" s="4">
        <v>788</v>
      </c>
      <c r="B3667" s="4">
        <v>5635</v>
      </c>
      <c r="C3667" s="5">
        <f t="shared" si="1515"/>
        <v>41136</v>
      </c>
      <c r="D3667" s="4" t="s">
        <v>63</v>
      </c>
      <c r="E3667" s="4">
        <v>50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0.55000000000000004</v>
      </c>
      <c r="U3667" s="5">
        <f t="shared" si="1516"/>
        <v>41138</v>
      </c>
    </row>
    <row r="3668" spans="1:21" ht="12" customHeight="1">
      <c r="A3668" s="4">
        <v>791</v>
      </c>
      <c r="B3668" s="4">
        <v>5696</v>
      </c>
      <c r="C3668" s="5">
        <f t="shared" ref="C3668:C3670" si="1517">DATE(2012,12,31)-608</f>
        <v>40666</v>
      </c>
      <c r="D3668" s="4" t="s">
        <v>78</v>
      </c>
      <c r="E3668" s="4">
        <v>4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19.989999999999998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6"/>
        <v>40668</v>
      </c>
    </row>
    <row r="3669" spans="1:21" ht="12" customHeight="1">
      <c r="A3669" s="4">
        <v>792</v>
      </c>
      <c r="B3669" s="4">
        <v>5696</v>
      </c>
      <c r="C3669" s="5">
        <f t="shared" si="1517"/>
        <v>40666</v>
      </c>
      <c r="D3669" s="4" t="s">
        <v>78</v>
      </c>
      <c r="E3669" s="4">
        <v>40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16.510000000000002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6"/>
        <v>40668</v>
      </c>
    </row>
    <row r="3670" spans="1:21" ht="12" customHeight="1">
      <c r="A3670" s="4">
        <v>793</v>
      </c>
      <c r="B3670" s="4">
        <v>5696</v>
      </c>
      <c r="C3670" s="5">
        <f t="shared" si="1517"/>
        <v>40666</v>
      </c>
      <c r="D3670" s="4" t="s">
        <v>78</v>
      </c>
      <c r="E3670" s="4">
        <v>31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6"/>
        <v>40668</v>
      </c>
    </row>
    <row r="3671" spans="1:21" ht="12" customHeight="1">
      <c r="A3671" s="4">
        <v>920</v>
      </c>
      <c r="B3671" s="4">
        <v>6625</v>
      </c>
      <c r="C3671" s="5">
        <f>DATE(2012,12,31)-869</f>
        <v>40405</v>
      </c>
      <c r="D3671" s="4" t="s">
        <v>30</v>
      </c>
      <c r="E3671" s="4">
        <v>23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6"/>
        <v>40407</v>
      </c>
    </row>
    <row r="3672" spans="1:21" ht="12" customHeight="1">
      <c r="A3672" s="4">
        <v>1006</v>
      </c>
      <c r="B3672" s="4">
        <v>7335</v>
      </c>
      <c r="C3672" s="5">
        <f>DATE(2012,12,31)-947</f>
        <v>40327</v>
      </c>
      <c r="D3672" s="4" t="s">
        <v>21</v>
      </c>
      <c r="E3672" s="4">
        <v>43</v>
      </c>
      <c r="F3672" s="4">
        <v>3681.7494999999999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4.9000000000000004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0.56000000000000005</v>
      </c>
      <c r="U3672" s="5">
        <f>C3672+5</f>
        <v>40332</v>
      </c>
    </row>
    <row r="3673" spans="1:21" ht="12" customHeight="1">
      <c r="A3673" s="4">
        <v>1019</v>
      </c>
      <c r="B3673" s="4">
        <v>7457</v>
      </c>
      <c r="C3673" s="5">
        <f t="shared" ref="C3673:C3674" si="1518">DATE(2012,12,31)-823</f>
        <v>40451</v>
      </c>
      <c r="D3673" s="4" t="s">
        <v>45</v>
      </c>
      <c r="E3673" s="4">
        <v>36</v>
      </c>
      <c r="F3673" s="4">
        <v>2300.4499999999998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19.989999999999998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spans="1:21" ht="12" customHeight="1">
      <c r="A3674" s="4">
        <v>1020</v>
      </c>
      <c r="B3674" s="4">
        <v>7457</v>
      </c>
      <c r="C3674" s="5">
        <f t="shared" si="1518"/>
        <v>40451</v>
      </c>
      <c r="D3674" s="4" t="s">
        <v>45</v>
      </c>
      <c r="E3674" s="4">
        <v>46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0.55000000000000004</v>
      </c>
      <c r="U3674" s="5">
        <f>C3674+2</f>
        <v>40453</v>
      </c>
    </row>
    <row r="3675" spans="1:21" ht="12" customHeight="1">
      <c r="A3675" s="4">
        <v>1044</v>
      </c>
      <c r="B3675" s="4">
        <v>7653</v>
      </c>
      <c r="C3675" s="5">
        <f>DATE(2012,12,31)-308</f>
        <v>40966</v>
      </c>
      <c r="D3675" s="4" t="s">
        <v>63</v>
      </c>
      <c r="E3675" s="4">
        <v>32</v>
      </c>
      <c r="F3675" s="4">
        <v>1425.06</v>
      </c>
      <c r="G3675" s="4">
        <v>0.1</v>
      </c>
      <c r="H3675" s="4" t="s">
        <v>22</v>
      </c>
      <c r="I3675" s="6">
        <v>597.30999999999995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spans="1:21" ht="12" customHeight="1">
      <c r="A3676" s="4">
        <v>1055</v>
      </c>
      <c r="B3676" s="4">
        <v>7783</v>
      </c>
      <c r="C3676" s="5">
        <f>DATE(2012,12,31)-354</f>
        <v>40920</v>
      </c>
      <c r="D3676" s="4" t="s">
        <v>63</v>
      </c>
      <c r="E3676" s="4">
        <v>3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19">C3676+1</f>
        <v>40921</v>
      </c>
    </row>
    <row r="3677" spans="1:21" ht="12" customHeight="1">
      <c r="A3677" s="4">
        <v>1098</v>
      </c>
      <c r="B3677" s="4">
        <v>8064</v>
      </c>
      <c r="C3677" s="5">
        <f>DATE(2012,12,31)-599</f>
        <v>40675</v>
      </c>
      <c r="D3677" s="4" t="s">
        <v>30</v>
      </c>
      <c r="E3677" s="4">
        <v>44</v>
      </c>
      <c r="F3677" s="4">
        <v>10445.950000000001</v>
      </c>
      <c r="G3677" s="4">
        <v>7.0000000000000007E-2</v>
      </c>
      <c r="H3677" s="4" t="s">
        <v>31</v>
      </c>
      <c r="I3677" s="6">
        <v>1069.6099999999999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0.56999999999999995</v>
      </c>
      <c r="U3677" s="5">
        <f t="shared" si="1519"/>
        <v>40676</v>
      </c>
    </row>
    <row r="3678" spans="1:21" ht="12" customHeight="1">
      <c r="A3678" s="4">
        <v>1105</v>
      </c>
      <c r="B3678" s="4">
        <v>8130</v>
      </c>
      <c r="C3678" s="5">
        <f>DATE(2012,12,31)-232</f>
        <v>41042</v>
      </c>
      <c r="D3678" s="4" t="s">
        <v>78</v>
      </c>
      <c r="E3678" s="4">
        <v>15</v>
      </c>
      <c r="F3678" s="4">
        <v>66.33</v>
      </c>
      <c r="G3678" s="4">
        <v>0.03</v>
      </c>
      <c r="H3678" s="4" t="s">
        <v>22</v>
      </c>
      <c r="I3678" s="6">
        <v>-47.230499999999999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spans="1:21" ht="12" customHeight="1">
      <c r="A3679" s="4">
        <v>1138</v>
      </c>
      <c r="B3679" s="4">
        <v>8294</v>
      </c>
      <c r="C3679" s="5">
        <f>DATE(2012,12,31)-194</f>
        <v>41080</v>
      </c>
      <c r="D3679" s="4" t="s">
        <v>63</v>
      </c>
      <c r="E3679" s="4">
        <v>28</v>
      </c>
      <c r="F3679" s="4">
        <v>197.57399999999998</v>
      </c>
      <c r="G3679" s="4">
        <v>0.05</v>
      </c>
      <c r="H3679" s="4" t="s">
        <v>22</v>
      </c>
      <c r="I3679" s="6">
        <v>-90.837999999999994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0">C3679+1</f>
        <v>41081</v>
      </c>
    </row>
    <row r="3680" spans="1:21" ht="12" customHeight="1">
      <c r="A3680" s="4">
        <v>1148</v>
      </c>
      <c r="B3680" s="4">
        <v>8384</v>
      </c>
      <c r="C3680" s="5">
        <f>DATE(2012,12,31)-971</f>
        <v>40303</v>
      </c>
      <c r="D3680" s="4" t="s">
        <v>30</v>
      </c>
      <c r="E3680" s="4">
        <v>37</v>
      </c>
      <c r="F3680" s="4">
        <v>4935.72</v>
      </c>
      <c r="G3680" s="4">
        <v>7.0000000000000007E-2</v>
      </c>
      <c r="H3680" s="4" t="s">
        <v>31</v>
      </c>
      <c r="I3680" s="6">
        <v>-698.09</v>
      </c>
      <c r="J3680" s="4">
        <v>140.97999999999999</v>
      </c>
      <c r="K3680" s="4">
        <v>36.090000000000003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0"/>
        <v>40304</v>
      </c>
    </row>
    <row r="3681" spans="1:21" ht="12" customHeight="1">
      <c r="A3681" s="4">
        <v>1175</v>
      </c>
      <c r="B3681" s="4">
        <v>8580</v>
      </c>
      <c r="C3681" s="5">
        <f t="shared" ref="C3681:C3682" si="1521">DATE(2012,12,31)-650</f>
        <v>40624</v>
      </c>
      <c r="D3681" s="4" t="s">
        <v>30</v>
      </c>
      <c r="E3681" s="4">
        <v>12</v>
      </c>
      <c r="F3681" s="4">
        <v>151.49</v>
      </c>
      <c r="G3681" s="4">
        <v>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spans="1:21" ht="12" customHeight="1">
      <c r="A3682" s="4">
        <v>1176</v>
      </c>
      <c r="B3682" s="4">
        <v>8580</v>
      </c>
      <c r="C3682" s="5">
        <f t="shared" si="1521"/>
        <v>40624</v>
      </c>
      <c r="D3682" s="4" t="s">
        <v>30</v>
      </c>
      <c r="E3682" s="4">
        <v>37</v>
      </c>
      <c r="F3682" s="4">
        <v>308.22000000000003</v>
      </c>
      <c r="G3682" s="4">
        <v>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0.57999999999999996</v>
      </c>
      <c r="U3682" s="5">
        <f>C3682+1</f>
        <v>40625</v>
      </c>
    </row>
    <row r="3683" spans="1:21" ht="12" customHeight="1">
      <c r="A3683" s="4">
        <v>1224</v>
      </c>
      <c r="B3683" s="4">
        <v>8993</v>
      </c>
      <c r="C3683" s="5">
        <f>DATE(2012,12,31)-583</f>
        <v>40691</v>
      </c>
      <c r="D3683" s="4" t="s">
        <v>63</v>
      </c>
      <c r="E3683" s="4">
        <v>41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spans="1:21" ht="12" customHeight="1">
      <c r="A3684" s="4">
        <v>1231</v>
      </c>
      <c r="B3684" s="4">
        <v>8996</v>
      </c>
      <c r="C3684" s="5">
        <f>DATE(2012,12,31)-578</f>
        <v>40696</v>
      </c>
      <c r="D3684" s="4" t="s">
        <v>21</v>
      </c>
      <c r="E3684" s="4">
        <v>13</v>
      </c>
      <c r="F3684" s="4">
        <v>772.26750000000004</v>
      </c>
      <c r="G3684" s="4">
        <v>0.02</v>
      </c>
      <c r="H3684" s="4" t="s">
        <v>22</v>
      </c>
      <c r="I3684" s="6">
        <v>-48.850999999999999</v>
      </c>
      <c r="J3684" s="4">
        <v>65.989999999999995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2">C3684+4</f>
        <v>40700</v>
      </c>
    </row>
    <row r="3685" spans="1:21" ht="12" customHeight="1">
      <c r="A3685" s="4">
        <v>1234</v>
      </c>
      <c r="B3685" s="4">
        <v>8998</v>
      </c>
      <c r="C3685" s="5">
        <f t="shared" ref="C3685:C3687" si="1523">DATE(2012,12,31)-1093</f>
        <v>40181</v>
      </c>
      <c r="D3685" s="4" t="s">
        <v>21</v>
      </c>
      <c r="E3685" s="4">
        <v>37</v>
      </c>
      <c r="F3685" s="4">
        <v>1767.88</v>
      </c>
      <c r="G3685" s="4">
        <v>7.0000000000000007E-2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0.57999999999999996</v>
      </c>
      <c r="U3685" s="5">
        <f t="shared" si="1522"/>
        <v>40185</v>
      </c>
    </row>
    <row r="3686" spans="1:21" ht="12" customHeight="1">
      <c r="A3686" s="4">
        <v>1235</v>
      </c>
      <c r="B3686" s="4">
        <v>8998</v>
      </c>
      <c r="C3686" s="5">
        <f t="shared" si="1523"/>
        <v>40181</v>
      </c>
      <c r="D3686" s="4" t="s">
        <v>21</v>
      </c>
      <c r="E3686" s="4">
        <v>12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spans="1:21" ht="12" customHeight="1">
      <c r="A3687" s="4">
        <v>1236</v>
      </c>
      <c r="B3687" s="4">
        <v>8998</v>
      </c>
      <c r="C3687" s="5">
        <f t="shared" si="1523"/>
        <v>40181</v>
      </c>
      <c r="D3687" s="4" t="s">
        <v>21</v>
      </c>
      <c r="E3687" s="4">
        <v>13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0.56999999999999995</v>
      </c>
      <c r="U3687" s="5">
        <f>C3687+5</f>
        <v>40186</v>
      </c>
    </row>
    <row r="3688" spans="1:21" ht="12" customHeight="1">
      <c r="A3688" s="4">
        <v>1256</v>
      </c>
      <c r="B3688" s="4">
        <v>9124</v>
      </c>
      <c r="C3688" s="5">
        <f t="shared" ref="C3688:C3689" si="1524">DATE(2012,12,31)-442</f>
        <v>40832</v>
      </c>
      <c r="D3688" s="4" t="s">
        <v>21</v>
      </c>
      <c r="E3688" s="4">
        <v>17</v>
      </c>
      <c r="F3688" s="4">
        <v>2637.78</v>
      </c>
      <c r="G3688" s="4">
        <v>0.04</v>
      </c>
      <c r="H3688" s="4" t="s">
        <v>22</v>
      </c>
      <c r="I3688" s="6">
        <v>-0.83999999999997499</v>
      </c>
      <c r="J3688" s="4">
        <v>152.47999999999999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spans="1:21" ht="12" customHeight="1">
      <c r="A3689" s="4">
        <v>1257</v>
      </c>
      <c r="B3689" s="4">
        <v>9124</v>
      </c>
      <c r="C3689" s="5">
        <f t="shared" si="1524"/>
        <v>40832</v>
      </c>
      <c r="D3689" s="4" t="s">
        <v>21</v>
      </c>
      <c r="E3689" s="4">
        <v>29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4.9800000000000004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spans="1:21" ht="12" customHeight="1">
      <c r="A3690" s="4">
        <v>1260</v>
      </c>
      <c r="B3690" s="4">
        <v>9152</v>
      </c>
      <c r="C3690" s="5">
        <f>DATE(2012,12,31)-864</f>
        <v>40410</v>
      </c>
      <c r="D3690" s="4" t="s">
        <v>45</v>
      </c>
      <c r="E3690" s="4">
        <v>43</v>
      </c>
      <c r="F3690" s="4">
        <v>292.80799999999999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spans="1:21" ht="12" customHeight="1">
      <c r="A3691" s="4">
        <v>1281</v>
      </c>
      <c r="B3691" s="4">
        <v>9312</v>
      </c>
      <c r="C3691" s="5">
        <f>DATE(2012,12,31)-227</f>
        <v>41047</v>
      </c>
      <c r="D3691" s="4" t="s">
        <v>45</v>
      </c>
      <c r="E3691" s="4">
        <v>43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5">C3691+1</f>
        <v>41048</v>
      </c>
    </row>
    <row r="3692" spans="1:21" ht="12" customHeight="1">
      <c r="A3692" s="4">
        <v>1330</v>
      </c>
      <c r="B3692" s="4">
        <v>9700</v>
      </c>
      <c r="C3692" s="5">
        <f>DATE(2012,12,31)-511</f>
        <v>40763</v>
      </c>
      <c r="D3692" s="4" t="s">
        <v>78</v>
      </c>
      <c r="E3692" s="4">
        <v>35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5"/>
        <v>40764</v>
      </c>
    </row>
    <row r="3693" spans="1:21" ht="12" customHeight="1">
      <c r="A3693" s="4">
        <v>1345</v>
      </c>
      <c r="B3693" s="4">
        <v>9826</v>
      </c>
      <c r="C3693" s="5">
        <f>DATE(2012,12,31)-284</f>
        <v>40990</v>
      </c>
      <c r="D3693" s="4" t="s">
        <v>63</v>
      </c>
      <c r="E3693" s="4">
        <v>7</v>
      </c>
      <c r="F3693" s="4">
        <v>131.61000000000001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spans="1:21" ht="12" customHeight="1">
      <c r="A3694" s="4">
        <v>1391</v>
      </c>
      <c r="B3694" s="4">
        <v>10081</v>
      </c>
      <c r="C3694" s="5">
        <f>DATE(2012,12,31)-877</f>
        <v>40397</v>
      </c>
      <c r="D3694" s="4" t="s">
        <v>45</v>
      </c>
      <c r="E3694" s="4">
        <v>49</v>
      </c>
      <c r="F3694" s="4">
        <v>1058.43</v>
      </c>
      <c r="G3694" s="4">
        <v>0.02</v>
      </c>
      <c r="H3694" s="4" t="s">
        <v>22</v>
      </c>
      <c r="I3694" s="6">
        <v>245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6">C3694+1</f>
        <v>40398</v>
      </c>
    </row>
    <row r="3695" spans="1:21" ht="12" customHeight="1">
      <c r="A3695" s="4">
        <v>1563</v>
      </c>
      <c r="B3695" s="4">
        <v>11270</v>
      </c>
      <c r="C3695" s="5">
        <f>DATE(2012,12,31)-550</f>
        <v>40724</v>
      </c>
      <c r="D3695" s="4" t="s">
        <v>30</v>
      </c>
      <c r="E3695" s="4">
        <v>15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6"/>
        <v>40725</v>
      </c>
    </row>
    <row r="3696" spans="1:21" ht="12" customHeight="1">
      <c r="A3696" s="4">
        <v>1587</v>
      </c>
      <c r="B3696" s="4">
        <v>11431</v>
      </c>
      <c r="C3696" s="5">
        <f t="shared" ref="C3696:C3697" si="1527">DATE(2012,12,31)-152</f>
        <v>41122</v>
      </c>
      <c r="D3696" s="4" t="s">
        <v>30</v>
      </c>
      <c r="E3696" s="4">
        <v>5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spans="1:21" ht="12" customHeight="1">
      <c r="A3697" s="4">
        <v>1588</v>
      </c>
      <c r="B3697" s="4">
        <v>11431</v>
      </c>
      <c r="C3697" s="5">
        <f t="shared" si="1527"/>
        <v>41122</v>
      </c>
      <c r="D3697" s="4" t="s">
        <v>30</v>
      </c>
      <c r="E3697" s="4">
        <v>8</v>
      </c>
      <c r="F3697" s="4">
        <v>1273.2660000000001</v>
      </c>
      <c r="G3697" s="4">
        <v>0.1</v>
      </c>
      <c r="H3697" s="4" t="s">
        <v>22</v>
      </c>
      <c r="I3697" s="6">
        <v>-615.66999999999996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0.57999999999999996</v>
      </c>
      <c r="U3697" s="5">
        <f>C3697+1</f>
        <v>41123</v>
      </c>
    </row>
    <row r="3698" spans="1:21" ht="12" customHeight="1">
      <c r="A3698" s="4">
        <v>1634</v>
      </c>
      <c r="B3698" s="4">
        <v>11815</v>
      </c>
      <c r="C3698" s="5">
        <f>DATE(2012,12,31)-476</f>
        <v>40798</v>
      </c>
      <c r="D3698" s="4" t="s">
        <v>21</v>
      </c>
      <c r="E3698" s="4">
        <v>22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0.56000000000000005</v>
      </c>
      <c r="U3698" s="5">
        <f t="shared" ref="U3698:U3699" si="1528">C3698+2</f>
        <v>40800</v>
      </c>
    </row>
    <row r="3699" spans="1:21" ht="12" customHeight="1">
      <c r="A3699" s="4">
        <v>1677</v>
      </c>
      <c r="B3699" s="4">
        <v>12097</v>
      </c>
      <c r="C3699" s="5">
        <f t="shared" ref="C3699:C3700" si="1529">DATE(2012,12,31)-783</f>
        <v>40491</v>
      </c>
      <c r="D3699" s="4" t="s">
        <v>78</v>
      </c>
      <c r="E3699" s="4">
        <v>9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4.9800000000000004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8"/>
        <v>40493</v>
      </c>
    </row>
    <row r="3700" spans="1:21" ht="12" customHeight="1">
      <c r="A3700" s="4">
        <v>1678</v>
      </c>
      <c r="B3700" s="4">
        <v>12097</v>
      </c>
      <c r="C3700" s="5">
        <f t="shared" si="1529"/>
        <v>40491</v>
      </c>
      <c r="D3700" s="4" t="s">
        <v>78</v>
      </c>
      <c r="E3700" s="4">
        <v>25</v>
      </c>
      <c r="F3700" s="4">
        <v>1831.5289999999998</v>
      </c>
      <c r="G3700" s="4">
        <v>0</v>
      </c>
      <c r="H3700" s="4" t="s">
        <v>56</v>
      </c>
      <c r="I3700" s="6">
        <v>-139.97499999999999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spans="1:21" ht="12" customHeight="1">
      <c r="A3701" s="4">
        <v>1688</v>
      </c>
      <c r="B3701" s="4">
        <v>12196</v>
      </c>
      <c r="C3701" s="5">
        <f t="shared" ref="C3701:C3702" si="1530">DATE(2012,12,31)-943</f>
        <v>40331</v>
      </c>
      <c r="D3701" s="4" t="s">
        <v>45</v>
      </c>
      <c r="E3701" s="4">
        <v>32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spans="1:21" ht="12" customHeight="1">
      <c r="A3702" s="4">
        <v>1689</v>
      </c>
      <c r="B3702" s="4">
        <v>12196</v>
      </c>
      <c r="C3702" s="5">
        <f t="shared" si="1530"/>
        <v>40331</v>
      </c>
      <c r="D3702" s="4" t="s">
        <v>45</v>
      </c>
      <c r="E3702" s="4">
        <v>25</v>
      </c>
      <c r="F3702" s="4">
        <v>10330.94</v>
      </c>
      <c r="G3702" s="4">
        <v>7.0000000000000007E-2</v>
      </c>
      <c r="H3702" s="4" t="s">
        <v>22</v>
      </c>
      <c r="I3702" s="6">
        <v>2914.56</v>
      </c>
      <c r="J3702" s="4">
        <v>419.19</v>
      </c>
      <c r="K3702" s="4">
        <v>19.989999999999998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0.57999999999999996</v>
      </c>
      <c r="U3702" s="5">
        <f>C3702+0</f>
        <v>40331</v>
      </c>
    </row>
    <row r="3703" spans="1:21" ht="12" customHeight="1">
      <c r="A3703" s="4">
        <v>1734</v>
      </c>
      <c r="B3703" s="4">
        <v>12451</v>
      </c>
      <c r="C3703" s="5">
        <f t="shared" ref="C3703:C3704" si="1531">DATE(2012,12,31)-987</f>
        <v>40287</v>
      </c>
      <c r="D3703" s="4" t="s">
        <v>21</v>
      </c>
      <c r="E3703" s="4">
        <v>26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130.97999999999999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2">C3703+2</f>
        <v>40289</v>
      </c>
    </row>
    <row r="3704" spans="1:21" ht="12" customHeight="1">
      <c r="A3704" s="4">
        <v>1735</v>
      </c>
      <c r="B3704" s="4">
        <v>12451</v>
      </c>
      <c r="C3704" s="5">
        <f t="shared" si="1531"/>
        <v>40287</v>
      </c>
      <c r="D3704" s="4" t="s">
        <v>21</v>
      </c>
      <c r="E3704" s="4">
        <v>21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2"/>
        <v>40289</v>
      </c>
    </row>
    <row r="3705" spans="1:21" ht="12" customHeight="1">
      <c r="A3705" s="4">
        <v>1742</v>
      </c>
      <c r="B3705" s="4">
        <v>12483</v>
      </c>
      <c r="C3705" s="5">
        <f t="shared" ref="C3705:C3707" si="1533">DATE(2012,12,31)-880</f>
        <v>40394</v>
      </c>
      <c r="D3705" s="4" t="s">
        <v>78</v>
      </c>
      <c r="E3705" s="4">
        <v>14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spans="1:21" ht="12" customHeight="1">
      <c r="A3706" s="4">
        <v>1743</v>
      </c>
      <c r="B3706" s="4">
        <v>12483</v>
      </c>
      <c r="C3706" s="5">
        <f t="shared" si="1533"/>
        <v>40394</v>
      </c>
      <c r="D3706" s="4" t="s">
        <v>78</v>
      </c>
      <c r="E3706" s="4">
        <v>14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spans="1:21" ht="12" customHeight="1">
      <c r="A3707" s="4">
        <v>1744</v>
      </c>
      <c r="B3707" s="4">
        <v>12483</v>
      </c>
      <c r="C3707" s="5">
        <f t="shared" si="1533"/>
        <v>40394</v>
      </c>
      <c r="D3707" s="4" t="s">
        <v>78</v>
      </c>
      <c r="E3707" s="4">
        <v>30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9.7100000000000009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0.56999999999999995</v>
      </c>
      <c r="U3707" s="5">
        <f>C3707+1</f>
        <v>40395</v>
      </c>
    </row>
    <row r="3708" spans="1:21" ht="12" customHeight="1">
      <c r="A3708" s="4">
        <v>1794</v>
      </c>
      <c r="B3708" s="4">
        <v>12867</v>
      </c>
      <c r="C3708" s="5">
        <f>DATE(2012,12,31)-661</f>
        <v>40613</v>
      </c>
      <c r="D3708" s="4" t="s">
        <v>45</v>
      </c>
      <c r="E3708" s="4">
        <v>6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4">C3708+0</f>
        <v>40613</v>
      </c>
    </row>
    <row r="3709" spans="1:21" ht="12" customHeight="1">
      <c r="A3709" s="4">
        <v>1881</v>
      </c>
      <c r="B3709" s="4">
        <v>13540</v>
      </c>
      <c r="C3709" s="5">
        <f t="shared" ref="C3709:C3711" si="1535">DATE(2012,12,31)-953</f>
        <v>40321</v>
      </c>
      <c r="D3709" s="4" t="s">
        <v>30</v>
      </c>
      <c r="E3709" s="4">
        <v>31</v>
      </c>
      <c r="F3709" s="4">
        <v>259.58999999999997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4"/>
        <v>40321</v>
      </c>
    </row>
    <row r="3710" spans="1:21" ht="12" customHeight="1">
      <c r="A3710" s="4">
        <v>1882</v>
      </c>
      <c r="B3710" s="4">
        <v>13540</v>
      </c>
      <c r="C3710" s="5">
        <f t="shared" si="1535"/>
        <v>40321</v>
      </c>
      <c r="D3710" s="4" t="s">
        <v>30</v>
      </c>
      <c r="E3710" s="4">
        <v>16</v>
      </c>
      <c r="F3710" s="4">
        <v>34.93</v>
      </c>
      <c r="G3710" s="4">
        <v>0.04</v>
      </c>
      <c r="H3710" s="4" t="s">
        <v>22</v>
      </c>
      <c r="I3710" s="6">
        <v>-5.0000000000000711E-2</v>
      </c>
      <c r="J3710" s="4">
        <v>2.1800000000000002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4"/>
        <v>40321</v>
      </c>
    </row>
    <row r="3711" spans="1:21" ht="12" customHeight="1">
      <c r="A3711" s="4">
        <v>1883</v>
      </c>
      <c r="B3711" s="4">
        <v>13540</v>
      </c>
      <c r="C3711" s="5">
        <f t="shared" si="1535"/>
        <v>40321</v>
      </c>
      <c r="D3711" s="4" t="s">
        <v>30</v>
      </c>
      <c r="E3711" s="4">
        <v>33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0.56999999999999995</v>
      </c>
      <c r="U3711" s="5">
        <f t="shared" si="1534"/>
        <v>40321</v>
      </c>
    </row>
    <row r="3712" spans="1:21" ht="12" customHeight="1">
      <c r="A3712" s="4">
        <v>1919</v>
      </c>
      <c r="B3712" s="4">
        <v>13762</v>
      </c>
      <c r="C3712" s="5">
        <f t="shared" ref="C3712:C3714" si="1536">DATE(2012,12,31)-924</f>
        <v>40350</v>
      </c>
      <c r="D3712" s="4" t="s">
        <v>63</v>
      </c>
      <c r="E3712" s="4">
        <v>8</v>
      </c>
      <c r="F3712" s="4">
        <v>55</v>
      </c>
      <c r="G3712" s="4">
        <v>0.05</v>
      </c>
      <c r="H3712" s="4" t="s">
        <v>22</v>
      </c>
      <c r="I3712" s="6">
        <v>-23.620999999999999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spans="1:21" ht="12" customHeight="1">
      <c r="A3713" s="4">
        <v>1920</v>
      </c>
      <c r="B3713" s="4">
        <v>13762</v>
      </c>
      <c r="C3713" s="5">
        <f t="shared" si="1536"/>
        <v>40350</v>
      </c>
      <c r="D3713" s="4" t="s">
        <v>63</v>
      </c>
      <c r="E3713" s="4">
        <v>7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7">C3713+2</f>
        <v>40352</v>
      </c>
    </row>
    <row r="3714" spans="1:21" ht="12" customHeight="1">
      <c r="A3714" s="4">
        <v>1921</v>
      </c>
      <c r="B3714" s="4">
        <v>13762</v>
      </c>
      <c r="C3714" s="5">
        <f t="shared" si="1536"/>
        <v>40350</v>
      </c>
      <c r="D3714" s="4" t="s">
        <v>63</v>
      </c>
      <c r="E3714" s="4">
        <v>37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7"/>
        <v>40352</v>
      </c>
    </row>
    <row r="3715" spans="1:21" ht="12" customHeight="1">
      <c r="A3715" s="4">
        <v>2033</v>
      </c>
      <c r="B3715" s="4">
        <v>14500</v>
      </c>
      <c r="C3715" s="5">
        <f t="shared" ref="C3715:C3716" si="1538">DATE(2012,12,31)-556</f>
        <v>40718</v>
      </c>
      <c r="D3715" s="4" t="s">
        <v>45</v>
      </c>
      <c r="E3715" s="4">
        <v>44</v>
      </c>
      <c r="F3715" s="4">
        <v>839.7</v>
      </c>
      <c r="G3715" s="4">
        <v>7.0000000000000007E-2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7"/>
        <v>40720</v>
      </c>
    </row>
    <row r="3716" spans="1:21" ht="12" customHeight="1">
      <c r="A3716" s="4">
        <v>2034</v>
      </c>
      <c r="B3716" s="4">
        <v>14500</v>
      </c>
      <c r="C3716" s="5">
        <f t="shared" si="1538"/>
        <v>40718</v>
      </c>
      <c r="D3716" s="4" t="s">
        <v>45</v>
      </c>
      <c r="E3716" s="4">
        <v>46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0.56000000000000005</v>
      </c>
      <c r="U3716" s="5">
        <f>C3716+1</f>
        <v>40719</v>
      </c>
    </row>
    <row r="3717" spans="1:21" ht="12" customHeight="1">
      <c r="A3717" s="4">
        <v>2042</v>
      </c>
      <c r="B3717" s="4">
        <v>14534</v>
      </c>
      <c r="C3717" s="5">
        <f>DATE(2012,12,31)-897</f>
        <v>40377</v>
      </c>
      <c r="D3717" s="4" t="s">
        <v>63</v>
      </c>
      <c r="E3717" s="4">
        <v>46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spans="1:21" ht="12" customHeight="1">
      <c r="A3718" s="4">
        <v>2084</v>
      </c>
      <c r="B3718" s="4">
        <v>14884</v>
      </c>
      <c r="C3718" s="5">
        <f>DATE(2012,12,31)-461</f>
        <v>40813</v>
      </c>
      <c r="D3718" s="4" t="s">
        <v>30</v>
      </c>
      <c r="E3718" s="4">
        <v>6</v>
      </c>
      <c r="F3718" s="4">
        <v>473.9855</v>
      </c>
      <c r="G3718" s="4">
        <v>0.06</v>
      </c>
      <c r="H3718" s="4" t="s">
        <v>22</v>
      </c>
      <c r="I3718" s="6">
        <v>-301.67500000000001</v>
      </c>
      <c r="J3718" s="4">
        <v>95.99</v>
      </c>
      <c r="K3718" s="4">
        <v>4.9000000000000004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0.56000000000000005</v>
      </c>
      <c r="U3718" s="5">
        <f>C3718+2</f>
        <v>40815</v>
      </c>
    </row>
    <row r="3719" spans="1:21" ht="12" customHeight="1">
      <c r="A3719" s="4">
        <v>2132</v>
      </c>
      <c r="B3719" s="4">
        <v>15234</v>
      </c>
      <c r="C3719" s="5">
        <f t="shared" ref="C3719:C3720" si="1539">DATE(2012,12,31)-1025</f>
        <v>40249</v>
      </c>
      <c r="D3719" s="4" t="s">
        <v>45</v>
      </c>
      <c r="E3719" s="4">
        <v>21</v>
      </c>
      <c r="F3719" s="4">
        <v>2185.9535000000001</v>
      </c>
      <c r="G3719" s="4">
        <v>0.1</v>
      </c>
      <c r="H3719" s="4" t="s">
        <v>22</v>
      </c>
      <c r="I3719" s="6">
        <v>268.01100000000002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0.55000000000000004</v>
      </c>
      <c r="U3719" s="5">
        <f t="shared" ref="U3719:U3720" si="1540">C3719+1</f>
        <v>40250</v>
      </c>
    </row>
    <row r="3720" spans="1:21" ht="12" customHeight="1">
      <c r="A3720" s="4">
        <v>2133</v>
      </c>
      <c r="B3720" s="4">
        <v>15234</v>
      </c>
      <c r="C3720" s="5">
        <f t="shared" si="1539"/>
        <v>40249</v>
      </c>
      <c r="D3720" s="4" t="s">
        <v>45</v>
      </c>
      <c r="E3720" s="4">
        <v>12</v>
      </c>
      <c r="F3720" s="4">
        <v>1323.5434999999998</v>
      </c>
      <c r="G3720" s="4">
        <v>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0.56999999999999995</v>
      </c>
      <c r="U3720" s="5">
        <f t="shared" si="1540"/>
        <v>40250</v>
      </c>
    </row>
    <row r="3721" spans="1:21" ht="12" customHeight="1">
      <c r="A3721" s="4">
        <v>2141</v>
      </c>
      <c r="B3721" s="4">
        <v>15296</v>
      </c>
      <c r="C3721" s="5">
        <f>DATE(2012,12,31)-146</f>
        <v>41128</v>
      </c>
      <c r="D3721" s="4" t="s">
        <v>45</v>
      </c>
      <c r="E3721" s="4">
        <v>38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161.55000000000001</v>
      </c>
      <c r="K3721" s="4">
        <v>19.989999999999998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1">C3721+2</f>
        <v>41130</v>
      </c>
    </row>
    <row r="3722" spans="1:21" ht="12" customHeight="1">
      <c r="A3722" s="4">
        <v>2147</v>
      </c>
      <c r="B3722" s="4">
        <v>15335</v>
      </c>
      <c r="C3722" s="5">
        <f>DATE(2012,12,31)-836</f>
        <v>40438</v>
      </c>
      <c r="D3722" s="4" t="s">
        <v>63</v>
      </c>
      <c r="E3722" s="4">
        <v>26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1"/>
        <v>40440</v>
      </c>
    </row>
    <row r="3723" spans="1:21" ht="12" customHeight="1">
      <c r="A3723" s="4">
        <v>2179</v>
      </c>
      <c r="B3723" s="4">
        <v>15712</v>
      </c>
      <c r="C3723" s="5">
        <f>DATE(2012,12,31)-27</f>
        <v>41247</v>
      </c>
      <c r="D3723" s="4" t="s">
        <v>30</v>
      </c>
      <c r="E3723" s="4">
        <v>1</v>
      </c>
      <c r="F3723" s="4">
        <v>102.9</v>
      </c>
      <c r="G3723" s="4">
        <v>7.0000000000000007E-2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1"/>
        <v>41249</v>
      </c>
    </row>
    <row r="3724" spans="1:21" ht="12" customHeight="1">
      <c r="A3724" s="4">
        <v>2205</v>
      </c>
      <c r="B3724" s="4">
        <v>15906</v>
      </c>
      <c r="C3724" s="5">
        <f>DATE(2012,12,31)-826</f>
        <v>40448</v>
      </c>
      <c r="D3724" s="4" t="s">
        <v>21</v>
      </c>
      <c r="E3724" s="4">
        <v>8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0.57999999999999996</v>
      </c>
      <c r="U3724" s="5">
        <f t="shared" si="1541"/>
        <v>40450</v>
      </c>
    </row>
    <row r="3725" spans="1:21" ht="12" customHeight="1">
      <c r="A3725" s="4">
        <v>2215</v>
      </c>
      <c r="B3725" s="4">
        <v>16005</v>
      </c>
      <c r="C3725" s="5">
        <f>DATE(2012,12,31)-7</f>
        <v>41267</v>
      </c>
      <c r="D3725" s="4" t="s">
        <v>45</v>
      </c>
      <c r="E3725" s="4">
        <v>7</v>
      </c>
      <c r="F3725" s="4">
        <v>51.03</v>
      </c>
      <c r="G3725" s="4">
        <v>0.09</v>
      </c>
      <c r="H3725" s="4" t="s">
        <v>22</v>
      </c>
      <c r="I3725" s="6">
        <v>-21.378499999999999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1"/>
        <v>41269</v>
      </c>
    </row>
    <row r="3726" spans="1:21" ht="12" customHeight="1">
      <c r="A3726" s="4">
        <v>2230</v>
      </c>
      <c r="B3726" s="4">
        <v>16103</v>
      </c>
      <c r="C3726" s="5">
        <f>DATE(2012,12,31)-169</f>
        <v>41105</v>
      </c>
      <c r="D3726" s="4" t="s">
        <v>45</v>
      </c>
      <c r="E3726" s="4">
        <v>22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4.0999999999999996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1"/>
        <v>41107</v>
      </c>
    </row>
    <row r="3727" spans="1:21" ht="12" customHeight="1">
      <c r="A3727" s="4">
        <v>2265</v>
      </c>
      <c r="B3727" s="4">
        <v>16262</v>
      </c>
      <c r="C3727" s="5">
        <f>DATE(2012,12,31)-730</f>
        <v>40544</v>
      </c>
      <c r="D3727" s="4" t="s">
        <v>21</v>
      </c>
      <c r="E3727" s="4">
        <v>11</v>
      </c>
      <c r="F3727" s="4">
        <v>62.84</v>
      </c>
      <c r="G3727" s="4">
        <v>0.06</v>
      </c>
      <c r="H3727" s="4" t="s">
        <v>56</v>
      </c>
      <c r="I3727" s="6">
        <v>9.5299999999999994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spans="1:21" ht="12" customHeight="1">
      <c r="A3728" s="4">
        <v>2328</v>
      </c>
      <c r="B3728" s="4">
        <v>16775</v>
      </c>
      <c r="C3728" s="5">
        <f>DATE(2012,12,31)-39</f>
        <v>41235</v>
      </c>
      <c r="D3728" s="4" t="s">
        <v>21</v>
      </c>
      <c r="E3728" s="4">
        <v>49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spans="1:21" ht="12" customHeight="1">
      <c r="A3729" s="4">
        <v>2340</v>
      </c>
      <c r="B3729" s="4">
        <v>16834</v>
      </c>
      <c r="C3729" s="5">
        <f>DATE(2012,12,31)-800</f>
        <v>40474</v>
      </c>
      <c r="D3729" s="4" t="s">
        <v>21</v>
      </c>
      <c r="E3729" s="4">
        <v>33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spans="1:21" ht="12" customHeight="1">
      <c r="A3730" s="4">
        <v>2341</v>
      </c>
      <c r="B3730" s="4">
        <v>16837</v>
      </c>
      <c r="C3730" s="5">
        <f>DATE(2012,12,31)-710</f>
        <v>40564</v>
      </c>
      <c r="D3730" s="4" t="s">
        <v>45</v>
      </c>
      <c r="E3730" s="4">
        <v>4</v>
      </c>
      <c r="F3730" s="4">
        <v>997</v>
      </c>
      <c r="G3730" s="4">
        <v>0.09</v>
      </c>
      <c r="H3730" s="4" t="s">
        <v>31</v>
      </c>
      <c r="I3730" s="6">
        <v>-307.95999999999998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0.55000000000000004</v>
      </c>
      <c r="U3730" s="5">
        <f t="shared" ref="U3730:U3732" si="1542">C3730+1</f>
        <v>40565</v>
      </c>
    </row>
    <row r="3731" spans="1:21" ht="12" customHeight="1">
      <c r="A3731" s="4">
        <v>2343</v>
      </c>
      <c r="B3731" s="4">
        <v>16866</v>
      </c>
      <c r="C3731" s="5">
        <f>DATE(2012,12,31)-329</f>
        <v>40945</v>
      </c>
      <c r="D3731" s="4" t="s">
        <v>45</v>
      </c>
      <c r="E3731" s="4">
        <v>43</v>
      </c>
      <c r="F3731" s="4">
        <v>2357.9085</v>
      </c>
      <c r="G3731" s="4">
        <v>0.06</v>
      </c>
      <c r="H3731" s="4" t="s">
        <v>22</v>
      </c>
      <c r="I3731" s="6">
        <v>538.48800000000006</v>
      </c>
      <c r="J3731" s="4">
        <v>65.989999999999995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2"/>
        <v>40946</v>
      </c>
    </row>
    <row r="3732" spans="1:21" ht="12" customHeight="1">
      <c r="A3732" s="4">
        <v>2360</v>
      </c>
      <c r="B3732" s="4">
        <v>17058</v>
      </c>
      <c r="C3732" s="5">
        <f>DATE(2012,12,31)-730</f>
        <v>40544</v>
      </c>
      <c r="D3732" s="4" t="s">
        <v>30</v>
      </c>
      <c r="E3732" s="4">
        <v>15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2"/>
        <v>40545</v>
      </c>
    </row>
    <row r="3733" spans="1:21" ht="12" customHeight="1">
      <c r="A3733" s="4">
        <v>2413</v>
      </c>
      <c r="B3733" s="4">
        <v>17508</v>
      </c>
      <c r="C3733" s="5">
        <f>DATE(2012,12,31)-187</f>
        <v>41087</v>
      </c>
      <c r="D3733" s="4" t="s">
        <v>21</v>
      </c>
      <c r="E3733" s="4">
        <v>50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0.56000000000000005</v>
      </c>
      <c r="U3733" s="5">
        <f>C3733+2</f>
        <v>41089</v>
      </c>
    </row>
    <row r="3734" spans="1:21" ht="12" customHeight="1">
      <c r="A3734" s="4">
        <v>2573</v>
      </c>
      <c r="B3734" s="4">
        <v>18592</v>
      </c>
      <c r="C3734" s="5">
        <f>DATE(2012,12,31)-92</f>
        <v>41182</v>
      </c>
      <c r="D3734" s="4" t="s">
        <v>78</v>
      </c>
      <c r="E3734" s="4">
        <v>2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0.56999999999999995</v>
      </c>
      <c r="U3734" s="5">
        <f>C3734+1</f>
        <v>41183</v>
      </c>
    </row>
    <row r="3735" spans="1:21" ht="12" customHeight="1">
      <c r="A3735" s="4">
        <v>2598</v>
      </c>
      <c r="B3735" s="4">
        <v>18757</v>
      </c>
      <c r="C3735" s="5">
        <f>DATE(2012,12,31)-223</f>
        <v>41051</v>
      </c>
      <c r="D3735" s="4" t="s">
        <v>21</v>
      </c>
      <c r="E3735" s="4">
        <v>43</v>
      </c>
      <c r="F3735" s="4">
        <v>319.95999999999998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spans="1:21" ht="12" customHeight="1">
      <c r="A3736" s="4">
        <v>2609</v>
      </c>
      <c r="B3736" s="4">
        <v>18851</v>
      </c>
      <c r="C3736" s="5">
        <f>DATE(2012,12,31)-15</f>
        <v>41259</v>
      </c>
      <c r="D3736" s="4" t="s">
        <v>78</v>
      </c>
      <c r="E3736" s="4">
        <v>32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spans="1:21" ht="12" customHeight="1">
      <c r="A3737" s="4">
        <v>2611</v>
      </c>
      <c r="B3737" s="4">
        <v>18853</v>
      </c>
      <c r="C3737" s="5">
        <f>DATE(2012,12,31)-1079</f>
        <v>40195</v>
      </c>
      <c r="D3737" s="4" t="s">
        <v>78</v>
      </c>
      <c r="E3737" s="4">
        <v>33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spans="1:21" ht="12" customHeight="1">
      <c r="A3738" s="4">
        <v>2613</v>
      </c>
      <c r="B3738" s="4">
        <v>18884</v>
      </c>
      <c r="C3738" s="5">
        <f t="shared" ref="C3738:C3739" si="1543">DATE(2012,12,31)-556</f>
        <v>40718</v>
      </c>
      <c r="D3738" s="4" t="s">
        <v>45</v>
      </c>
      <c r="E3738" s="4">
        <v>5</v>
      </c>
      <c r="F3738" s="4">
        <v>131.27000000000001</v>
      </c>
      <c r="G3738" s="4">
        <v>0.1</v>
      </c>
      <c r="H3738" s="4" t="s">
        <v>31</v>
      </c>
      <c r="I3738" s="6">
        <v>-70.430000000000007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spans="1:21" ht="12" customHeight="1">
      <c r="A3739" s="4">
        <v>2614</v>
      </c>
      <c r="B3739" s="4">
        <v>18884</v>
      </c>
      <c r="C3739" s="5">
        <f t="shared" si="1543"/>
        <v>40718</v>
      </c>
      <c r="D3739" s="4" t="s">
        <v>45</v>
      </c>
      <c r="E3739" s="4">
        <v>29</v>
      </c>
      <c r="F3739" s="4">
        <v>13571.7</v>
      </c>
      <c r="G3739" s="4">
        <v>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spans="1:21" ht="12" customHeight="1">
      <c r="A3740" s="4">
        <v>2673</v>
      </c>
      <c r="B3740" s="4">
        <v>19361</v>
      </c>
      <c r="C3740" s="5">
        <f t="shared" ref="C3740:C3741" si="1544">DATE(2012,12,31)-99</f>
        <v>41175</v>
      </c>
      <c r="D3740" s="4" t="s">
        <v>21</v>
      </c>
      <c r="E3740" s="4">
        <v>21</v>
      </c>
      <c r="F3740" s="4">
        <v>788.85</v>
      </c>
      <c r="G3740" s="4">
        <v>0.06</v>
      </c>
      <c r="H3740" s="4" t="s">
        <v>22</v>
      </c>
      <c r="I3740" s="6">
        <v>317.53449999999998</v>
      </c>
      <c r="J3740" s="4">
        <v>37.700000000000003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spans="1:21" ht="12" customHeight="1">
      <c r="A3741" s="4">
        <v>2674</v>
      </c>
      <c r="B3741" s="4">
        <v>19361</v>
      </c>
      <c r="C3741" s="5">
        <f t="shared" si="1544"/>
        <v>41175</v>
      </c>
      <c r="D3741" s="4" t="s">
        <v>21</v>
      </c>
      <c r="E3741" s="4">
        <v>43</v>
      </c>
      <c r="F3741" s="4">
        <v>364.59</v>
      </c>
      <c r="G3741" s="4">
        <v>7.0000000000000007E-2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spans="1:21" ht="12" customHeight="1">
      <c r="A3742" s="4">
        <v>2706</v>
      </c>
      <c r="B3742" s="4">
        <v>19557</v>
      </c>
      <c r="C3742" s="5">
        <f t="shared" ref="C3742:C3743" si="1545">DATE(2012,12,31)-428</f>
        <v>40846</v>
      </c>
      <c r="D3742" s="4" t="s">
        <v>21</v>
      </c>
      <c r="E3742" s="4">
        <v>26</v>
      </c>
      <c r="F3742" s="4">
        <v>66.599999999999994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spans="1:21" ht="12" customHeight="1">
      <c r="A3743" s="4">
        <v>2707</v>
      </c>
      <c r="B3743" s="4">
        <v>19557</v>
      </c>
      <c r="C3743" s="5">
        <f t="shared" si="1545"/>
        <v>40846</v>
      </c>
      <c r="D3743" s="4" t="s">
        <v>21</v>
      </c>
      <c r="E3743" s="4">
        <v>9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5.0999999999999996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spans="1:21" ht="12" customHeight="1">
      <c r="A3744" s="4">
        <v>2713</v>
      </c>
      <c r="B3744" s="4">
        <v>19586</v>
      </c>
      <c r="C3744" s="5">
        <f>DATE(2012,12,31)-60</f>
        <v>41214</v>
      </c>
      <c r="D3744" s="4" t="s">
        <v>45</v>
      </c>
      <c r="E3744" s="4">
        <v>36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0.55000000000000004</v>
      </c>
      <c r="U3744" s="5">
        <f>C3744+2</f>
        <v>41216</v>
      </c>
    </row>
    <row r="3745" spans="1:21" ht="12" customHeight="1">
      <c r="A3745" s="4">
        <v>2732</v>
      </c>
      <c r="B3745" s="4">
        <v>19718</v>
      </c>
      <c r="C3745" s="5">
        <f>DATE(2012,12,31)-190</f>
        <v>41084</v>
      </c>
      <c r="D3745" s="4" t="s">
        <v>21</v>
      </c>
      <c r="E3745" s="4">
        <v>6</v>
      </c>
      <c r="F3745" s="4">
        <v>89.75</v>
      </c>
      <c r="G3745" s="4">
        <v>0.03</v>
      </c>
      <c r="H3745" s="4" t="s">
        <v>22</v>
      </c>
      <c r="I3745" s="6">
        <v>-38.288699999999999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spans="1:21" ht="12" customHeight="1">
      <c r="A3746" s="4">
        <v>2733</v>
      </c>
      <c r="B3746" s="4">
        <v>19744</v>
      </c>
      <c r="C3746" s="5">
        <f>DATE(2012,12,31)-1023</f>
        <v>40251</v>
      </c>
      <c r="D3746" s="4" t="s">
        <v>63</v>
      </c>
      <c r="E3746" s="4">
        <v>41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4.9800000000000004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0.57999999999999996</v>
      </c>
      <c r="U3746" s="5">
        <f>C3746+2</f>
        <v>40253</v>
      </c>
    </row>
    <row r="3747" spans="1:21" ht="12" customHeight="1">
      <c r="A3747" s="4">
        <v>2787</v>
      </c>
      <c r="B3747" s="4">
        <v>20103</v>
      </c>
      <c r="C3747" s="5">
        <f t="shared" ref="C3747:C3748" si="1546">DATE(2012,12,31)-1054</f>
        <v>40220</v>
      </c>
      <c r="D3747" s="4" t="s">
        <v>63</v>
      </c>
      <c r="E3747" s="4">
        <v>30</v>
      </c>
      <c r="F3747" s="4">
        <v>314.93</v>
      </c>
      <c r="G3747" s="4">
        <v>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spans="1:21" ht="12" customHeight="1">
      <c r="A3748" s="4">
        <v>2788</v>
      </c>
      <c r="B3748" s="4">
        <v>20103</v>
      </c>
      <c r="C3748" s="5">
        <f t="shared" si="1546"/>
        <v>40220</v>
      </c>
      <c r="D3748" s="4" t="s">
        <v>63</v>
      </c>
      <c r="E3748" s="4">
        <v>25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spans="1:21" ht="12" customHeight="1">
      <c r="A3749" s="4">
        <v>2799</v>
      </c>
      <c r="B3749" s="4">
        <v>20192</v>
      </c>
      <c r="C3749" s="5">
        <f>DATE(2012,12,31)-817</f>
        <v>40457</v>
      </c>
      <c r="D3749" s="4" t="s">
        <v>21</v>
      </c>
      <c r="E3749" s="4">
        <v>35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0.55000000000000004</v>
      </c>
      <c r="U3749" s="5">
        <f>C3749+7</f>
        <v>40464</v>
      </c>
    </row>
    <row r="3750" spans="1:21" ht="12" customHeight="1">
      <c r="A3750" s="4">
        <v>2906</v>
      </c>
      <c r="B3750" s="4">
        <v>20966</v>
      </c>
      <c r="C3750" s="5">
        <f t="shared" ref="C3750:C3752" si="1547">DATE(2012,12,31)-835</f>
        <v>40439</v>
      </c>
      <c r="D3750" s="4" t="s">
        <v>21</v>
      </c>
      <c r="E3750" s="4">
        <v>10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8">C3750+4</f>
        <v>40443</v>
      </c>
    </row>
    <row r="3751" spans="1:21" ht="12" customHeight="1">
      <c r="A3751" s="4">
        <v>2907</v>
      </c>
      <c r="B3751" s="4">
        <v>20966</v>
      </c>
      <c r="C3751" s="5">
        <f t="shared" si="1547"/>
        <v>40439</v>
      </c>
      <c r="D3751" s="4" t="s">
        <v>21</v>
      </c>
      <c r="E3751" s="4">
        <v>35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8"/>
        <v>40443</v>
      </c>
    </row>
    <row r="3752" spans="1:21" ht="12" customHeight="1">
      <c r="A3752" s="4">
        <v>2908</v>
      </c>
      <c r="B3752" s="4">
        <v>20966</v>
      </c>
      <c r="C3752" s="5">
        <f t="shared" si="1547"/>
        <v>40439</v>
      </c>
      <c r="D3752" s="4" t="s">
        <v>21</v>
      </c>
      <c r="E3752" s="4">
        <v>22</v>
      </c>
      <c r="F3752" s="4">
        <v>1194.06</v>
      </c>
      <c r="G3752" s="4">
        <v>0.04</v>
      </c>
      <c r="H3752" s="4" t="s">
        <v>22</v>
      </c>
      <c r="I3752" s="6">
        <v>326.97000000000003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spans="1:21" ht="12" customHeight="1">
      <c r="A3753" s="4">
        <v>2916</v>
      </c>
      <c r="B3753" s="4">
        <v>21063</v>
      </c>
      <c r="C3753" s="5">
        <f t="shared" ref="C3753:C3754" si="1549">DATE(2012,12,31)-626</f>
        <v>40648</v>
      </c>
      <c r="D3753" s="4" t="s">
        <v>21</v>
      </c>
      <c r="E3753" s="4">
        <v>49</v>
      </c>
      <c r="F3753" s="4">
        <v>377.02</v>
      </c>
      <c r="G3753" s="4">
        <v>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spans="1:21" ht="12" customHeight="1">
      <c r="A3754" s="4">
        <v>2917</v>
      </c>
      <c r="B3754" s="4">
        <v>21063</v>
      </c>
      <c r="C3754" s="5">
        <f t="shared" si="1549"/>
        <v>40648</v>
      </c>
      <c r="D3754" s="4" t="s">
        <v>21</v>
      </c>
      <c r="E3754" s="4">
        <v>48</v>
      </c>
      <c r="F3754" s="4">
        <v>7339.24</v>
      </c>
      <c r="G3754" s="4">
        <v>0</v>
      </c>
      <c r="H3754" s="4" t="s">
        <v>31</v>
      </c>
      <c r="I3754" s="6">
        <v>-279.74</v>
      </c>
      <c r="J3754" s="4">
        <v>145.97999999999999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spans="1:21" ht="12" customHeight="1">
      <c r="A3755" s="4">
        <v>2958</v>
      </c>
      <c r="B3755" s="4">
        <v>21412</v>
      </c>
      <c r="C3755" s="5">
        <f t="shared" ref="C3755:C3756" si="1550">DATE(2012,12,31)-537</f>
        <v>40737</v>
      </c>
      <c r="D3755" s="4" t="s">
        <v>45</v>
      </c>
      <c r="E3755" s="4">
        <v>38</v>
      </c>
      <c r="F3755" s="4">
        <v>137.07</v>
      </c>
      <c r="G3755" s="4">
        <v>0.09</v>
      </c>
      <c r="H3755" s="4" t="s">
        <v>22</v>
      </c>
      <c r="I3755" s="6">
        <v>-199.29499999999999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spans="1:21" ht="12" customHeight="1">
      <c r="A3756" s="4">
        <v>2959</v>
      </c>
      <c r="B3756" s="4">
        <v>21412</v>
      </c>
      <c r="C3756" s="5">
        <f t="shared" si="1550"/>
        <v>40737</v>
      </c>
      <c r="D3756" s="4" t="s">
        <v>45</v>
      </c>
      <c r="E3756" s="4">
        <v>28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4.2300000000000004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1">C3756+1</f>
        <v>40738</v>
      </c>
    </row>
    <row r="3757" spans="1:21" ht="12" customHeight="1">
      <c r="A3757" s="4">
        <v>2966</v>
      </c>
      <c r="B3757" s="4">
        <v>21444</v>
      </c>
      <c r="C3757" s="5">
        <f>DATE(2012,12,31)-626</f>
        <v>40648</v>
      </c>
      <c r="D3757" s="4" t="s">
        <v>63</v>
      </c>
      <c r="E3757" s="4">
        <v>17</v>
      </c>
      <c r="F3757" s="4">
        <v>34.159999999999997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0.56999999999999995</v>
      </c>
      <c r="U3757" s="5">
        <f t="shared" si="1551"/>
        <v>40649</v>
      </c>
    </row>
    <row r="3758" spans="1:21" ht="12" customHeight="1">
      <c r="A3758" s="4">
        <v>3064</v>
      </c>
      <c r="B3758" s="4">
        <v>21956</v>
      </c>
      <c r="C3758" s="5">
        <f>DATE(2012,12,31)-699</f>
        <v>40575</v>
      </c>
      <c r="D3758" s="4" t="s">
        <v>30</v>
      </c>
      <c r="E3758" s="4">
        <v>2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65.989999999999995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0.56000000000000005</v>
      </c>
      <c r="U3758" s="5">
        <f t="shared" ref="U3758:U3760" si="1552">C3758+2</f>
        <v>40577</v>
      </c>
    </row>
    <row r="3759" spans="1:21" ht="12" customHeight="1">
      <c r="A3759" s="4">
        <v>3073</v>
      </c>
      <c r="B3759" s="4">
        <v>22051</v>
      </c>
      <c r="C3759" s="5">
        <f>DATE(2012,12,31)-367</f>
        <v>40907</v>
      </c>
      <c r="D3759" s="4" t="s">
        <v>45</v>
      </c>
      <c r="E3759" s="4">
        <v>39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4.9800000000000004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2"/>
        <v>40909</v>
      </c>
    </row>
    <row r="3760" spans="1:21" ht="12" customHeight="1">
      <c r="A3760" s="4">
        <v>3078</v>
      </c>
      <c r="B3760" s="4">
        <v>22085</v>
      </c>
      <c r="C3760" s="5">
        <f t="shared" ref="C3760:C3761" si="1553">DATE(2012,12,31)-297</f>
        <v>40977</v>
      </c>
      <c r="D3760" s="4" t="s">
        <v>21</v>
      </c>
      <c r="E3760" s="4">
        <v>41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2"/>
        <v>40979</v>
      </c>
    </row>
    <row r="3761" spans="1:21" ht="12" customHeight="1">
      <c r="A3761" s="4">
        <v>3079</v>
      </c>
      <c r="B3761" s="4">
        <v>22085</v>
      </c>
      <c r="C3761" s="5">
        <f t="shared" si="1553"/>
        <v>40977</v>
      </c>
      <c r="D3761" s="4" t="s">
        <v>21</v>
      </c>
      <c r="E3761" s="4">
        <v>27</v>
      </c>
      <c r="F3761" s="4">
        <v>485.03</v>
      </c>
      <c r="G3761" s="4">
        <v>7.0000000000000007E-2</v>
      </c>
      <c r="H3761" s="4" t="s">
        <v>22</v>
      </c>
      <c r="I3761" s="6">
        <v>-88.02</v>
      </c>
      <c r="J3761" s="4">
        <v>17.7</v>
      </c>
      <c r="K3761" s="4">
        <v>9.4700000000000006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spans="1:21" ht="12" customHeight="1">
      <c r="A3762" s="4">
        <v>3080</v>
      </c>
      <c r="B3762" s="4">
        <v>22086</v>
      </c>
      <c r="C3762" s="5">
        <f>DATE(2012,12,31)-382</f>
        <v>40892</v>
      </c>
      <c r="D3762" s="4" t="s">
        <v>63</v>
      </c>
      <c r="E3762" s="4">
        <v>21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74.349999999999994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0.56999999999999995</v>
      </c>
      <c r="U3762" s="5">
        <f>C3762+1</f>
        <v>40893</v>
      </c>
    </row>
    <row r="3763" spans="1:21" ht="12" customHeight="1">
      <c r="A3763" s="4">
        <v>3107</v>
      </c>
      <c r="B3763" s="4">
        <v>22304</v>
      </c>
      <c r="C3763" s="5">
        <f>DATE(2012,12,31)-402</f>
        <v>40872</v>
      </c>
      <c r="D3763" s="4" t="s">
        <v>21</v>
      </c>
      <c r="E3763" s="4">
        <v>24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0.56000000000000005</v>
      </c>
      <c r="U3763" s="5">
        <f>C3763+4</f>
        <v>40876</v>
      </c>
    </row>
    <row r="3764" spans="1:21" ht="12" customHeight="1">
      <c r="A3764" s="4">
        <v>3209</v>
      </c>
      <c r="B3764" s="4">
        <v>23041</v>
      </c>
      <c r="C3764" s="5">
        <f t="shared" ref="C3764:C3766" si="1554">DATE(2012,12,31)-895</f>
        <v>40379</v>
      </c>
      <c r="D3764" s="4" t="s">
        <v>21</v>
      </c>
      <c r="E3764" s="4">
        <v>21</v>
      </c>
      <c r="F3764" s="4">
        <v>173.7</v>
      </c>
      <c r="G3764" s="4">
        <v>0.02</v>
      </c>
      <c r="H3764" s="4" t="s">
        <v>22</v>
      </c>
      <c r="I3764" s="6">
        <v>-31.590499999999999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spans="1:21" ht="12" customHeight="1">
      <c r="A3765" s="4">
        <v>3210</v>
      </c>
      <c r="B3765" s="4">
        <v>23041</v>
      </c>
      <c r="C3765" s="5">
        <f t="shared" si="1554"/>
        <v>40379</v>
      </c>
      <c r="D3765" s="4" t="s">
        <v>21</v>
      </c>
      <c r="E3765" s="4">
        <v>5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19.989999999999998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spans="1:21" ht="12" customHeight="1">
      <c r="A3766" s="4">
        <v>3211</v>
      </c>
      <c r="B3766" s="4">
        <v>23041</v>
      </c>
      <c r="C3766" s="5">
        <f t="shared" si="1554"/>
        <v>40379</v>
      </c>
      <c r="D3766" s="4" t="s">
        <v>21</v>
      </c>
      <c r="E3766" s="4">
        <v>10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spans="1:21" ht="12" customHeight="1">
      <c r="A3767" s="4">
        <v>3239</v>
      </c>
      <c r="B3767" s="4">
        <v>23232</v>
      </c>
      <c r="C3767" s="5">
        <f t="shared" ref="C3767:C3769" si="1555">DATE(2012,12,31)-990</f>
        <v>40284</v>
      </c>
      <c r="D3767" s="4" t="s">
        <v>30</v>
      </c>
      <c r="E3767" s="4">
        <v>15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39.979999999999997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6">C3767+1</f>
        <v>40285</v>
      </c>
    </row>
    <row r="3768" spans="1:21" ht="12" customHeight="1">
      <c r="A3768" s="4">
        <v>3240</v>
      </c>
      <c r="B3768" s="4">
        <v>23232</v>
      </c>
      <c r="C3768" s="5">
        <f t="shared" si="1555"/>
        <v>40284</v>
      </c>
      <c r="D3768" s="4" t="s">
        <v>30</v>
      </c>
      <c r="E3768" s="4">
        <v>31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4.9800000000000004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6"/>
        <v>40285</v>
      </c>
    </row>
    <row r="3769" spans="1:21" ht="12" customHeight="1">
      <c r="A3769" s="4">
        <v>3241</v>
      </c>
      <c r="B3769" s="4">
        <v>23232</v>
      </c>
      <c r="C3769" s="5">
        <f t="shared" si="1555"/>
        <v>40284</v>
      </c>
      <c r="D3769" s="4" t="s">
        <v>30</v>
      </c>
      <c r="E3769" s="4">
        <v>20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spans="1:21" ht="12" customHeight="1">
      <c r="A3770" s="4">
        <v>3248</v>
      </c>
      <c r="B3770" s="4">
        <v>23270</v>
      </c>
      <c r="C3770" s="5">
        <f t="shared" ref="C3770:C3771" si="1557">DATE(2012,12,31)-659</f>
        <v>40615</v>
      </c>
      <c r="D3770" s="4" t="s">
        <v>21</v>
      </c>
      <c r="E3770" s="4">
        <v>20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spans="1:21" ht="12" customHeight="1">
      <c r="A3771" s="4">
        <v>3249</v>
      </c>
      <c r="B3771" s="4">
        <v>23270</v>
      </c>
      <c r="C3771" s="5">
        <f t="shared" si="1557"/>
        <v>40615</v>
      </c>
      <c r="D3771" s="4" t="s">
        <v>21</v>
      </c>
      <c r="E3771" s="4">
        <v>42</v>
      </c>
      <c r="F3771" s="4">
        <v>6659.7415000000001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spans="1:21" ht="12" customHeight="1">
      <c r="A3772" s="4">
        <v>3305</v>
      </c>
      <c r="B3772" s="4">
        <v>23618</v>
      </c>
      <c r="C3772" s="5">
        <f>DATE(2012,12,31)-34</f>
        <v>41240</v>
      </c>
      <c r="D3772" s="4" t="s">
        <v>63</v>
      </c>
      <c r="E3772" s="4">
        <v>45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65.989999999999995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0.56000000000000005</v>
      </c>
      <c r="U3772" s="5">
        <f t="shared" ref="U3772:U3778" si="1558">C3772+2</f>
        <v>41242</v>
      </c>
    </row>
    <row r="3773" spans="1:21" ht="12" customHeight="1">
      <c r="A3773" s="4">
        <v>3358</v>
      </c>
      <c r="B3773" s="4">
        <v>24033</v>
      </c>
      <c r="C3773" s="5">
        <f>DATE(2012,12,31)-729</f>
        <v>40545</v>
      </c>
      <c r="D3773" s="4" t="s">
        <v>30</v>
      </c>
      <c r="E3773" s="4">
        <v>50</v>
      </c>
      <c r="F3773" s="4">
        <v>1227.18</v>
      </c>
      <c r="G3773" s="4">
        <v>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8"/>
        <v>40547</v>
      </c>
    </row>
    <row r="3774" spans="1:21" ht="12" customHeight="1">
      <c r="A3774" s="4">
        <v>3363</v>
      </c>
      <c r="B3774" s="4">
        <v>24066</v>
      </c>
      <c r="C3774" s="5">
        <f>DATE(2012,12,31)-262</f>
        <v>41012</v>
      </c>
      <c r="D3774" s="4" t="s">
        <v>30</v>
      </c>
      <c r="E3774" s="4">
        <v>30</v>
      </c>
      <c r="F3774" s="4">
        <v>4278.6099999999997</v>
      </c>
      <c r="G3774" s="4">
        <v>7.0000000000000007E-2</v>
      </c>
      <c r="H3774" s="4" t="s">
        <v>31</v>
      </c>
      <c r="I3774" s="6">
        <v>-955.56</v>
      </c>
      <c r="J3774" s="4">
        <v>150.97999999999999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8"/>
        <v>41014</v>
      </c>
    </row>
    <row r="3775" spans="1:21" ht="12" customHeight="1">
      <c r="A3775" s="4">
        <v>3412</v>
      </c>
      <c r="B3775" s="4">
        <v>24384</v>
      </c>
      <c r="C3775" s="5">
        <f t="shared" ref="C3775:C3777" si="1559">DATE(2012,12,31)-646</f>
        <v>40628</v>
      </c>
      <c r="D3775" s="4" t="s">
        <v>63</v>
      </c>
      <c r="E3775" s="4">
        <v>44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8"/>
        <v>40630</v>
      </c>
    </row>
    <row r="3776" spans="1:21" ht="12" customHeight="1">
      <c r="A3776" s="4">
        <v>3413</v>
      </c>
      <c r="B3776" s="4">
        <v>24384</v>
      </c>
      <c r="C3776" s="5">
        <f t="shared" si="1559"/>
        <v>40628</v>
      </c>
      <c r="D3776" s="4" t="s">
        <v>63</v>
      </c>
      <c r="E3776" s="4">
        <v>21</v>
      </c>
      <c r="F3776" s="4">
        <v>3981.23</v>
      </c>
      <c r="G3776" s="4">
        <v>7.0000000000000007E-2</v>
      </c>
      <c r="H3776" s="4" t="s">
        <v>22</v>
      </c>
      <c r="I3776" s="6">
        <v>294.94</v>
      </c>
      <c r="J3776" s="4">
        <v>193.17</v>
      </c>
      <c r="K3776" s="4">
        <v>19.989999999999998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8"/>
        <v>40630</v>
      </c>
    </row>
    <row r="3777" spans="1:21" ht="12" customHeight="1">
      <c r="A3777" s="4">
        <v>3414</v>
      </c>
      <c r="B3777" s="4">
        <v>24384</v>
      </c>
      <c r="C3777" s="5">
        <f t="shared" si="1559"/>
        <v>40628</v>
      </c>
      <c r="D3777" s="4" t="s">
        <v>63</v>
      </c>
      <c r="E3777" s="4">
        <v>20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0.57999999999999996</v>
      </c>
      <c r="U3777" s="5">
        <f t="shared" si="1558"/>
        <v>40630</v>
      </c>
    </row>
    <row r="3778" spans="1:21" ht="12" customHeight="1">
      <c r="A3778" s="4">
        <v>3424</v>
      </c>
      <c r="B3778" s="4">
        <v>24448</v>
      </c>
      <c r="C3778" s="5">
        <f>DATE(2012,12,31)-329</f>
        <v>40945</v>
      </c>
      <c r="D3778" s="4" t="s">
        <v>30</v>
      </c>
      <c r="E3778" s="4">
        <v>46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8"/>
        <v>40947</v>
      </c>
    </row>
    <row r="3779" spans="1:21" ht="12" customHeight="1">
      <c r="A3779" s="4">
        <v>3489</v>
      </c>
      <c r="B3779" s="4">
        <v>24865</v>
      </c>
      <c r="C3779" s="5">
        <f>DATE(2012,12,31)-287</f>
        <v>40987</v>
      </c>
      <c r="D3779" s="4" t="s">
        <v>30</v>
      </c>
      <c r="E3779" s="4">
        <v>46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spans="1:21" ht="12" customHeight="1">
      <c r="A3780" s="4">
        <v>3495</v>
      </c>
      <c r="B3780" s="4">
        <v>24902</v>
      </c>
      <c r="C3780" s="5">
        <f>DATE(2012,12,31)-950</f>
        <v>40324</v>
      </c>
      <c r="D3780" s="4" t="s">
        <v>30</v>
      </c>
      <c r="E3780" s="4">
        <v>43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0">C3780+2</f>
        <v>40326</v>
      </c>
    </row>
    <row r="3781" spans="1:21" ht="12" customHeight="1">
      <c r="A3781" s="4">
        <v>3555</v>
      </c>
      <c r="B3781" s="4">
        <v>25348</v>
      </c>
      <c r="C3781" s="5">
        <f t="shared" ref="C3781:C3782" si="1561">DATE(2012,12,31)-236</f>
        <v>41038</v>
      </c>
      <c r="D3781" s="4" t="s">
        <v>78</v>
      </c>
      <c r="E3781" s="4">
        <v>6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0.56000000000000005</v>
      </c>
      <c r="U3781" s="5">
        <f t="shared" si="1560"/>
        <v>41040</v>
      </c>
    </row>
    <row r="3782" spans="1:21" ht="12" customHeight="1">
      <c r="A3782" s="4">
        <v>3556</v>
      </c>
      <c r="B3782" s="4">
        <v>25348</v>
      </c>
      <c r="C3782" s="5">
        <f t="shared" si="1561"/>
        <v>41038</v>
      </c>
      <c r="D3782" s="4" t="s">
        <v>78</v>
      </c>
      <c r="E3782" s="4">
        <v>7</v>
      </c>
      <c r="F3782" s="4">
        <v>309.22149999999999</v>
      </c>
      <c r="G3782" s="4">
        <v>0.09</v>
      </c>
      <c r="H3782" s="4" t="s">
        <v>22</v>
      </c>
      <c r="I3782" s="6">
        <v>-68.299000000000007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0"/>
        <v>41040</v>
      </c>
    </row>
    <row r="3783" spans="1:21" ht="12" customHeight="1">
      <c r="A3783" s="4">
        <v>3557</v>
      </c>
      <c r="B3783" s="4">
        <v>25350</v>
      </c>
      <c r="C3783" s="5">
        <f t="shared" ref="C3783:C3784" si="1562">DATE(2012,12,31)-759</f>
        <v>40515</v>
      </c>
      <c r="D3783" s="4" t="s">
        <v>45</v>
      </c>
      <c r="E3783" s="4">
        <v>30</v>
      </c>
      <c r="F3783" s="4">
        <v>2477.9899999999998</v>
      </c>
      <c r="G3783" s="4">
        <v>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0"/>
        <v>40517</v>
      </c>
    </row>
    <row r="3784" spans="1:21" ht="12" customHeight="1">
      <c r="A3784" s="4">
        <v>3558</v>
      </c>
      <c r="B3784" s="4">
        <v>25350</v>
      </c>
      <c r="C3784" s="5">
        <f t="shared" si="1562"/>
        <v>40515</v>
      </c>
      <c r="D3784" s="4" t="s">
        <v>45</v>
      </c>
      <c r="E3784" s="4">
        <v>23</v>
      </c>
      <c r="F3784" s="4">
        <v>48.83</v>
      </c>
      <c r="G3784" s="4">
        <v>0.06</v>
      </c>
      <c r="H3784" s="4" t="s">
        <v>22</v>
      </c>
      <c r="I3784" s="6">
        <v>1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0.56999999999999995</v>
      </c>
      <c r="U3784" s="5">
        <f t="shared" si="1560"/>
        <v>40517</v>
      </c>
    </row>
    <row r="3785" spans="1:21" ht="12" customHeight="1">
      <c r="A3785" s="4">
        <v>3615</v>
      </c>
      <c r="B3785" s="4">
        <v>25828</v>
      </c>
      <c r="C3785" s="5">
        <f>DATE(2012,12,31)-769</f>
        <v>40505</v>
      </c>
      <c r="D3785" s="4" t="s">
        <v>45</v>
      </c>
      <c r="E3785" s="4">
        <v>35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0.57999999999999996</v>
      </c>
      <c r="U3785" s="5">
        <f t="shared" si="1560"/>
        <v>40507</v>
      </c>
    </row>
    <row r="3786" spans="1:21" ht="12" customHeight="1">
      <c r="A3786" s="4">
        <v>3656</v>
      </c>
      <c r="B3786" s="4">
        <v>26176</v>
      </c>
      <c r="C3786" s="5">
        <f t="shared" ref="C3786:C3787" si="1563">DATE(2012,12,31)-408</f>
        <v>40866</v>
      </c>
      <c r="D3786" s="4" t="s">
        <v>30</v>
      </c>
      <c r="E3786" s="4">
        <v>14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0"/>
        <v>40868</v>
      </c>
    </row>
    <row r="3787" spans="1:21" ht="12" customHeight="1">
      <c r="A3787" s="4">
        <v>3657</v>
      </c>
      <c r="B3787" s="4">
        <v>26176</v>
      </c>
      <c r="C3787" s="5">
        <f t="shared" si="1563"/>
        <v>40866</v>
      </c>
      <c r="D3787" s="4" t="s">
        <v>30</v>
      </c>
      <c r="E3787" s="4">
        <v>30</v>
      </c>
      <c r="F3787" s="4">
        <v>554.42949999999996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4.8099999999999996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0.57999999999999996</v>
      </c>
      <c r="U3787" s="5">
        <f>C3787+1</f>
        <v>40867</v>
      </c>
    </row>
    <row r="3788" spans="1:21" ht="12" customHeight="1">
      <c r="A3788" s="4">
        <v>3712</v>
      </c>
      <c r="B3788" s="4">
        <v>26503</v>
      </c>
      <c r="C3788" s="5">
        <f t="shared" ref="C3788:C3789" si="1564">DATE(2012,12,31)-620</f>
        <v>40654</v>
      </c>
      <c r="D3788" s="4" t="s">
        <v>63</v>
      </c>
      <c r="E3788" s="4">
        <v>47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spans="1:21" ht="12" customHeight="1">
      <c r="A3789" s="4">
        <v>3713</v>
      </c>
      <c r="B3789" s="4">
        <v>26503</v>
      </c>
      <c r="C3789" s="5">
        <f t="shared" si="1564"/>
        <v>40654</v>
      </c>
      <c r="D3789" s="4" t="s">
        <v>63</v>
      </c>
      <c r="E3789" s="4">
        <v>12</v>
      </c>
      <c r="F3789" s="4">
        <v>262.08999999999997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spans="1:21" ht="12" customHeight="1">
      <c r="A3790" s="4">
        <v>3728</v>
      </c>
      <c r="B3790" s="4">
        <v>26657</v>
      </c>
      <c r="C3790" s="5">
        <f>DATE(2012,12,31)-93</f>
        <v>41181</v>
      </c>
      <c r="D3790" s="4" t="s">
        <v>63</v>
      </c>
      <c r="E3790" s="4">
        <v>28</v>
      </c>
      <c r="F3790" s="4">
        <v>1107.6400000000001</v>
      </c>
      <c r="G3790" s="4">
        <v>0.06</v>
      </c>
      <c r="H3790" s="4" t="s">
        <v>22</v>
      </c>
      <c r="I3790" s="6">
        <v>333.17450000000002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5">C3790+2</f>
        <v>41183</v>
      </c>
    </row>
    <row r="3791" spans="1:21" ht="12" customHeight="1">
      <c r="A3791" s="4">
        <v>3752</v>
      </c>
      <c r="B3791" s="4">
        <v>26787</v>
      </c>
      <c r="C3791" s="5">
        <f>DATE(2012,12,31)-469</f>
        <v>40805</v>
      </c>
      <c r="D3791" s="4" t="s">
        <v>30</v>
      </c>
      <c r="E3791" s="4">
        <v>25</v>
      </c>
      <c r="F3791" s="4">
        <v>1119.9100000000001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5"/>
        <v>40807</v>
      </c>
    </row>
    <row r="3792" spans="1:21" ht="12" customHeight="1">
      <c r="A3792" s="4">
        <v>3769</v>
      </c>
      <c r="B3792" s="4">
        <v>26919</v>
      </c>
      <c r="C3792" s="5">
        <f t="shared" ref="C3792:C3793" si="1566">DATE(2012,12,31)-21</f>
        <v>41253</v>
      </c>
      <c r="D3792" s="4" t="s">
        <v>21</v>
      </c>
      <c r="E3792" s="4">
        <v>12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300.64999999999998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5"/>
        <v>41255</v>
      </c>
    </row>
    <row r="3793" spans="1:21" ht="12" customHeight="1">
      <c r="A3793" s="4">
        <v>3770</v>
      </c>
      <c r="B3793" s="4">
        <v>26919</v>
      </c>
      <c r="C3793" s="5">
        <f t="shared" si="1566"/>
        <v>41253</v>
      </c>
      <c r="D3793" s="4" t="s">
        <v>21</v>
      </c>
      <c r="E3793" s="4">
        <v>32</v>
      </c>
      <c r="F3793" s="4">
        <v>155.27000000000001</v>
      </c>
      <c r="G3793" s="4">
        <v>0.1</v>
      </c>
      <c r="H3793" s="4" t="s">
        <v>22</v>
      </c>
      <c r="I3793" s="6">
        <v>-151.55000000000001</v>
      </c>
      <c r="J3793" s="4">
        <v>4.9800000000000004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5"/>
        <v>41255</v>
      </c>
    </row>
    <row r="3794" spans="1:21" ht="12" customHeight="1">
      <c r="A3794" s="4">
        <v>3839</v>
      </c>
      <c r="B3794" s="4">
        <v>27364</v>
      </c>
      <c r="C3794" s="5">
        <f t="shared" ref="C3794:C3795" si="1567">DATE(2012,12,31)-591</f>
        <v>40683</v>
      </c>
      <c r="D3794" s="4" t="s">
        <v>63</v>
      </c>
      <c r="E3794" s="4">
        <v>25</v>
      </c>
      <c r="F3794" s="4">
        <v>74.069999999999993</v>
      </c>
      <c r="G3794" s="4">
        <v>0.04</v>
      </c>
      <c r="H3794" s="4" t="s">
        <v>22</v>
      </c>
      <c r="I3794" s="6">
        <v>4.3689999999999998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5"/>
        <v>40685</v>
      </c>
    </row>
    <row r="3795" spans="1:21" ht="12" customHeight="1">
      <c r="A3795" s="4">
        <v>3840</v>
      </c>
      <c r="B3795" s="4">
        <v>27364</v>
      </c>
      <c r="C3795" s="5">
        <f t="shared" si="1567"/>
        <v>40683</v>
      </c>
      <c r="D3795" s="4" t="s">
        <v>63</v>
      </c>
      <c r="E3795" s="4">
        <v>29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65.989999999999995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5"/>
        <v>40685</v>
      </c>
    </row>
    <row r="3796" spans="1:21" ht="12" customHeight="1">
      <c r="A3796" s="4">
        <v>3881</v>
      </c>
      <c r="B3796" s="4">
        <v>27717</v>
      </c>
      <c r="C3796" s="5">
        <f>DATE(2012,12,31)-432</f>
        <v>40842</v>
      </c>
      <c r="D3796" s="4" t="s">
        <v>78</v>
      </c>
      <c r="E3796" s="4">
        <v>19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spans="1:21" ht="12" customHeight="1">
      <c r="A3797" s="4">
        <v>3890</v>
      </c>
      <c r="B3797" s="4">
        <v>27778</v>
      </c>
      <c r="C3797" s="5">
        <f>DATE(2012,12,31)-486</f>
        <v>40788</v>
      </c>
      <c r="D3797" s="4" t="s">
        <v>78</v>
      </c>
      <c r="E3797" s="4">
        <v>10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8">C3797+2</f>
        <v>40790</v>
      </c>
    </row>
    <row r="3798" spans="1:21" ht="12" customHeight="1">
      <c r="A3798" s="4">
        <v>3916</v>
      </c>
      <c r="B3798" s="4">
        <v>27936</v>
      </c>
      <c r="C3798" s="5">
        <f>DATE(2012,12,31)-543</f>
        <v>40731</v>
      </c>
      <c r="D3798" s="4" t="s">
        <v>30</v>
      </c>
      <c r="E3798" s="4">
        <v>23</v>
      </c>
      <c r="F3798" s="4">
        <v>1028.1600000000001</v>
      </c>
      <c r="G3798" s="4">
        <v>7.0000000000000007E-2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8"/>
        <v>40733</v>
      </c>
    </row>
    <row r="3799" spans="1:21" ht="12" customHeight="1">
      <c r="A3799" s="4">
        <v>3957</v>
      </c>
      <c r="B3799" s="4">
        <v>28228</v>
      </c>
      <c r="C3799" s="5">
        <f>DATE(2012,12,31)-173</f>
        <v>41101</v>
      </c>
      <c r="D3799" s="4" t="s">
        <v>45</v>
      </c>
      <c r="E3799" s="4">
        <v>5</v>
      </c>
      <c r="F3799" s="4">
        <v>346.23</v>
      </c>
      <c r="G3799" s="4">
        <v>0</v>
      </c>
      <c r="H3799" s="4" t="s">
        <v>22</v>
      </c>
      <c r="I3799" s="6">
        <v>8.4600000000000009</v>
      </c>
      <c r="J3799" s="4">
        <v>60.98</v>
      </c>
      <c r="K3799" s="4">
        <v>19.989999999999998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69">C3799+1</f>
        <v>41102</v>
      </c>
    </row>
    <row r="3800" spans="1:21" ht="12" customHeight="1">
      <c r="A3800" s="4">
        <v>4023</v>
      </c>
      <c r="B3800" s="4">
        <v>28741</v>
      </c>
      <c r="C3800" s="5">
        <f t="shared" ref="C3800:C3801" si="1570">DATE(2012,12,31)-672</f>
        <v>40602</v>
      </c>
      <c r="D3800" s="4" t="s">
        <v>45</v>
      </c>
      <c r="E3800" s="4">
        <v>13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69"/>
        <v>40603</v>
      </c>
    </row>
    <row r="3801" spans="1:21" ht="12" customHeight="1">
      <c r="A3801" s="4">
        <v>4024</v>
      </c>
      <c r="B3801" s="4">
        <v>28741</v>
      </c>
      <c r="C3801" s="5">
        <f t="shared" si="1570"/>
        <v>40602</v>
      </c>
      <c r="D3801" s="4" t="s">
        <v>45</v>
      </c>
      <c r="E3801" s="4">
        <v>5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0.56999999999999995</v>
      </c>
      <c r="U3801" s="5">
        <f t="shared" si="1569"/>
        <v>40603</v>
      </c>
    </row>
    <row r="3802" spans="1:21" ht="12" customHeight="1">
      <c r="A3802" s="4">
        <v>4027</v>
      </c>
      <c r="B3802" s="4">
        <v>28769</v>
      </c>
      <c r="C3802" s="5">
        <f>DATE(2012,12,31)-856</f>
        <v>40418</v>
      </c>
      <c r="D3802" s="4" t="s">
        <v>21</v>
      </c>
      <c r="E3802" s="4">
        <v>6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spans="1:21" ht="12" customHeight="1">
      <c r="A3803" s="4">
        <v>4057</v>
      </c>
      <c r="B3803" s="4">
        <v>28928</v>
      </c>
      <c r="C3803" s="5">
        <f t="shared" ref="C3803:C3805" si="1571">DATE(2012,12,31)-976</f>
        <v>40298</v>
      </c>
      <c r="D3803" s="4" t="s">
        <v>21</v>
      </c>
      <c r="E3803" s="4">
        <v>3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0.56999999999999995</v>
      </c>
      <c r="U3803" s="5">
        <f>C3803+2</f>
        <v>40300</v>
      </c>
    </row>
    <row r="3804" spans="1:21" ht="12" customHeight="1">
      <c r="A3804" s="4">
        <v>4058</v>
      </c>
      <c r="B3804" s="4">
        <v>28928</v>
      </c>
      <c r="C3804" s="5">
        <f t="shared" si="1571"/>
        <v>40298</v>
      </c>
      <c r="D3804" s="4" t="s">
        <v>21</v>
      </c>
      <c r="E3804" s="4">
        <v>22</v>
      </c>
      <c r="F3804" s="4">
        <v>5144.9399999999996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spans="1:21" ht="12" customHeight="1">
      <c r="A3805" s="4">
        <v>4059</v>
      </c>
      <c r="B3805" s="4">
        <v>28928</v>
      </c>
      <c r="C3805" s="5">
        <f t="shared" si="1571"/>
        <v>40298</v>
      </c>
      <c r="D3805" s="4" t="s">
        <v>21</v>
      </c>
      <c r="E3805" s="4">
        <v>46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2">C3805+2</f>
        <v>40300</v>
      </c>
    </row>
    <row r="3806" spans="1:21" ht="12" customHeight="1">
      <c r="A3806" s="4">
        <v>4076</v>
      </c>
      <c r="B3806" s="4">
        <v>29058</v>
      </c>
      <c r="C3806" s="5">
        <f t="shared" ref="C3806:C3808" si="1573">DATE(2012,12,31)-1093</f>
        <v>40181</v>
      </c>
      <c r="D3806" s="4" t="s">
        <v>30</v>
      </c>
      <c r="E3806" s="4">
        <v>43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2"/>
        <v>40183</v>
      </c>
    </row>
    <row r="3807" spans="1:21" ht="12" customHeight="1">
      <c r="A3807" s="4">
        <v>4077</v>
      </c>
      <c r="B3807" s="4">
        <v>29058</v>
      </c>
      <c r="C3807" s="5">
        <f t="shared" si="1573"/>
        <v>40181</v>
      </c>
      <c r="D3807" s="4" t="s">
        <v>30</v>
      </c>
      <c r="E3807" s="4">
        <v>23</v>
      </c>
      <c r="F3807" s="4">
        <v>128.52000000000001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spans="1:21" ht="12" customHeight="1">
      <c r="A3808" s="4">
        <v>4078</v>
      </c>
      <c r="B3808" s="4">
        <v>29058</v>
      </c>
      <c r="C3808" s="5">
        <f t="shared" si="1573"/>
        <v>40181</v>
      </c>
      <c r="D3808" s="4" t="s">
        <v>30</v>
      </c>
      <c r="E3808" s="4">
        <v>41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8.7899999999999991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spans="1:21" ht="12" customHeight="1">
      <c r="A3809" s="4">
        <v>4099</v>
      </c>
      <c r="B3809" s="4">
        <v>29191</v>
      </c>
      <c r="C3809" s="5">
        <f>DATE(2012,12,31)-186</f>
        <v>41088</v>
      </c>
      <c r="D3809" s="4" t="s">
        <v>63</v>
      </c>
      <c r="E3809" s="4">
        <v>26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spans="1:21" ht="12" customHeight="1">
      <c r="A3810" s="4">
        <v>4109</v>
      </c>
      <c r="B3810" s="4">
        <v>29249</v>
      </c>
      <c r="C3810" s="5">
        <f t="shared" ref="C3810:C3811" si="1574">DATE(2012,12,31)-567</f>
        <v>40707</v>
      </c>
      <c r="D3810" s="4" t="s">
        <v>21</v>
      </c>
      <c r="E3810" s="4">
        <v>12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spans="1:21" ht="12" customHeight="1">
      <c r="A3811" s="4">
        <v>4110</v>
      </c>
      <c r="B3811" s="4">
        <v>29249</v>
      </c>
      <c r="C3811" s="5">
        <f t="shared" si="1574"/>
        <v>40707</v>
      </c>
      <c r="D3811" s="4" t="s">
        <v>21</v>
      </c>
      <c r="E3811" s="4">
        <v>47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spans="1:21" ht="12" customHeight="1">
      <c r="A3812" s="4">
        <v>4128</v>
      </c>
      <c r="B3812" s="4">
        <v>29347</v>
      </c>
      <c r="C3812" s="5">
        <f>DATE(2012,12,31)-141</f>
        <v>41133</v>
      </c>
      <c r="D3812" s="4" t="s">
        <v>63</v>
      </c>
      <c r="E3812" s="4">
        <v>50</v>
      </c>
      <c r="F3812" s="4">
        <v>2040.39</v>
      </c>
      <c r="G3812" s="4">
        <v>7.0000000000000007E-2</v>
      </c>
      <c r="H3812" s="4" t="s">
        <v>22</v>
      </c>
      <c r="I3812" s="6">
        <v>221.09</v>
      </c>
      <c r="J3812" s="4">
        <v>40.99</v>
      </c>
      <c r="K3812" s="4">
        <v>19.989999999999998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spans="1:21" ht="12" customHeight="1">
      <c r="A3813" s="4">
        <v>4156</v>
      </c>
      <c r="B3813" s="4">
        <v>29478</v>
      </c>
      <c r="C3813" s="5">
        <f>DATE(2012,12,31)-997</f>
        <v>40277</v>
      </c>
      <c r="D3813" s="4" t="s">
        <v>30</v>
      </c>
      <c r="E3813" s="4">
        <v>15</v>
      </c>
      <c r="F3813" s="4">
        <v>272.89249999999998</v>
      </c>
      <c r="G3813" s="4">
        <v>0.01</v>
      </c>
      <c r="H3813" s="4" t="s">
        <v>22</v>
      </c>
      <c r="I3813" s="6">
        <v>19.611000000000001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0.56999999999999995</v>
      </c>
      <c r="U3813" s="5">
        <f>C3813+3</f>
        <v>40280</v>
      </c>
    </row>
    <row r="3814" spans="1:21" ht="12" customHeight="1">
      <c r="A3814" s="4">
        <v>4222</v>
      </c>
      <c r="B3814" s="4">
        <v>29991</v>
      </c>
      <c r="C3814" s="5">
        <f>DATE(2012,12,31)-87</f>
        <v>41187</v>
      </c>
      <c r="D3814" s="4" t="s">
        <v>21</v>
      </c>
      <c r="E3814" s="4">
        <v>41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spans="1:21" ht="12" customHeight="1">
      <c r="A3815" s="4">
        <v>4330</v>
      </c>
      <c r="B3815" s="4">
        <v>30853</v>
      </c>
      <c r="C3815" s="5">
        <f>DATE(2012,12,31)-523</f>
        <v>40751</v>
      </c>
      <c r="D3815" s="4" t="s">
        <v>63</v>
      </c>
      <c r="E3815" s="4">
        <v>16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2.1800000000000002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spans="1:21" ht="12" customHeight="1">
      <c r="A3816" s="4">
        <v>4335</v>
      </c>
      <c r="B3816" s="4">
        <v>30886</v>
      </c>
      <c r="C3816" s="5">
        <f>DATE(2012,12,31)-233</f>
        <v>41041</v>
      </c>
      <c r="D3816" s="4" t="s">
        <v>21</v>
      </c>
      <c r="E3816" s="4">
        <v>28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19.989999999999998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spans="1:21" ht="12" customHeight="1">
      <c r="A3817" s="4">
        <v>4353</v>
      </c>
      <c r="B3817" s="4">
        <v>31042</v>
      </c>
      <c r="C3817" s="5">
        <f t="shared" ref="C3817:C3818" si="1575">DATE(2012,12,31)-42</f>
        <v>41232</v>
      </c>
      <c r="D3817" s="4" t="s">
        <v>63</v>
      </c>
      <c r="E3817" s="4">
        <v>26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6">C3817+1</f>
        <v>41233</v>
      </c>
    </row>
    <row r="3818" spans="1:21" ht="12" customHeight="1">
      <c r="A3818" s="4">
        <v>4354</v>
      </c>
      <c r="B3818" s="4">
        <v>31042</v>
      </c>
      <c r="C3818" s="5">
        <f t="shared" si="1575"/>
        <v>41232</v>
      </c>
      <c r="D3818" s="4" t="s">
        <v>63</v>
      </c>
      <c r="E3818" s="4">
        <v>48</v>
      </c>
      <c r="F3818" s="4">
        <v>134.52000000000001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0.57999999999999996</v>
      </c>
      <c r="U3818" s="5">
        <f t="shared" si="1576"/>
        <v>41233</v>
      </c>
    </row>
    <row r="3819" spans="1:21" ht="12" customHeight="1">
      <c r="A3819" s="4">
        <v>4426</v>
      </c>
      <c r="B3819" s="4">
        <v>31555</v>
      </c>
      <c r="C3819" s="5">
        <f t="shared" ref="C3819:C3820" si="1577">DATE(2012,12,31)-362</f>
        <v>40912</v>
      </c>
      <c r="D3819" s="4" t="s">
        <v>78</v>
      </c>
      <c r="E3819" s="4">
        <v>38</v>
      </c>
      <c r="F3819" s="4">
        <v>3531.75</v>
      </c>
      <c r="G3819" s="4">
        <v>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spans="1:21" ht="12" customHeight="1">
      <c r="A3820" s="4">
        <v>4427</v>
      </c>
      <c r="B3820" s="4">
        <v>31555</v>
      </c>
      <c r="C3820" s="5">
        <f t="shared" si="1577"/>
        <v>40912</v>
      </c>
      <c r="D3820" s="4" t="s">
        <v>78</v>
      </c>
      <c r="E3820" s="4">
        <v>5</v>
      </c>
      <c r="F3820" s="4">
        <v>500.5</v>
      </c>
      <c r="G3820" s="4">
        <v>0.02</v>
      </c>
      <c r="H3820" s="4" t="s">
        <v>31</v>
      </c>
      <c r="I3820" s="6">
        <v>-153.31139999999999</v>
      </c>
      <c r="J3820" s="4">
        <v>90.97</v>
      </c>
      <c r="K3820" s="4">
        <v>28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spans="1:21" ht="12" customHeight="1">
      <c r="A3821" s="4">
        <v>4454</v>
      </c>
      <c r="B3821" s="4">
        <v>31744</v>
      </c>
      <c r="C3821" s="5">
        <f>DATE(2012,12,31)-113</f>
        <v>41161</v>
      </c>
      <c r="D3821" s="4" t="s">
        <v>63</v>
      </c>
      <c r="E3821" s="4">
        <v>12</v>
      </c>
      <c r="F3821" s="4">
        <v>86.69</v>
      </c>
      <c r="G3821" s="4">
        <v>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8">C3821+1</f>
        <v>41162</v>
      </c>
    </row>
    <row r="3822" spans="1:21" ht="12" customHeight="1">
      <c r="A3822" s="4">
        <v>4465</v>
      </c>
      <c r="B3822" s="4">
        <v>31842</v>
      </c>
      <c r="C3822" s="5">
        <f>DATE(2012,12,31)-899</f>
        <v>40375</v>
      </c>
      <c r="D3822" s="4" t="s">
        <v>63</v>
      </c>
      <c r="E3822" s="4">
        <v>9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8"/>
        <v>40376</v>
      </c>
    </row>
    <row r="3823" spans="1:21" ht="12" customHeight="1">
      <c r="A3823" s="4">
        <v>4507</v>
      </c>
      <c r="B3823" s="4">
        <v>32069</v>
      </c>
      <c r="C3823" s="5">
        <f>DATE(2012,12,31)-408</f>
        <v>40866</v>
      </c>
      <c r="D3823" s="4" t="s">
        <v>45</v>
      </c>
      <c r="E3823" s="4">
        <v>17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spans="1:21" ht="12" customHeight="1">
      <c r="A3824" s="4">
        <v>4571</v>
      </c>
      <c r="B3824" s="4">
        <v>32519</v>
      </c>
      <c r="C3824" s="5">
        <f>DATE(2012,12,31)-815</f>
        <v>40459</v>
      </c>
      <c r="D3824" s="4" t="s">
        <v>21</v>
      </c>
      <c r="E3824" s="4">
        <v>8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spans="1:21" ht="12" customHeight="1">
      <c r="A3825" s="4">
        <v>4591</v>
      </c>
      <c r="B3825" s="4">
        <v>32647</v>
      </c>
      <c r="C3825" s="5">
        <f t="shared" ref="C3825:C3826" si="1579">DATE(2012,12,31)-409</f>
        <v>40865</v>
      </c>
      <c r="D3825" s="4" t="s">
        <v>30</v>
      </c>
      <c r="E3825" s="4">
        <v>32</v>
      </c>
      <c r="F3825" s="4">
        <v>671.75</v>
      </c>
      <c r="G3825" s="4">
        <v>7.0000000000000007E-2</v>
      </c>
      <c r="H3825" s="4" t="s">
        <v>22</v>
      </c>
      <c r="I3825" s="6">
        <v>-56.83</v>
      </c>
      <c r="J3825" s="4">
        <v>20.97</v>
      </c>
      <c r="K3825" s="4">
        <v>4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0">C3825+2</f>
        <v>40867</v>
      </c>
    </row>
    <row r="3826" spans="1:21" ht="12" customHeight="1">
      <c r="A3826" s="4">
        <v>4592</v>
      </c>
      <c r="B3826" s="4">
        <v>32647</v>
      </c>
      <c r="C3826" s="5">
        <f t="shared" si="1579"/>
        <v>40865</v>
      </c>
      <c r="D3826" s="4" t="s">
        <v>30</v>
      </c>
      <c r="E3826" s="4">
        <v>27</v>
      </c>
      <c r="F3826" s="4">
        <v>9541.0400000000009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0"/>
        <v>40867</v>
      </c>
    </row>
    <row r="3827" spans="1:21" ht="12" customHeight="1">
      <c r="A3827" s="4">
        <v>4632</v>
      </c>
      <c r="B3827" s="4">
        <v>32966</v>
      </c>
      <c r="C3827" s="5">
        <f t="shared" ref="C3827:C3828" si="1581">DATE(2012,12,31)-340</f>
        <v>40934</v>
      </c>
      <c r="D3827" s="4" t="s">
        <v>21</v>
      </c>
      <c r="E3827" s="4">
        <v>4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270.97000000000003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0.56000000000000005</v>
      </c>
      <c r="U3827" s="5">
        <f>C3827+7</f>
        <v>40941</v>
      </c>
    </row>
    <row r="3828" spans="1:21" ht="12" customHeight="1">
      <c r="A3828" s="4">
        <v>4633</v>
      </c>
      <c r="B3828" s="4">
        <v>32966</v>
      </c>
      <c r="C3828" s="5">
        <f t="shared" si="1581"/>
        <v>40934</v>
      </c>
      <c r="D3828" s="4" t="s">
        <v>21</v>
      </c>
      <c r="E3828" s="4">
        <v>43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spans="1:21" ht="12" customHeight="1">
      <c r="A3829" s="4">
        <v>4664</v>
      </c>
      <c r="B3829" s="4">
        <v>33218</v>
      </c>
      <c r="C3829" s="5">
        <f t="shared" ref="C3829:C3830" si="1582">DATE(2012,12,31)-1090</f>
        <v>40184</v>
      </c>
      <c r="D3829" s="4" t="s">
        <v>45</v>
      </c>
      <c r="E3829" s="4">
        <v>25</v>
      </c>
      <c r="F3829" s="4">
        <v>113.8</v>
      </c>
      <c r="G3829" s="4">
        <v>7.0000000000000007E-2</v>
      </c>
      <c r="H3829" s="4" t="s">
        <v>22</v>
      </c>
      <c r="I3829" s="6">
        <v>-84.076499999999996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spans="1:21" ht="12" customHeight="1">
      <c r="A3830" s="4">
        <v>4665</v>
      </c>
      <c r="B3830" s="4">
        <v>33218</v>
      </c>
      <c r="C3830" s="5">
        <f t="shared" si="1582"/>
        <v>40184</v>
      </c>
      <c r="D3830" s="4" t="s">
        <v>45</v>
      </c>
      <c r="E3830" s="4">
        <v>29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3">C3830+1</f>
        <v>40185</v>
      </c>
    </row>
    <row r="3831" spans="1:21" ht="12" customHeight="1">
      <c r="A3831" s="4">
        <v>4679</v>
      </c>
      <c r="B3831" s="4">
        <v>33285</v>
      </c>
      <c r="C3831" s="5">
        <f>DATE(2012,12,31)-347</f>
        <v>40927</v>
      </c>
      <c r="D3831" s="4" t="s">
        <v>30</v>
      </c>
      <c r="E3831" s="4">
        <v>5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0.56999999999999995</v>
      </c>
      <c r="U3831" s="5">
        <f t="shared" si="1583"/>
        <v>40928</v>
      </c>
    </row>
    <row r="3832" spans="1:21" ht="12" customHeight="1">
      <c r="A3832" s="4">
        <v>4701</v>
      </c>
      <c r="B3832" s="4">
        <v>33479</v>
      </c>
      <c r="C3832" s="5">
        <f>DATE(2012,12,31)-104</f>
        <v>41170</v>
      </c>
      <c r="D3832" s="4" t="s">
        <v>78</v>
      </c>
      <c r="E3832" s="4">
        <v>24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5.1100000000000003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4">C3832+2</f>
        <v>41172</v>
      </c>
    </row>
    <row r="3833" spans="1:21" ht="12" customHeight="1">
      <c r="A3833" s="4">
        <v>4706</v>
      </c>
      <c r="B3833" s="4">
        <v>33537</v>
      </c>
      <c r="C3833" s="5">
        <f t="shared" ref="C3833:C3834" si="1585">DATE(2012,12,31)-871</f>
        <v>40403</v>
      </c>
      <c r="D3833" s="4" t="s">
        <v>63</v>
      </c>
      <c r="E3833" s="4">
        <v>26</v>
      </c>
      <c r="F3833" s="4">
        <v>45.38</v>
      </c>
      <c r="G3833" s="4">
        <v>7.0000000000000007E-2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0.56000000000000005</v>
      </c>
      <c r="U3833" s="5">
        <f t="shared" si="1584"/>
        <v>40405</v>
      </c>
    </row>
    <row r="3834" spans="1:21" ht="12" customHeight="1">
      <c r="A3834" s="4">
        <v>4707</v>
      </c>
      <c r="B3834" s="4">
        <v>33537</v>
      </c>
      <c r="C3834" s="5">
        <f t="shared" si="1585"/>
        <v>40403</v>
      </c>
      <c r="D3834" s="4" t="s">
        <v>63</v>
      </c>
      <c r="E3834" s="4">
        <v>9</v>
      </c>
      <c r="F3834" s="4">
        <v>163.31049999999999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spans="1:21" ht="12" customHeight="1">
      <c r="A3835" s="4">
        <v>4716</v>
      </c>
      <c r="B3835" s="4">
        <v>33571</v>
      </c>
      <c r="C3835" s="5">
        <f>DATE(2012,12,31)-447</f>
        <v>40827</v>
      </c>
      <c r="D3835" s="4" t="s">
        <v>63</v>
      </c>
      <c r="E3835" s="4">
        <v>1</v>
      </c>
      <c r="F3835" s="4">
        <v>7.15</v>
      </c>
      <c r="G3835" s="4">
        <v>0.03</v>
      </c>
      <c r="H3835" s="4" t="s">
        <v>22</v>
      </c>
      <c r="I3835" s="6">
        <v>-2.5499999999999998</v>
      </c>
      <c r="J3835" s="4">
        <v>5.08</v>
      </c>
      <c r="K3835" s="4">
        <v>2.0299999999999998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spans="1:21" ht="12" customHeight="1">
      <c r="A3836" s="4">
        <v>4726</v>
      </c>
      <c r="B3836" s="4">
        <v>33637</v>
      </c>
      <c r="C3836" s="5">
        <f>DATE(2012,12,31)-37</f>
        <v>41237</v>
      </c>
      <c r="D3836" s="4" t="s">
        <v>21</v>
      </c>
      <c r="E3836" s="4">
        <v>35</v>
      </c>
      <c r="F3836" s="4">
        <v>192.21</v>
      </c>
      <c r="G3836" s="4">
        <v>7.0000000000000007E-2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6">C3836+2</f>
        <v>41239</v>
      </c>
    </row>
    <row r="3837" spans="1:21" ht="12" customHeight="1">
      <c r="A3837" s="4">
        <v>4729</v>
      </c>
      <c r="B3837" s="4">
        <v>33670</v>
      </c>
      <c r="C3837" s="5">
        <f t="shared" ref="C3837:C3838" si="1587">DATE(2012,12,31)-248</f>
        <v>41026</v>
      </c>
      <c r="D3837" s="4" t="s">
        <v>30</v>
      </c>
      <c r="E3837" s="4">
        <v>50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0.55000000000000004</v>
      </c>
      <c r="U3837" s="5">
        <f t="shared" si="1586"/>
        <v>41028</v>
      </c>
    </row>
    <row r="3838" spans="1:21" ht="12" customHeight="1">
      <c r="A3838" s="4">
        <v>4730</v>
      </c>
      <c r="B3838" s="4">
        <v>33670</v>
      </c>
      <c r="C3838" s="5">
        <f t="shared" si="1587"/>
        <v>41026</v>
      </c>
      <c r="D3838" s="4" t="s">
        <v>30</v>
      </c>
      <c r="E3838" s="4">
        <v>4</v>
      </c>
      <c r="F3838" s="4">
        <v>17.329999999999998</v>
      </c>
      <c r="G3838" s="4">
        <v>0.06</v>
      </c>
      <c r="H3838" s="4" t="s">
        <v>22</v>
      </c>
      <c r="I3838" s="6">
        <v>-16.579999999999998</v>
      </c>
      <c r="J3838" s="4">
        <v>3.28</v>
      </c>
      <c r="K3838" s="4">
        <v>5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0.56000000000000005</v>
      </c>
      <c r="U3838" s="5">
        <f>C3838+1</f>
        <v>41027</v>
      </c>
    </row>
    <row r="3839" spans="1:21" ht="12" customHeight="1">
      <c r="A3839" s="4">
        <v>4753</v>
      </c>
      <c r="B3839" s="4">
        <v>33794</v>
      </c>
      <c r="C3839" s="5">
        <f>DATE(2012,12,31)-678</f>
        <v>40596</v>
      </c>
      <c r="D3839" s="4" t="s">
        <v>78</v>
      </c>
      <c r="E3839" s="4">
        <v>18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spans="1:21" ht="12" customHeight="1">
      <c r="A3840" s="4">
        <v>4761</v>
      </c>
      <c r="B3840" s="4">
        <v>33857</v>
      </c>
      <c r="C3840" s="5">
        <f>DATE(2012,12,31)-977</f>
        <v>40297</v>
      </c>
      <c r="D3840" s="4" t="s">
        <v>78</v>
      </c>
      <c r="E3840" s="4">
        <v>18</v>
      </c>
      <c r="F3840" s="4">
        <v>130.16</v>
      </c>
      <c r="G3840" s="4">
        <v>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spans="1:21" ht="12" customHeight="1">
      <c r="A3841" s="4">
        <v>4833</v>
      </c>
      <c r="B3841" s="4">
        <v>34400</v>
      </c>
      <c r="C3841" s="5">
        <f t="shared" ref="C3841:C3842" si="1588">DATE(2012,12,31)-7</f>
        <v>41267</v>
      </c>
      <c r="D3841" s="4" t="s">
        <v>21</v>
      </c>
      <c r="E3841" s="4">
        <v>25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spans="1:21" ht="12" customHeight="1">
      <c r="A3842" s="4">
        <v>4834</v>
      </c>
      <c r="B3842" s="4">
        <v>34400</v>
      </c>
      <c r="C3842" s="5">
        <f t="shared" si="1588"/>
        <v>41267</v>
      </c>
      <c r="D3842" s="4" t="s">
        <v>21</v>
      </c>
      <c r="E3842" s="4">
        <v>17</v>
      </c>
      <c r="F3842" s="4">
        <v>988.6434999999999</v>
      </c>
      <c r="G3842" s="4">
        <v>0.04</v>
      </c>
      <c r="H3842" s="4" t="s">
        <v>22</v>
      </c>
      <c r="I3842" s="6">
        <v>89.891999999999996</v>
      </c>
      <c r="J3842" s="4">
        <v>65.989999999999995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spans="1:21" ht="12" customHeight="1">
      <c r="A3843" s="4">
        <v>4838</v>
      </c>
      <c r="B3843" s="4">
        <v>34407</v>
      </c>
      <c r="C3843" s="5">
        <f>DATE(2012,12,31)-884</f>
        <v>40390</v>
      </c>
      <c r="D3843" s="4" t="s">
        <v>21</v>
      </c>
      <c r="E3843" s="4">
        <v>41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spans="1:21" ht="12" customHeight="1">
      <c r="A3844" s="4">
        <v>4925</v>
      </c>
      <c r="B3844" s="4">
        <v>35045</v>
      </c>
      <c r="C3844" s="5">
        <f>DATE(2012,12,31)-273</f>
        <v>41001</v>
      </c>
      <c r="D3844" s="4" t="s">
        <v>63</v>
      </c>
      <c r="E3844" s="4">
        <v>44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spans="1:21" ht="12" customHeight="1">
      <c r="A3845" s="4">
        <v>4954</v>
      </c>
      <c r="B3845" s="4">
        <v>35265</v>
      </c>
      <c r="C3845" s="5">
        <f t="shared" ref="C3845:C3847" si="1589">DATE(2012,12,31)-763</f>
        <v>40511</v>
      </c>
      <c r="D3845" s="4" t="s">
        <v>45</v>
      </c>
      <c r="E3845" s="4">
        <v>4</v>
      </c>
      <c r="F3845" s="4">
        <v>125.78</v>
      </c>
      <c r="G3845" s="4">
        <v>0.02</v>
      </c>
      <c r="H3845" s="4" t="s">
        <v>22</v>
      </c>
      <c r="I3845" s="6">
        <v>8.4320000000000039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0">C3845+1</f>
        <v>40512</v>
      </c>
    </row>
    <row r="3846" spans="1:21" ht="12" customHeight="1">
      <c r="A3846" s="4">
        <v>4955</v>
      </c>
      <c r="B3846" s="4">
        <v>35265</v>
      </c>
      <c r="C3846" s="5">
        <f t="shared" si="1589"/>
        <v>40511</v>
      </c>
      <c r="D3846" s="4" t="s">
        <v>45</v>
      </c>
      <c r="E3846" s="4">
        <v>16</v>
      </c>
      <c r="F3846" s="4">
        <v>577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19.190000000000001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0.57999999999999996</v>
      </c>
      <c r="U3846" s="5">
        <f t="shared" si="1590"/>
        <v>40512</v>
      </c>
    </row>
    <row r="3847" spans="1:21" ht="12" customHeight="1">
      <c r="A3847" s="4">
        <v>4956</v>
      </c>
      <c r="B3847" s="4">
        <v>35265</v>
      </c>
      <c r="C3847" s="5">
        <f t="shared" si="1589"/>
        <v>40511</v>
      </c>
      <c r="D3847" s="4" t="s">
        <v>45</v>
      </c>
      <c r="E3847" s="4">
        <v>2</v>
      </c>
      <c r="F3847" s="4">
        <v>24.53</v>
      </c>
      <c r="G3847" s="4">
        <v>0.04</v>
      </c>
      <c r="H3847" s="4" t="s">
        <v>22</v>
      </c>
      <c r="I3847" s="6">
        <v>-28.144500000000001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spans="1:21" ht="12" customHeight="1">
      <c r="A3848" s="4">
        <v>5000</v>
      </c>
      <c r="B3848" s="4">
        <v>35590</v>
      </c>
      <c r="C3848" s="5">
        <f>DATE(2012,12,31)-29</f>
        <v>41245</v>
      </c>
      <c r="D3848" s="4" t="s">
        <v>78</v>
      </c>
      <c r="E3848" s="4">
        <v>4</v>
      </c>
      <c r="F3848" s="4">
        <v>423.95</v>
      </c>
      <c r="G3848" s="4">
        <v>0</v>
      </c>
      <c r="H3848" s="4" t="s">
        <v>22</v>
      </c>
      <c r="I3848" s="6">
        <v>-263.95</v>
      </c>
      <c r="J3848" s="4">
        <v>99.99</v>
      </c>
      <c r="K3848" s="4">
        <v>19.989999999999998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1">C3848+1</f>
        <v>41246</v>
      </c>
    </row>
    <row r="3849" spans="1:21" ht="12" customHeight="1">
      <c r="A3849" s="4">
        <v>5006</v>
      </c>
      <c r="B3849" s="4">
        <v>35687</v>
      </c>
      <c r="C3849" s="5">
        <f>DATE(2012,12,31)-409</f>
        <v>40865</v>
      </c>
      <c r="D3849" s="4" t="s">
        <v>45</v>
      </c>
      <c r="E3849" s="4">
        <v>48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4.9800000000000004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1"/>
        <v>40866</v>
      </c>
    </row>
    <row r="3850" spans="1:21" ht="12" customHeight="1">
      <c r="A3850" s="4">
        <v>5015</v>
      </c>
      <c r="B3850" s="4">
        <v>35782</v>
      </c>
      <c r="C3850" s="5">
        <f t="shared" ref="C3850:C3851" si="1592">DATE(2012,12,31)-514</f>
        <v>40760</v>
      </c>
      <c r="D3850" s="4" t="s">
        <v>21</v>
      </c>
      <c r="E3850" s="4">
        <v>42</v>
      </c>
      <c r="F3850" s="4">
        <v>6427.18</v>
      </c>
      <c r="G3850" s="4">
        <v>0.09</v>
      </c>
      <c r="H3850" s="4" t="s">
        <v>22</v>
      </c>
      <c r="I3850" s="6">
        <v>2097.1030000000001</v>
      </c>
      <c r="J3850" s="4">
        <v>165.98</v>
      </c>
      <c r="K3850" s="4">
        <v>19.989999999999998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spans="1:21" ht="12" customHeight="1">
      <c r="A3851" s="4">
        <v>5016</v>
      </c>
      <c r="B3851" s="4">
        <v>35782</v>
      </c>
      <c r="C3851" s="5">
        <f t="shared" si="1592"/>
        <v>40760</v>
      </c>
      <c r="D3851" s="4" t="s">
        <v>21</v>
      </c>
      <c r="E3851" s="4">
        <v>13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spans="1:21" ht="12" customHeight="1">
      <c r="A3852" s="4">
        <v>5050</v>
      </c>
      <c r="B3852" s="4">
        <v>36003</v>
      </c>
      <c r="C3852" s="5">
        <f t="shared" ref="C3852:C3853" si="1593">DATE(2012,12,31)-792</f>
        <v>40482</v>
      </c>
      <c r="D3852" s="4" t="s">
        <v>63</v>
      </c>
      <c r="E3852" s="4">
        <v>40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4">C3852+2</f>
        <v>40484</v>
      </c>
    </row>
    <row r="3853" spans="1:21" ht="12" customHeight="1">
      <c r="A3853" s="4">
        <v>5051</v>
      </c>
      <c r="B3853" s="4">
        <v>36003</v>
      </c>
      <c r="C3853" s="5">
        <f t="shared" si="1593"/>
        <v>40482</v>
      </c>
      <c r="D3853" s="4" t="s">
        <v>63</v>
      </c>
      <c r="E3853" s="4">
        <v>48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4"/>
        <v>40484</v>
      </c>
    </row>
    <row r="3854" spans="1:21" ht="12" customHeight="1">
      <c r="A3854" s="4">
        <v>5065</v>
      </c>
      <c r="B3854" s="4">
        <v>36102</v>
      </c>
      <c r="C3854" s="5">
        <f>DATE(2012,12,31)-956</f>
        <v>40318</v>
      </c>
      <c r="D3854" s="4" t="s">
        <v>45</v>
      </c>
      <c r="E3854" s="4">
        <v>36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spans="1:21" ht="12" customHeight="1">
      <c r="A3855" s="4">
        <v>5094</v>
      </c>
      <c r="B3855" s="4">
        <v>36295</v>
      </c>
      <c r="C3855" s="5">
        <f>DATE(2012,12,31)-849</f>
        <v>40425</v>
      </c>
      <c r="D3855" s="4" t="s">
        <v>63</v>
      </c>
      <c r="E3855" s="4">
        <v>10</v>
      </c>
      <c r="F3855" s="4">
        <v>278.10000000000002</v>
      </c>
      <c r="G3855" s="4">
        <v>0.09</v>
      </c>
      <c r="H3855" s="4" t="s">
        <v>22</v>
      </c>
      <c r="I3855" s="6">
        <v>68.102000000000004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5">C3855+2</f>
        <v>40427</v>
      </c>
    </row>
    <row r="3856" spans="1:21" ht="12" customHeight="1">
      <c r="A3856" s="4">
        <v>5095</v>
      </c>
      <c r="B3856" s="4">
        <v>36323</v>
      </c>
      <c r="C3856" s="5">
        <f>DATE(2012,12,31)-805</f>
        <v>40469</v>
      </c>
      <c r="D3856" s="4" t="s">
        <v>30</v>
      </c>
      <c r="E3856" s="4">
        <v>5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5"/>
        <v>40471</v>
      </c>
    </row>
    <row r="3857" spans="1:21" ht="12" customHeight="1">
      <c r="A3857" s="4">
        <v>5096</v>
      </c>
      <c r="B3857" s="4">
        <v>36354</v>
      </c>
      <c r="C3857" s="5">
        <f>DATE(2012,12,31)-209</f>
        <v>41065</v>
      </c>
      <c r="D3857" s="4" t="s">
        <v>63</v>
      </c>
      <c r="E3857" s="4">
        <v>13</v>
      </c>
      <c r="F3857" s="4">
        <v>4567.3599999999997</v>
      </c>
      <c r="G3857" s="4">
        <v>7.0000000000000007E-2</v>
      </c>
      <c r="H3857" s="4" t="s">
        <v>22</v>
      </c>
      <c r="I3857" s="6">
        <v>889.31</v>
      </c>
      <c r="J3857" s="4">
        <v>363.25</v>
      </c>
      <c r="K3857" s="4">
        <v>19.989999999999998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0.56999999999999995</v>
      </c>
      <c r="U3857" s="5">
        <f t="shared" si="1595"/>
        <v>41067</v>
      </c>
    </row>
    <row r="3858" spans="1:21" ht="12" customHeight="1">
      <c r="A3858" s="4">
        <v>5126</v>
      </c>
      <c r="B3858" s="4">
        <v>36512</v>
      </c>
      <c r="C3858" s="5">
        <f t="shared" ref="C3858:C3859" si="1596">DATE(2012,12,31)-278</f>
        <v>40996</v>
      </c>
      <c r="D3858" s="4" t="s">
        <v>45</v>
      </c>
      <c r="E3858" s="4">
        <v>30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spans="1:21" ht="12" customHeight="1">
      <c r="A3859" s="4">
        <v>5127</v>
      </c>
      <c r="B3859" s="4">
        <v>36512</v>
      </c>
      <c r="C3859" s="5">
        <f t="shared" si="1596"/>
        <v>40996</v>
      </c>
      <c r="D3859" s="4" t="s">
        <v>45</v>
      </c>
      <c r="E3859" s="4">
        <v>3</v>
      </c>
      <c r="F3859" s="4">
        <v>71.489999999999995</v>
      </c>
      <c r="G3859" s="4">
        <v>0.06</v>
      </c>
      <c r="H3859" s="4" t="s">
        <v>22</v>
      </c>
      <c r="I3859" s="6">
        <v>41.98</v>
      </c>
      <c r="J3859" s="4">
        <v>19.989999999999998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spans="1:21" ht="12" customHeight="1">
      <c r="A3860" s="4">
        <v>5216</v>
      </c>
      <c r="B3860" s="4">
        <v>37124</v>
      </c>
      <c r="C3860" s="5">
        <f>DATE(2012,12,31)-276</f>
        <v>40998</v>
      </c>
      <c r="D3860" s="4" t="s">
        <v>21</v>
      </c>
      <c r="E3860" s="4">
        <v>33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7">C3860+2</f>
        <v>41000</v>
      </c>
    </row>
    <row r="3861" spans="1:21" ht="12" customHeight="1">
      <c r="A3861" s="4">
        <v>5296</v>
      </c>
      <c r="B3861" s="4">
        <v>37702</v>
      </c>
      <c r="C3861" s="5">
        <f>DATE(2012,12,31)-570</f>
        <v>40704</v>
      </c>
      <c r="D3861" s="4" t="s">
        <v>45</v>
      </c>
      <c r="E3861" s="4">
        <v>44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7"/>
        <v>40706</v>
      </c>
    </row>
    <row r="3862" spans="1:21" ht="12" customHeight="1">
      <c r="A3862" s="4">
        <v>5419</v>
      </c>
      <c r="B3862" s="4">
        <v>38528</v>
      </c>
      <c r="C3862" s="5">
        <f>DATE(2012,12,31)-377</f>
        <v>40897</v>
      </c>
      <c r="D3862" s="4" t="s">
        <v>78</v>
      </c>
      <c r="E3862" s="4">
        <v>10</v>
      </c>
      <c r="F3862" s="4">
        <v>70.02</v>
      </c>
      <c r="G3862" s="4">
        <v>7.0000000000000007E-2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7"/>
        <v>40899</v>
      </c>
    </row>
    <row r="3863" spans="1:21" ht="12" customHeight="1">
      <c r="A3863" s="4">
        <v>5459</v>
      </c>
      <c r="B3863" s="4">
        <v>38786</v>
      </c>
      <c r="C3863" s="5">
        <f>DATE(2012,12,31)-562</f>
        <v>40712</v>
      </c>
      <c r="D3863" s="4" t="s">
        <v>63</v>
      </c>
      <c r="E3863" s="4">
        <v>10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7"/>
        <v>40714</v>
      </c>
    </row>
    <row r="3864" spans="1:21" ht="12" customHeight="1">
      <c r="A3864" s="4">
        <v>5500</v>
      </c>
      <c r="B3864" s="4">
        <v>39008</v>
      </c>
      <c r="C3864" s="5">
        <f>DATE(2012,12,31)-613</f>
        <v>40661</v>
      </c>
      <c r="D3864" s="4" t="s">
        <v>45</v>
      </c>
      <c r="E3864" s="4">
        <v>28</v>
      </c>
      <c r="F3864" s="4">
        <v>3582.79</v>
      </c>
      <c r="G3864" s="4">
        <v>0</v>
      </c>
      <c r="H3864" s="4" t="s">
        <v>31</v>
      </c>
      <c r="I3864" s="6">
        <v>-1177.1400000000001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7"/>
        <v>40663</v>
      </c>
    </row>
    <row r="3865" spans="1:21" ht="12" customHeight="1">
      <c r="A3865" s="4">
        <v>5553</v>
      </c>
      <c r="B3865" s="4">
        <v>39331</v>
      </c>
      <c r="C3865" s="5">
        <f>DATE(2012,12,31)-475</f>
        <v>40799</v>
      </c>
      <c r="D3865" s="4" t="s">
        <v>30</v>
      </c>
      <c r="E3865" s="4">
        <v>23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spans="1:21" ht="12" customHeight="1">
      <c r="A3866" s="4">
        <v>5565</v>
      </c>
      <c r="B3866" s="4">
        <v>39399</v>
      </c>
      <c r="C3866" s="5">
        <f>DATE(2012,12,31)-14</f>
        <v>41260</v>
      </c>
      <c r="D3866" s="4" t="s">
        <v>63</v>
      </c>
      <c r="E3866" s="4">
        <v>28</v>
      </c>
      <c r="F3866" s="4">
        <v>303.97000000000003</v>
      </c>
      <c r="G3866" s="4">
        <v>0.1</v>
      </c>
      <c r="H3866" s="4" t="s">
        <v>22</v>
      </c>
      <c r="I3866" s="6">
        <v>23.298500000000001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8">C3866+2</f>
        <v>41262</v>
      </c>
    </row>
    <row r="3867" spans="1:21" ht="12" customHeight="1">
      <c r="A3867" s="4">
        <v>5634</v>
      </c>
      <c r="B3867" s="4">
        <v>39876</v>
      </c>
      <c r="C3867" s="5">
        <f t="shared" ref="C3867:C3869" si="1599">DATE(2012,12,31)-262</f>
        <v>41012</v>
      </c>
      <c r="D3867" s="4" t="s">
        <v>30</v>
      </c>
      <c r="E3867" s="4">
        <v>43</v>
      </c>
      <c r="F3867" s="4">
        <v>16269.82</v>
      </c>
      <c r="G3867" s="4">
        <v>0.08</v>
      </c>
      <c r="H3867" s="4" t="s">
        <v>22</v>
      </c>
      <c r="I3867" s="6">
        <v>7050.3335000000006</v>
      </c>
      <c r="J3867" s="4">
        <v>387.99</v>
      </c>
      <c r="K3867" s="4">
        <v>19.989999999999998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8"/>
        <v>41014</v>
      </c>
    </row>
    <row r="3868" spans="1:21" ht="12" customHeight="1">
      <c r="A3868" s="4">
        <v>5635</v>
      </c>
      <c r="B3868" s="4">
        <v>39876</v>
      </c>
      <c r="C3868" s="5">
        <f t="shared" si="1599"/>
        <v>41012</v>
      </c>
      <c r="D3868" s="4" t="s">
        <v>30</v>
      </c>
      <c r="E3868" s="4">
        <v>46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18.989999999999998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8"/>
        <v>41014</v>
      </c>
    </row>
    <row r="3869" spans="1:21" ht="12" customHeight="1">
      <c r="A3869" s="4">
        <v>5636</v>
      </c>
      <c r="B3869" s="4">
        <v>39876</v>
      </c>
      <c r="C3869" s="5">
        <f t="shared" si="1599"/>
        <v>41012</v>
      </c>
      <c r="D3869" s="4" t="s">
        <v>30</v>
      </c>
      <c r="E3869" s="4">
        <v>41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8"/>
        <v>41014</v>
      </c>
    </row>
    <row r="3870" spans="1:21" ht="12" customHeight="1">
      <c r="A3870" s="4">
        <v>5657</v>
      </c>
      <c r="B3870" s="4">
        <v>40032</v>
      </c>
      <c r="C3870" s="5">
        <f>DATE(2012,12,31)-31</f>
        <v>41243</v>
      </c>
      <c r="D3870" s="4" t="s">
        <v>21</v>
      </c>
      <c r="E3870" s="4">
        <v>9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0.56999999999999995</v>
      </c>
      <c r="U3870" s="5">
        <f>C3870+7</f>
        <v>41250</v>
      </c>
    </row>
    <row r="3871" spans="1:21" ht="12" customHeight="1">
      <c r="A3871" s="4">
        <v>5734</v>
      </c>
      <c r="B3871" s="4">
        <v>40706</v>
      </c>
      <c r="C3871" s="5">
        <f>DATE(2012,12,31)-345</f>
        <v>40929</v>
      </c>
      <c r="D3871" s="4" t="s">
        <v>63</v>
      </c>
      <c r="E3871" s="4">
        <v>40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spans="1:21" ht="12" customHeight="1">
      <c r="A3872" s="4">
        <v>5772</v>
      </c>
      <c r="B3872" s="4">
        <v>40964</v>
      </c>
      <c r="C3872" s="5">
        <f>DATE(2012,12,31)-588</f>
        <v>40686</v>
      </c>
      <c r="D3872" s="4" t="s">
        <v>78</v>
      </c>
      <c r="E3872" s="4">
        <v>40</v>
      </c>
      <c r="F3872" s="4">
        <v>301.12</v>
      </c>
      <c r="G3872" s="4">
        <v>0</v>
      </c>
      <c r="H3872" s="4" t="s">
        <v>22</v>
      </c>
      <c r="I3872" s="6">
        <v>-206.05</v>
      </c>
      <c r="J3872" s="4">
        <v>6.84</v>
      </c>
      <c r="K3872" s="4">
        <v>8.3699999999999992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0.57999999999999996</v>
      </c>
      <c r="U3872" s="5">
        <f>C3872+3</f>
        <v>40689</v>
      </c>
    </row>
    <row r="3873" spans="1:21" ht="12" customHeight="1">
      <c r="A3873" s="4">
        <v>5952</v>
      </c>
      <c r="B3873" s="4">
        <v>42243</v>
      </c>
      <c r="C3873" s="5">
        <f t="shared" ref="C3873:C3874" si="1600">DATE(2012,12,31)-295</f>
        <v>40979</v>
      </c>
      <c r="D3873" s="4" t="s">
        <v>63</v>
      </c>
      <c r="E3873" s="4">
        <v>42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1">C3873+2</f>
        <v>40981</v>
      </c>
    </row>
    <row r="3874" spans="1:21" ht="12" customHeight="1">
      <c r="A3874" s="4">
        <v>5953</v>
      </c>
      <c r="B3874" s="4">
        <v>42243</v>
      </c>
      <c r="C3874" s="5">
        <f t="shared" si="1600"/>
        <v>40979</v>
      </c>
      <c r="D3874" s="4" t="s">
        <v>63</v>
      </c>
      <c r="E3874" s="4">
        <v>19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1"/>
        <v>40981</v>
      </c>
    </row>
    <row r="3875" spans="1:21" ht="12" customHeight="1">
      <c r="A3875" s="4">
        <v>5987</v>
      </c>
      <c r="B3875" s="4">
        <v>42437</v>
      </c>
      <c r="C3875" s="5">
        <f t="shared" ref="C3875:C3876" si="1602">DATE(2012,12,31)-301</f>
        <v>40973</v>
      </c>
      <c r="D3875" s="4" t="s">
        <v>78</v>
      </c>
      <c r="E3875" s="4">
        <v>43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1"/>
        <v>40975</v>
      </c>
    </row>
    <row r="3876" spans="1:21" ht="12" customHeight="1">
      <c r="A3876" s="4">
        <v>5988</v>
      </c>
      <c r="B3876" s="4">
        <v>42437</v>
      </c>
      <c r="C3876" s="5">
        <f t="shared" si="1602"/>
        <v>40973</v>
      </c>
      <c r="D3876" s="4" t="s">
        <v>78</v>
      </c>
      <c r="E3876" s="4">
        <v>14</v>
      </c>
      <c r="F3876" s="4">
        <v>313.85000000000002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3">C3876+1</f>
        <v>40974</v>
      </c>
    </row>
    <row r="3877" spans="1:21" ht="12" customHeight="1">
      <c r="A3877" s="4">
        <v>6051</v>
      </c>
      <c r="B3877" s="4">
        <v>42887</v>
      </c>
      <c r="C3877" s="5">
        <f t="shared" ref="C3877:C3879" si="1604">DATE(2012,12,31)-204</f>
        <v>41070</v>
      </c>
      <c r="D3877" s="4" t="s">
        <v>63</v>
      </c>
      <c r="E3877" s="4">
        <v>3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9.7799999999999994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3"/>
        <v>41071</v>
      </c>
    </row>
    <row r="3878" spans="1:21" ht="12" customHeight="1">
      <c r="A3878" s="4">
        <v>6052</v>
      </c>
      <c r="B3878" s="4">
        <v>42887</v>
      </c>
      <c r="C3878" s="5">
        <f t="shared" si="1604"/>
        <v>41070</v>
      </c>
      <c r="D3878" s="4" t="s">
        <v>63</v>
      </c>
      <c r="E3878" s="4">
        <v>11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5">C3878+2</f>
        <v>41072</v>
      </c>
    </row>
    <row r="3879" spans="1:21" ht="12" customHeight="1">
      <c r="A3879" s="4">
        <v>6053</v>
      </c>
      <c r="B3879" s="4">
        <v>42887</v>
      </c>
      <c r="C3879" s="5">
        <f t="shared" si="1604"/>
        <v>41070</v>
      </c>
      <c r="D3879" s="4" t="s">
        <v>63</v>
      </c>
      <c r="E3879" s="4">
        <v>3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145.97999999999999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5"/>
        <v>41072</v>
      </c>
    </row>
    <row r="3880" spans="1:21" ht="12" customHeight="1">
      <c r="A3880" s="4">
        <v>6088</v>
      </c>
      <c r="B3880" s="4">
        <v>43137</v>
      </c>
      <c r="C3880" s="5">
        <f>DATE(2012,12,31)-674</f>
        <v>40600</v>
      </c>
      <c r="D3880" s="4" t="s">
        <v>30</v>
      </c>
      <c r="E3880" s="4">
        <v>40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spans="1:21" ht="12" customHeight="1">
      <c r="A3881" s="4">
        <v>6178</v>
      </c>
      <c r="B3881" s="4">
        <v>43782</v>
      </c>
      <c r="C3881" s="5">
        <f>DATE(2012,12,31)-779</f>
        <v>40495</v>
      </c>
      <c r="D3881" s="4" t="s">
        <v>63</v>
      </c>
      <c r="E3881" s="4">
        <v>27</v>
      </c>
      <c r="F3881" s="4">
        <v>194.35</v>
      </c>
      <c r="G3881" s="4">
        <v>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6">C3881+2</f>
        <v>40497</v>
      </c>
    </row>
    <row r="3882" spans="1:21" ht="12" customHeight="1">
      <c r="A3882" s="4">
        <v>6195</v>
      </c>
      <c r="B3882" s="4">
        <v>43904</v>
      </c>
      <c r="C3882" s="5">
        <f t="shared" ref="C3882:C3883" si="1607">DATE(2012,12,31)-975</f>
        <v>40299</v>
      </c>
      <c r="D3882" s="4" t="s">
        <v>45</v>
      </c>
      <c r="E3882" s="4">
        <v>43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6"/>
        <v>40301</v>
      </c>
    </row>
    <row r="3883" spans="1:21" ht="12" customHeight="1">
      <c r="A3883" s="4">
        <v>6196</v>
      </c>
      <c r="B3883" s="4">
        <v>43904</v>
      </c>
      <c r="C3883" s="5">
        <f t="shared" si="1607"/>
        <v>40299</v>
      </c>
      <c r="D3883" s="4" t="s">
        <v>45</v>
      </c>
      <c r="E3883" s="4">
        <v>30</v>
      </c>
      <c r="F3883" s="4">
        <v>3339.65</v>
      </c>
      <c r="G3883" s="4">
        <v>0.01</v>
      </c>
      <c r="H3883" s="4" t="s">
        <v>22</v>
      </c>
      <c r="I3883" s="6">
        <v>788.50800000000004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0.57999999999999996</v>
      </c>
      <c r="U3883" s="5">
        <f t="shared" ref="U3883:U3884" si="1608">C3883+1</f>
        <v>40300</v>
      </c>
    </row>
    <row r="3884" spans="1:21" ht="12" customHeight="1">
      <c r="A3884" s="4">
        <v>6197</v>
      </c>
      <c r="B3884" s="4">
        <v>43906</v>
      </c>
      <c r="C3884" s="5">
        <f>DATE(2012,12,31)-327</f>
        <v>40947</v>
      </c>
      <c r="D3884" s="4" t="s">
        <v>30</v>
      </c>
      <c r="E3884" s="4">
        <v>50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8"/>
        <v>40948</v>
      </c>
    </row>
    <row r="3885" spans="1:21" ht="12" customHeight="1">
      <c r="A3885" s="4">
        <v>6221</v>
      </c>
      <c r="B3885" s="4">
        <v>44064</v>
      </c>
      <c r="C3885" s="5">
        <f t="shared" ref="C3885:C3886" si="1609">DATE(2012,12,31)-1034</f>
        <v>40240</v>
      </c>
      <c r="D3885" s="4" t="s">
        <v>63</v>
      </c>
      <c r="E3885" s="4">
        <v>43</v>
      </c>
      <c r="F3885" s="4">
        <v>468.48</v>
      </c>
      <c r="G3885" s="4">
        <v>7.0000000000000007E-2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spans="1:21" ht="12" customHeight="1">
      <c r="A3886" s="4">
        <v>6222</v>
      </c>
      <c r="B3886" s="4">
        <v>44064</v>
      </c>
      <c r="C3886" s="5">
        <f t="shared" si="1609"/>
        <v>40240</v>
      </c>
      <c r="D3886" s="4" t="s">
        <v>63</v>
      </c>
      <c r="E3886" s="4">
        <v>23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spans="1:21" ht="12" customHeight="1">
      <c r="A3887" s="4">
        <v>6240</v>
      </c>
      <c r="B3887" s="4">
        <v>44224</v>
      </c>
      <c r="C3887" s="5">
        <f>DATE(2012,12,31)-875</f>
        <v>40399</v>
      </c>
      <c r="D3887" s="4" t="s">
        <v>30</v>
      </c>
      <c r="E3887" s="4">
        <v>32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spans="1:21" ht="12" customHeight="1">
      <c r="A3888" s="4">
        <v>6274</v>
      </c>
      <c r="B3888" s="4">
        <v>44422</v>
      </c>
      <c r="C3888" s="5">
        <f t="shared" ref="C3888:C3890" si="1610">DATE(2012,12,31)-262</f>
        <v>41012</v>
      </c>
      <c r="D3888" s="4" t="s">
        <v>63</v>
      </c>
      <c r="E3888" s="4">
        <v>1</v>
      </c>
      <c r="F3888" s="4">
        <v>15.72</v>
      </c>
      <c r="G3888" s="4">
        <v>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1">C3888+2</f>
        <v>41014</v>
      </c>
    </row>
    <row r="3889" spans="1:21" ht="12" customHeight="1">
      <c r="A3889" s="4">
        <v>6275</v>
      </c>
      <c r="B3889" s="4">
        <v>44422</v>
      </c>
      <c r="C3889" s="5">
        <f t="shared" si="1610"/>
        <v>41012</v>
      </c>
      <c r="D3889" s="4" t="s">
        <v>63</v>
      </c>
      <c r="E3889" s="4">
        <v>36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1"/>
        <v>41014</v>
      </c>
    </row>
    <row r="3890" spans="1:21" ht="12" customHeight="1">
      <c r="A3890" s="4">
        <v>6276</v>
      </c>
      <c r="B3890" s="4">
        <v>44422</v>
      </c>
      <c r="C3890" s="5">
        <f t="shared" si="1610"/>
        <v>41012</v>
      </c>
      <c r="D3890" s="4" t="s">
        <v>63</v>
      </c>
      <c r="E3890" s="4">
        <v>11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1"/>
        <v>41014</v>
      </c>
    </row>
    <row r="3891" spans="1:21" ht="12" customHeight="1">
      <c r="A3891" s="4">
        <v>6300</v>
      </c>
      <c r="B3891" s="4">
        <v>44609</v>
      </c>
      <c r="C3891" s="5">
        <f t="shared" ref="C3891:C3892" si="1612">DATE(2012,12,31)-562</f>
        <v>40712</v>
      </c>
      <c r="D3891" s="4" t="s">
        <v>21</v>
      </c>
      <c r="E3891" s="4">
        <v>28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4.0999999999999996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spans="1:21" ht="12" customHeight="1">
      <c r="A3892" s="4">
        <v>6301</v>
      </c>
      <c r="B3892" s="4">
        <v>44609</v>
      </c>
      <c r="C3892" s="5">
        <f t="shared" si="1612"/>
        <v>40712</v>
      </c>
      <c r="D3892" s="4" t="s">
        <v>21</v>
      </c>
      <c r="E3892" s="4">
        <v>37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spans="1:21" ht="12" customHeight="1">
      <c r="A3893" s="4">
        <v>6339</v>
      </c>
      <c r="B3893" s="4">
        <v>44935</v>
      </c>
      <c r="C3893" s="5">
        <f>DATE(2012,12,31)-775</f>
        <v>40499</v>
      </c>
      <c r="D3893" s="4" t="s">
        <v>30</v>
      </c>
      <c r="E3893" s="4">
        <v>37</v>
      </c>
      <c r="F3893" s="4">
        <v>99.65</v>
      </c>
      <c r="G3893" s="4">
        <v>0.01</v>
      </c>
      <c r="H3893" s="4" t="s">
        <v>22</v>
      </c>
      <c r="I3893" s="6">
        <v>27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spans="1:21" ht="12" customHeight="1">
      <c r="A3894" s="4">
        <v>6361</v>
      </c>
      <c r="B3894" s="4">
        <v>45127</v>
      </c>
      <c r="C3894" s="5">
        <f>DATE(2012,12,31)-1</f>
        <v>41273</v>
      </c>
      <c r="D3894" s="4" t="s">
        <v>63</v>
      </c>
      <c r="E3894" s="4">
        <v>10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spans="1:21" ht="12" customHeight="1">
      <c r="A3895" s="4">
        <v>6398</v>
      </c>
      <c r="B3895" s="4">
        <v>45413</v>
      </c>
      <c r="C3895" s="5">
        <f t="shared" ref="C3895:C3897" si="1613">DATE(2012,12,31)-937</f>
        <v>40337</v>
      </c>
      <c r="D3895" s="4" t="s">
        <v>30</v>
      </c>
      <c r="E3895" s="4">
        <v>18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4">C3895+1</f>
        <v>40338</v>
      </c>
    </row>
    <row r="3896" spans="1:21" ht="12" customHeight="1">
      <c r="A3896" s="4">
        <v>6399</v>
      </c>
      <c r="B3896" s="4">
        <v>45413</v>
      </c>
      <c r="C3896" s="5">
        <f t="shared" si="1613"/>
        <v>40337</v>
      </c>
      <c r="D3896" s="4" t="s">
        <v>30</v>
      </c>
      <c r="E3896" s="4">
        <v>17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4"/>
        <v>40338</v>
      </c>
    </row>
    <row r="3897" spans="1:21" ht="12" customHeight="1">
      <c r="A3897" s="4">
        <v>6400</v>
      </c>
      <c r="B3897" s="4">
        <v>45413</v>
      </c>
      <c r="C3897" s="5">
        <f t="shared" si="1613"/>
        <v>40337</v>
      </c>
      <c r="D3897" s="4" t="s">
        <v>30</v>
      </c>
      <c r="E3897" s="4">
        <v>24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spans="1:21" ht="12" customHeight="1">
      <c r="A3898" s="4">
        <v>6412</v>
      </c>
      <c r="B3898" s="4">
        <v>45571</v>
      </c>
      <c r="C3898" s="5">
        <f t="shared" ref="C3898:C3900" si="1615">DATE(2012,12,31)-99</f>
        <v>41175</v>
      </c>
      <c r="D3898" s="4" t="s">
        <v>63</v>
      </c>
      <c r="E3898" s="4">
        <v>43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4.8099999999999996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0.57999999999999996</v>
      </c>
      <c r="U3898" s="5">
        <f>C3898+1</f>
        <v>41176</v>
      </c>
    </row>
    <row r="3899" spans="1:21" ht="12" customHeight="1">
      <c r="A3899" s="4">
        <v>6413</v>
      </c>
      <c r="B3899" s="4">
        <v>45571</v>
      </c>
      <c r="C3899" s="5">
        <f t="shared" si="1615"/>
        <v>41175</v>
      </c>
      <c r="D3899" s="4" t="s">
        <v>63</v>
      </c>
      <c r="E3899" s="4">
        <v>47</v>
      </c>
      <c r="F3899" s="4">
        <v>5975.0495000000001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0.57999999999999996</v>
      </c>
      <c r="U3899" s="5">
        <f t="shared" ref="U3899:U3900" si="1616">C3899+2</f>
        <v>41177</v>
      </c>
    </row>
    <row r="3900" spans="1:21" ht="12" customHeight="1">
      <c r="A3900" s="4">
        <v>6414</v>
      </c>
      <c r="B3900" s="4">
        <v>45571</v>
      </c>
      <c r="C3900" s="5">
        <f t="shared" si="1615"/>
        <v>41175</v>
      </c>
      <c r="D3900" s="4" t="s">
        <v>63</v>
      </c>
      <c r="E3900" s="4">
        <v>44</v>
      </c>
      <c r="F3900" s="4">
        <v>720.52</v>
      </c>
      <c r="G3900" s="4">
        <v>0.1</v>
      </c>
      <c r="H3900" s="4" t="s">
        <v>22</v>
      </c>
      <c r="I3900" s="6">
        <v>-36.792299999999997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6"/>
        <v>41177</v>
      </c>
    </row>
    <row r="3901" spans="1:21" ht="12" customHeight="1">
      <c r="A3901" s="4">
        <v>6416</v>
      </c>
      <c r="B3901" s="4">
        <v>45575</v>
      </c>
      <c r="C3901" s="5">
        <f>DATE(2012,12,31)-263</f>
        <v>41011</v>
      </c>
      <c r="D3901" s="4" t="s">
        <v>78</v>
      </c>
      <c r="E3901" s="4">
        <v>46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spans="1:21" ht="12" customHeight="1">
      <c r="A3902" s="4">
        <v>6442</v>
      </c>
      <c r="B3902" s="4">
        <v>45794</v>
      </c>
      <c r="C3902" s="5">
        <f>DATE(2012,12,31)-464</f>
        <v>40810</v>
      </c>
      <c r="D3902" s="4" t="s">
        <v>78</v>
      </c>
      <c r="E3902" s="4">
        <v>28</v>
      </c>
      <c r="F3902" s="4">
        <v>1208.3499999999999</v>
      </c>
      <c r="G3902" s="4">
        <v>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0.55000000000000004</v>
      </c>
      <c r="U3902" s="5">
        <f>C3902+2</f>
        <v>40812</v>
      </c>
    </row>
    <row r="3903" spans="1:21" ht="12" customHeight="1">
      <c r="A3903" s="4">
        <v>6445</v>
      </c>
      <c r="B3903" s="4">
        <v>45860</v>
      </c>
      <c r="C3903" s="5">
        <f>DATE(2012,12,31)-141</f>
        <v>41133</v>
      </c>
      <c r="D3903" s="4" t="s">
        <v>21</v>
      </c>
      <c r="E3903" s="4">
        <v>12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spans="1:21" ht="12" customHeight="1">
      <c r="A3904" s="4">
        <v>6483</v>
      </c>
      <c r="B3904" s="4">
        <v>46147</v>
      </c>
      <c r="C3904" s="5">
        <f t="shared" ref="C3904:C3906" si="1617">DATE(2012,12,31)-716</f>
        <v>40558</v>
      </c>
      <c r="D3904" s="4" t="s">
        <v>78</v>
      </c>
      <c r="E3904" s="4">
        <v>37</v>
      </c>
      <c r="F3904" s="4">
        <v>925.8</v>
      </c>
      <c r="G3904" s="4">
        <v>0.01</v>
      </c>
      <c r="H3904" s="4" t="s">
        <v>22</v>
      </c>
      <c r="I3904" s="6">
        <v>30.684999999999999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8">C3904+2</f>
        <v>40560</v>
      </c>
    </row>
    <row r="3905" spans="1:21" ht="12" customHeight="1">
      <c r="A3905" s="4">
        <v>6484</v>
      </c>
      <c r="B3905" s="4">
        <v>46147</v>
      </c>
      <c r="C3905" s="5">
        <f t="shared" si="1617"/>
        <v>40558</v>
      </c>
      <c r="D3905" s="4" t="s">
        <v>78</v>
      </c>
      <c r="E3905" s="4">
        <v>39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8"/>
        <v>40560</v>
      </c>
    </row>
    <row r="3906" spans="1:21" ht="12" customHeight="1">
      <c r="A3906" s="4">
        <v>6485</v>
      </c>
      <c r="B3906" s="4">
        <v>46147</v>
      </c>
      <c r="C3906" s="5">
        <f t="shared" si="1617"/>
        <v>40558</v>
      </c>
      <c r="D3906" s="4" t="s">
        <v>78</v>
      </c>
      <c r="E3906" s="4">
        <v>12</v>
      </c>
      <c r="F3906" s="4">
        <v>6502.46</v>
      </c>
      <c r="G3906" s="4">
        <v>0.09</v>
      </c>
      <c r="H3906" s="4" t="s">
        <v>31</v>
      </c>
      <c r="I3906" s="6">
        <v>261.66000000000003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8"/>
        <v>40560</v>
      </c>
    </row>
    <row r="3907" spans="1:21" ht="12" customHeight="1">
      <c r="A3907" s="4">
        <v>6490</v>
      </c>
      <c r="B3907" s="4">
        <v>46211</v>
      </c>
      <c r="C3907" s="5">
        <f>DATE(2012,12,31)-934</f>
        <v>40340</v>
      </c>
      <c r="D3907" s="4" t="s">
        <v>21</v>
      </c>
      <c r="E3907" s="4">
        <v>47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spans="1:21" ht="12" customHeight="1">
      <c r="A3908" s="4">
        <v>6501</v>
      </c>
      <c r="B3908" s="4">
        <v>46305</v>
      </c>
      <c r="C3908" s="5">
        <f>DATE(2012,12,31)-520</f>
        <v>40754</v>
      </c>
      <c r="D3908" s="4" t="s">
        <v>21</v>
      </c>
      <c r="E3908" s="4">
        <v>30</v>
      </c>
      <c r="F3908" s="4">
        <v>299.66000000000003</v>
      </c>
      <c r="G3908" s="4">
        <v>0.08</v>
      </c>
      <c r="H3908" s="4" t="s">
        <v>22</v>
      </c>
      <c r="I3908" s="6">
        <v>-18.250499999999999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spans="1:21" ht="12" customHeight="1">
      <c r="A3909" s="4">
        <v>6514</v>
      </c>
      <c r="B3909" s="4">
        <v>46372</v>
      </c>
      <c r="C3909" s="5">
        <f t="shared" ref="C3909:C3910" si="1619">DATE(2012,12,31)-674</f>
        <v>40600</v>
      </c>
      <c r="D3909" s="4" t="s">
        <v>30</v>
      </c>
      <c r="E3909" s="4">
        <v>7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spans="1:21" ht="12" customHeight="1">
      <c r="A3910" s="4">
        <v>6515</v>
      </c>
      <c r="B3910" s="4">
        <v>46372</v>
      </c>
      <c r="C3910" s="5">
        <f t="shared" si="1619"/>
        <v>40600</v>
      </c>
      <c r="D3910" s="4" t="s">
        <v>30</v>
      </c>
      <c r="E3910" s="4">
        <v>15</v>
      </c>
      <c r="F3910" s="4">
        <v>81.97</v>
      </c>
      <c r="G3910" s="4">
        <v>7.0000000000000007E-2</v>
      </c>
      <c r="H3910" s="4" t="s">
        <v>22</v>
      </c>
      <c r="I3910" s="6">
        <v>-81.33</v>
      </c>
      <c r="J3910" s="4">
        <v>4.9800000000000004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spans="1:21" ht="12" customHeight="1">
      <c r="A3911" s="4">
        <v>6579</v>
      </c>
      <c r="B3911" s="4">
        <v>46852</v>
      </c>
      <c r="C3911" s="5">
        <f t="shared" ref="C3911:C3912" si="1620">DATE(2012,12,31)-338</f>
        <v>40936</v>
      </c>
      <c r="D3911" s="4" t="s">
        <v>45</v>
      </c>
      <c r="E3911" s="4">
        <v>46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34.979999999999997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spans="1:21" ht="12" customHeight="1">
      <c r="A3912" s="4">
        <v>6580</v>
      </c>
      <c r="B3912" s="4">
        <v>46852</v>
      </c>
      <c r="C3912" s="5">
        <f t="shared" si="1620"/>
        <v>40936</v>
      </c>
      <c r="D3912" s="4" t="s">
        <v>45</v>
      </c>
      <c r="E3912" s="4">
        <v>44</v>
      </c>
      <c r="F3912" s="4">
        <v>220.07</v>
      </c>
      <c r="G3912" s="4">
        <v>0.01</v>
      </c>
      <c r="H3912" s="4" t="s">
        <v>22</v>
      </c>
      <c r="I3912" s="6">
        <v>-158.41999999999999</v>
      </c>
      <c r="J3912" s="4">
        <v>4.8899999999999997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1">C3912+1</f>
        <v>40937</v>
      </c>
    </row>
    <row r="3913" spans="1:21" ht="12" customHeight="1">
      <c r="A3913" s="4">
        <v>6597</v>
      </c>
      <c r="B3913" s="4">
        <v>46949</v>
      </c>
      <c r="C3913" s="5">
        <f>DATE(2012,12,31)-1030</f>
        <v>40244</v>
      </c>
      <c r="D3913" s="4" t="s">
        <v>30</v>
      </c>
      <c r="E3913" s="4">
        <v>37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8.4600000000000009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1"/>
        <v>40245</v>
      </c>
    </row>
    <row r="3914" spans="1:21" ht="12" customHeight="1">
      <c r="A3914" s="4">
        <v>6598</v>
      </c>
      <c r="B3914" s="4">
        <v>46951</v>
      </c>
      <c r="C3914" s="5">
        <f>DATE(2012,12,31)-410</f>
        <v>40864</v>
      </c>
      <c r="D3914" s="4" t="s">
        <v>78</v>
      </c>
      <c r="E3914" s="4">
        <v>26</v>
      </c>
      <c r="F3914" s="4">
        <v>2379.3285000000001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0.57999999999999996</v>
      </c>
      <c r="U3914" s="5">
        <f t="shared" si="1621"/>
        <v>40865</v>
      </c>
    </row>
    <row r="3915" spans="1:21" ht="12" customHeight="1">
      <c r="A3915" s="4">
        <v>6614</v>
      </c>
      <c r="B3915" s="4">
        <v>47075</v>
      </c>
      <c r="C3915" s="5">
        <f>DATE(2012,12,31)-441</f>
        <v>40833</v>
      </c>
      <c r="D3915" s="4" t="s">
        <v>63</v>
      </c>
      <c r="E3915" s="4">
        <v>42</v>
      </c>
      <c r="F3915" s="4">
        <v>4346.9799999999996</v>
      </c>
      <c r="G3915" s="4">
        <v>0.05</v>
      </c>
      <c r="H3915" s="4" t="s">
        <v>31</v>
      </c>
      <c r="I3915" s="6">
        <v>10.220000000000001</v>
      </c>
      <c r="J3915" s="4">
        <v>100.98</v>
      </c>
      <c r="K3915" s="4">
        <v>35.840000000000003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spans="1:21" ht="12" customHeight="1">
      <c r="A3916" s="4">
        <v>6661</v>
      </c>
      <c r="B3916" s="4">
        <v>47399</v>
      </c>
      <c r="C3916" s="5">
        <f>DATE(2012,12,31)-152</f>
        <v>41122</v>
      </c>
      <c r="D3916" s="4" t="s">
        <v>21</v>
      </c>
      <c r="E3916" s="4">
        <v>26</v>
      </c>
      <c r="F3916" s="4">
        <v>145.76</v>
      </c>
      <c r="G3916" s="4">
        <v>0</v>
      </c>
      <c r="H3916" s="4" t="s">
        <v>22</v>
      </c>
      <c r="I3916" s="6">
        <v>5.6695000000000002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spans="1:21" ht="12" customHeight="1">
      <c r="A3917" s="4">
        <v>6708</v>
      </c>
      <c r="B3917" s="4">
        <v>47777</v>
      </c>
      <c r="C3917" s="5">
        <f>DATE(2012,12,31)-36</f>
        <v>41238</v>
      </c>
      <c r="D3917" s="4" t="s">
        <v>21</v>
      </c>
      <c r="E3917" s="4">
        <v>13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2">C3917+2</f>
        <v>41240</v>
      </c>
    </row>
    <row r="3918" spans="1:21" ht="12" customHeight="1">
      <c r="A3918" s="4">
        <v>6714</v>
      </c>
      <c r="B3918" s="4">
        <v>47844</v>
      </c>
      <c r="C3918" s="5">
        <f>DATE(2012,12,31)-750</f>
        <v>40524</v>
      </c>
      <c r="D3918" s="4" t="s">
        <v>78</v>
      </c>
      <c r="E3918" s="4">
        <v>41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150.97999999999999</v>
      </c>
      <c r="K3918" s="4">
        <v>30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2"/>
        <v>40526</v>
      </c>
    </row>
    <row r="3919" spans="1:21" ht="12" customHeight="1">
      <c r="A3919" s="4">
        <v>6795</v>
      </c>
      <c r="B3919" s="4">
        <v>48423</v>
      </c>
      <c r="C3919" s="5">
        <f>DATE(2012,12,31)-61</f>
        <v>41213</v>
      </c>
      <c r="D3919" s="4" t="s">
        <v>30</v>
      </c>
      <c r="E3919" s="4">
        <v>49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8.2899999999999991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spans="1:21" ht="12" customHeight="1">
      <c r="A3920" s="4">
        <v>6857</v>
      </c>
      <c r="B3920" s="4">
        <v>48837</v>
      </c>
      <c r="C3920" s="5">
        <f>DATE(2012,12,31)-532</f>
        <v>40742</v>
      </c>
      <c r="D3920" s="4" t="s">
        <v>45</v>
      </c>
      <c r="E3920" s="4">
        <v>39</v>
      </c>
      <c r="F3920" s="4">
        <v>4799.7885000000006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0.55000000000000004</v>
      </c>
      <c r="U3920" s="5">
        <f>C3920+2</f>
        <v>40744</v>
      </c>
    </row>
    <row r="3921" spans="1:21" ht="12" customHeight="1">
      <c r="A3921" s="4">
        <v>6874</v>
      </c>
      <c r="B3921" s="4">
        <v>48993</v>
      </c>
      <c r="C3921" s="5">
        <f>DATE(2012,12,31)-214</f>
        <v>41060</v>
      </c>
      <c r="D3921" s="4" t="s">
        <v>21</v>
      </c>
      <c r="E3921" s="4">
        <v>17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spans="1:21" ht="12" customHeight="1">
      <c r="A3922" s="4">
        <v>6903</v>
      </c>
      <c r="B3922" s="4">
        <v>49220</v>
      </c>
      <c r="C3922" s="5">
        <f>DATE(2012,12,31)-506</f>
        <v>40768</v>
      </c>
      <c r="D3922" s="4" t="s">
        <v>78</v>
      </c>
      <c r="E3922" s="4">
        <v>13</v>
      </c>
      <c r="F3922" s="4">
        <v>409.97</v>
      </c>
      <c r="G3922" s="4">
        <v>7.0000000000000007E-2</v>
      </c>
      <c r="H3922" s="4" t="s">
        <v>22</v>
      </c>
      <c r="I3922" s="6">
        <v>39.36</v>
      </c>
      <c r="J3922" s="4">
        <v>33.619999999999997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3">C3922+1</f>
        <v>40769</v>
      </c>
    </row>
    <row r="3923" spans="1:21" ht="12" customHeight="1">
      <c r="A3923" s="4">
        <v>6925</v>
      </c>
      <c r="B3923" s="4">
        <v>49409</v>
      </c>
      <c r="C3923" s="5">
        <f>DATE(2012,12,31)-503</f>
        <v>40771</v>
      </c>
      <c r="D3923" s="4" t="s">
        <v>30</v>
      </c>
      <c r="E3923" s="4">
        <v>28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19.989999999999998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3"/>
        <v>40772</v>
      </c>
    </row>
    <row r="3924" spans="1:21" ht="12" customHeight="1">
      <c r="A3924" s="4">
        <v>6934</v>
      </c>
      <c r="B3924" s="4">
        <v>49479</v>
      </c>
      <c r="C3924" s="5">
        <f>DATE(2012,12,31)-523</f>
        <v>40751</v>
      </c>
      <c r="D3924" s="4" t="s">
        <v>63</v>
      </c>
      <c r="E3924" s="4">
        <v>46</v>
      </c>
      <c r="F3924" s="4">
        <v>5615.4</v>
      </c>
      <c r="G3924" s="4">
        <v>7.0000000000000007E-2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spans="1:21" ht="12" customHeight="1">
      <c r="A3925" s="4">
        <v>6943</v>
      </c>
      <c r="B3925" s="4">
        <v>49600</v>
      </c>
      <c r="C3925" s="5">
        <f>DATE(2012,12,31)-665</f>
        <v>40609</v>
      </c>
      <c r="D3925" s="4" t="s">
        <v>21</v>
      </c>
      <c r="E3925" s="4">
        <v>33</v>
      </c>
      <c r="F3925" s="4">
        <v>1692.03</v>
      </c>
      <c r="G3925" s="4">
        <v>0.1</v>
      </c>
      <c r="H3925" s="4" t="s">
        <v>22</v>
      </c>
      <c r="I3925" s="6">
        <v>574.44000000000005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spans="1:21" ht="12" customHeight="1">
      <c r="A3926" s="4">
        <v>6998</v>
      </c>
      <c r="B3926" s="4">
        <v>49987</v>
      </c>
      <c r="C3926" s="5">
        <f>DATE(2012,12,31)-712</f>
        <v>40562</v>
      </c>
      <c r="D3926" s="4" t="s">
        <v>30</v>
      </c>
      <c r="E3926" s="4">
        <v>14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4">C3926+2</f>
        <v>40564</v>
      </c>
    </row>
    <row r="3927" spans="1:21" ht="12" customHeight="1">
      <c r="A3927" s="4">
        <v>7037</v>
      </c>
      <c r="B3927" s="4">
        <v>50242</v>
      </c>
      <c r="C3927" s="5">
        <f>DATE(2012,12,31)-896</f>
        <v>40378</v>
      </c>
      <c r="D3927" s="4" t="s">
        <v>45</v>
      </c>
      <c r="E3927" s="4">
        <v>8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0.56000000000000005</v>
      </c>
      <c r="U3927" s="5">
        <f t="shared" si="1624"/>
        <v>40380</v>
      </c>
    </row>
    <row r="3928" spans="1:21" ht="12" customHeight="1">
      <c r="A3928" s="4">
        <v>7061</v>
      </c>
      <c r="B3928" s="4">
        <v>50403</v>
      </c>
      <c r="C3928" s="5">
        <f>DATE(2012,12,31)-233</f>
        <v>41041</v>
      </c>
      <c r="D3928" s="4" t="s">
        <v>45</v>
      </c>
      <c r="E3928" s="4">
        <v>22</v>
      </c>
      <c r="F3928" s="4">
        <v>142.88</v>
      </c>
      <c r="G3928" s="4">
        <v>0.08</v>
      </c>
      <c r="H3928" s="4" t="s">
        <v>22</v>
      </c>
      <c r="I3928" s="6">
        <v>35.369999999999997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spans="1:21" ht="12" customHeight="1">
      <c r="A3929" s="4">
        <v>7065</v>
      </c>
      <c r="B3929" s="4">
        <v>50405</v>
      </c>
      <c r="C3929" s="5">
        <f>DATE(2012,12,31)-548</f>
        <v>40726</v>
      </c>
      <c r="D3929" s="4" t="s">
        <v>63</v>
      </c>
      <c r="E3929" s="4">
        <v>8</v>
      </c>
      <c r="F3929" s="4">
        <v>876.01</v>
      </c>
      <c r="G3929" s="4">
        <v>7.0000000000000007E-2</v>
      </c>
      <c r="H3929" s="4" t="s">
        <v>22</v>
      </c>
      <c r="I3929" s="6">
        <v>-108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spans="1:21" ht="12" customHeight="1">
      <c r="A3930" s="4">
        <v>7069</v>
      </c>
      <c r="B3930" s="4">
        <v>50464</v>
      </c>
      <c r="C3930" s="5">
        <f>DATE(2012,12,31)-461</f>
        <v>40813</v>
      </c>
      <c r="D3930" s="4" t="s">
        <v>78</v>
      </c>
      <c r="E3930" s="4">
        <v>7</v>
      </c>
      <c r="F3930" s="4">
        <v>105.94</v>
      </c>
      <c r="G3930" s="4">
        <v>7.0000000000000007E-2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spans="1:21" ht="12" customHeight="1">
      <c r="A3931" s="4">
        <v>7070</v>
      </c>
      <c r="B3931" s="4">
        <v>50465</v>
      </c>
      <c r="C3931" s="5">
        <f>DATE(2012,12,31)-661</f>
        <v>40613</v>
      </c>
      <c r="D3931" s="4" t="s">
        <v>63</v>
      </c>
      <c r="E3931" s="4">
        <v>29</v>
      </c>
      <c r="F3931" s="4">
        <v>1337.08</v>
      </c>
      <c r="G3931" s="4">
        <v>0.1</v>
      </c>
      <c r="H3931" s="4" t="s">
        <v>22</v>
      </c>
      <c r="I3931" s="6">
        <v>-953</v>
      </c>
      <c r="J3931" s="4">
        <v>48.91</v>
      </c>
      <c r="K3931" s="4">
        <v>35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spans="1:21" ht="12" customHeight="1">
      <c r="A3932" s="4">
        <v>7072</v>
      </c>
      <c r="B3932" s="4">
        <v>50469</v>
      </c>
      <c r="C3932" s="5">
        <f>DATE(2012,12,31)-926</f>
        <v>40348</v>
      </c>
      <c r="D3932" s="4" t="s">
        <v>45</v>
      </c>
      <c r="E3932" s="4">
        <v>44</v>
      </c>
      <c r="F3932" s="4">
        <v>839.19</v>
      </c>
      <c r="G3932" s="4">
        <v>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spans="1:21" ht="12" customHeight="1">
      <c r="A3933" s="4">
        <v>7118</v>
      </c>
      <c r="B3933" s="4">
        <v>50789</v>
      </c>
      <c r="C3933" s="5">
        <f>DATE(2012,12,31)-660</f>
        <v>40614</v>
      </c>
      <c r="D3933" s="4" t="s">
        <v>45</v>
      </c>
      <c r="E3933" s="4">
        <v>23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19.989999999999998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spans="1:21" ht="12" customHeight="1">
      <c r="A3934" s="4">
        <v>7153</v>
      </c>
      <c r="B3934" s="4">
        <v>51044</v>
      </c>
      <c r="C3934" s="5">
        <f t="shared" ref="C3934:C3936" si="1625">DATE(2012,12,31)-348</f>
        <v>40926</v>
      </c>
      <c r="D3934" s="4" t="s">
        <v>21</v>
      </c>
      <c r="E3934" s="4">
        <v>17</v>
      </c>
      <c r="F3934" s="4">
        <v>155.88999999999999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spans="1:21" ht="12" customHeight="1">
      <c r="A3935" s="4">
        <v>7154</v>
      </c>
      <c r="B3935" s="4">
        <v>51044</v>
      </c>
      <c r="C3935" s="5">
        <f t="shared" si="1625"/>
        <v>40926</v>
      </c>
      <c r="D3935" s="4" t="s">
        <v>21</v>
      </c>
      <c r="E3935" s="4">
        <v>26</v>
      </c>
      <c r="F3935" s="4">
        <v>1333.18</v>
      </c>
      <c r="G3935" s="4">
        <v>7.0000000000000007E-2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0.56000000000000005</v>
      </c>
      <c r="U3935" s="5">
        <f>C3935+4</f>
        <v>40930</v>
      </c>
    </row>
    <row r="3936" spans="1:21" ht="12" customHeight="1">
      <c r="A3936" s="4">
        <v>7155</v>
      </c>
      <c r="B3936" s="4">
        <v>51044</v>
      </c>
      <c r="C3936" s="5">
        <f t="shared" si="1625"/>
        <v>40926</v>
      </c>
      <c r="D3936" s="4" t="s">
        <v>21</v>
      </c>
      <c r="E3936" s="4">
        <v>19</v>
      </c>
      <c r="F3936" s="4">
        <v>117.27</v>
      </c>
      <c r="G3936" s="4">
        <v>0.01</v>
      </c>
      <c r="H3936" s="4" t="s">
        <v>22</v>
      </c>
      <c r="I3936" s="6">
        <v>35.450000000000003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spans="1:21" ht="12" customHeight="1">
      <c r="A3937" s="4">
        <v>7193</v>
      </c>
      <c r="B3937" s="4">
        <v>51302</v>
      </c>
      <c r="C3937" s="5">
        <f>DATE(2012,12,31)-495</f>
        <v>40779</v>
      </c>
      <c r="D3937" s="4" t="s">
        <v>45</v>
      </c>
      <c r="E3937" s="4">
        <v>44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6">C3937+2</f>
        <v>40781</v>
      </c>
    </row>
    <row r="3938" spans="1:21" ht="12" customHeight="1">
      <c r="A3938" s="4">
        <v>7244</v>
      </c>
      <c r="B3938" s="4">
        <v>51650</v>
      </c>
      <c r="C3938" s="5">
        <f t="shared" ref="C3938:C3940" si="1627">DATE(2012,12,31)-579</f>
        <v>40695</v>
      </c>
      <c r="D3938" s="4" t="s">
        <v>30</v>
      </c>
      <c r="E3938" s="4">
        <v>25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6"/>
        <v>40697</v>
      </c>
    </row>
    <row r="3939" spans="1:21" ht="12" customHeight="1">
      <c r="A3939" s="4">
        <v>7245</v>
      </c>
      <c r="B3939" s="4">
        <v>51650</v>
      </c>
      <c r="C3939" s="5">
        <f t="shared" si="1627"/>
        <v>40695</v>
      </c>
      <c r="D3939" s="4" t="s">
        <v>30</v>
      </c>
      <c r="E3939" s="4">
        <v>43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270.97000000000003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0.56000000000000005</v>
      </c>
      <c r="U3939" s="5">
        <f t="shared" si="1626"/>
        <v>40697</v>
      </c>
    </row>
    <row r="3940" spans="1:21" ht="12" customHeight="1">
      <c r="A3940" s="4">
        <v>7246</v>
      </c>
      <c r="B3940" s="4">
        <v>51650</v>
      </c>
      <c r="C3940" s="5">
        <f t="shared" si="1627"/>
        <v>40695</v>
      </c>
      <c r="D3940" s="4" t="s">
        <v>30</v>
      </c>
      <c r="E3940" s="4">
        <v>19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0.57999999999999996</v>
      </c>
      <c r="U3940" s="5">
        <f t="shared" si="1626"/>
        <v>40697</v>
      </c>
    </row>
    <row r="3941" spans="1:21" ht="12" customHeight="1">
      <c r="A3941" s="4">
        <v>7247</v>
      </c>
      <c r="B3941" s="4">
        <v>51652</v>
      </c>
      <c r="C3941" s="5">
        <f t="shared" ref="C3941:C3942" si="1628">DATE(2012,12,31)-632</f>
        <v>40642</v>
      </c>
      <c r="D3941" s="4" t="s">
        <v>45</v>
      </c>
      <c r="E3941" s="4">
        <v>37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4.9800000000000004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6"/>
        <v>40644</v>
      </c>
    </row>
    <row r="3942" spans="1:21" ht="12" customHeight="1">
      <c r="A3942" s="4">
        <v>7248</v>
      </c>
      <c r="B3942" s="4">
        <v>51652</v>
      </c>
      <c r="C3942" s="5">
        <f t="shared" si="1628"/>
        <v>40642</v>
      </c>
      <c r="D3942" s="4" t="s">
        <v>45</v>
      </c>
      <c r="E3942" s="4">
        <v>38</v>
      </c>
      <c r="F3942" s="4">
        <v>4992.63</v>
      </c>
      <c r="G3942" s="4">
        <v>7.0000000000000007E-2</v>
      </c>
      <c r="H3942" s="4" t="s">
        <v>56</v>
      </c>
      <c r="I3942" s="6">
        <v>44.13</v>
      </c>
      <c r="J3942" s="4">
        <v>140.85</v>
      </c>
      <c r="K3942" s="4">
        <v>19.989999999999998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29">C3942+1</f>
        <v>40643</v>
      </c>
    </row>
    <row r="3943" spans="1:21" ht="12" customHeight="1">
      <c r="A3943" s="4">
        <v>7272</v>
      </c>
      <c r="B3943" s="4">
        <v>51876</v>
      </c>
      <c r="C3943" s="5">
        <f>DATE(2012,12,31)-300</f>
        <v>40974</v>
      </c>
      <c r="D3943" s="4" t="s">
        <v>78</v>
      </c>
      <c r="E3943" s="4">
        <v>2</v>
      </c>
      <c r="F3943" s="4">
        <v>95.055499999999995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29"/>
        <v>40975</v>
      </c>
    </row>
    <row r="3944" spans="1:21" ht="12" customHeight="1">
      <c r="A3944" s="4">
        <v>7313</v>
      </c>
      <c r="B3944" s="4">
        <v>52160</v>
      </c>
      <c r="C3944" s="5">
        <f t="shared" ref="C3944:C3945" si="1630">DATE(2012,12,31)-547</f>
        <v>40727</v>
      </c>
      <c r="D3944" s="4" t="s">
        <v>78</v>
      </c>
      <c r="E3944" s="4">
        <v>5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2.1800000000000002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spans="1:21" ht="12" customHeight="1">
      <c r="A3945" s="4">
        <v>7314</v>
      </c>
      <c r="B3945" s="4">
        <v>52160</v>
      </c>
      <c r="C3945" s="5">
        <f t="shared" si="1630"/>
        <v>40727</v>
      </c>
      <c r="D3945" s="4" t="s">
        <v>78</v>
      </c>
      <c r="E3945" s="4">
        <v>6</v>
      </c>
      <c r="F3945" s="4">
        <v>631.49900000000002</v>
      </c>
      <c r="G3945" s="4">
        <v>0.09</v>
      </c>
      <c r="H3945" s="4" t="s">
        <v>22</v>
      </c>
      <c r="I3945" s="6">
        <v>-403.01799999999997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0.56999999999999995</v>
      </c>
      <c r="U3945" s="5">
        <f>C3945+2</f>
        <v>40729</v>
      </c>
    </row>
    <row r="3946" spans="1:21" ht="12" customHeight="1">
      <c r="A3946" s="4">
        <v>7382</v>
      </c>
      <c r="B3946" s="4">
        <v>52640</v>
      </c>
      <c r="C3946" s="5">
        <f>DATE(2012,12,31)-730</f>
        <v>40544</v>
      </c>
      <c r="D3946" s="4" t="s">
        <v>63</v>
      </c>
      <c r="E3946" s="4">
        <v>18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19.989999999999998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spans="1:21" ht="12" customHeight="1">
      <c r="A3947" s="4">
        <v>7504</v>
      </c>
      <c r="B3947" s="4">
        <v>53568</v>
      </c>
      <c r="C3947" s="5">
        <f>DATE(2012,12,31)-917</f>
        <v>40357</v>
      </c>
      <c r="D3947" s="4" t="s">
        <v>63</v>
      </c>
      <c r="E3947" s="4">
        <v>34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1">C3947+1</f>
        <v>40358</v>
      </c>
    </row>
    <row r="3948" spans="1:21" ht="12" customHeight="1">
      <c r="A3948" s="4">
        <v>7546</v>
      </c>
      <c r="B3948" s="4">
        <v>53956</v>
      </c>
      <c r="C3948" s="5">
        <f>DATE(2012,12,31)-511</f>
        <v>40763</v>
      </c>
      <c r="D3948" s="4" t="s">
        <v>30</v>
      </c>
      <c r="E3948" s="4">
        <v>43</v>
      </c>
      <c r="F3948" s="4">
        <v>1779.87</v>
      </c>
      <c r="G3948" s="4">
        <v>0.01</v>
      </c>
      <c r="H3948" s="4" t="s">
        <v>22</v>
      </c>
      <c r="I3948" s="6">
        <v>311.72000000000003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1"/>
        <v>40764</v>
      </c>
    </row>
    <row r="3949" spans="1:21" ht="12" customHeight="1">
      <c r="A3949" s="4">
        <v>7601</v>
      </c>
      <c r="B3949" s="4">
        <v>54371</v>
      </c>
      <c r="C3949" s="5">
        <f t="shared" ref="C3949:C3950" si="1632">DATE(2012,12,31)-320</f>
        <v>40954</v>
      </c>
      <c r="D3949" s="4" t="s">
        <v>45</v>
      </c>
      <c r="E3949" s="4">
        <v>28</v>
      </c>
      <c r="F3949" s="4">
        <v>115.02</v>
      </c>
      <c r="G3949" s="4">
        <v>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spans="1:21" ht="12" customHeight="1">
      <c r="A3950" s="4">
        <v>7602</v>
      </c>
      <c r="B3950" s="4">
        <v>54371</v>
      </c>
      <c r="C3950" s="5">
        <f t="shared" si="1632"/>
        <v>40954</v>
      </c>
      <c r="D3950" s="4" t="s">
        <v>45</v>
      </c>
      <c r="E3950" s="4">
        <v>7</v>
      </c>
      <c r="F3950" s="4">
        <v>118.63</v>
      </c>
      <c r="G3950" s="4">
        <v>0.05</v>
      </c>
      <c r="H3950" s="4" t="s">
        <v>22</v>
      </c>
      <c r="I3950" s="6">
        <v>6.2985000000000007</v>
      </c>
      <c r="J3950" s="4">
        <v>16.739999999999998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spans="1:21" ht="12" customHeight="1">
      <c r="A3951" s="4">
        <v>7654</v>
      </c>
      <c r="B3951" s="4">
        <v>54882</v>
      </c>
      <c r="C3951" s="5">
        <f t="shared" ref="C3951:C3952" si="1633">DATE(2012,12,31)-694</f>
        <v>40580</v>
      </c>
      <c r="D3951" s="4" t="s">
        <v>78</v>
      </c>
      <c r="E3951" s="4">
        <v>17</v>
      </c>
      <c r="F3951" s="4">
        <v>86.29</v>
      </c>
      <c r="G3951" s="4">
        <v>0.02</v>
      </c>
      <c r="H3951" s="4" t="s">
        <v>22</v>
      </c>
      <c r="I3951" s="6">
        <v>34.979999999999997</v>
      </c>
      <c r="J3951" s="4">
        <v>4.9800000000000004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spans="1:21" ht="12" customHeight="1">
      <c r="A3952" s="4">
        <v>7655</v>
      </c>
      <c r="B3952" s="4">
        <v>54882</v>
      </c>
      <c r="C3952" s="5">
        <f t="shared" si="1633"/>
        <v>40580</v>
      </c>
      <c r="D3952" s="4" t="s">
        <v>78</v>
      </c>
      <c r="E3952" s="4">
        <v>2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36.549999999999997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4">C3952+2</f>
        <v>40582</v>
      </c>
    </row>
    <row r="3953" spans="1:21" ht="12" customHeight="1">
      <c r="A3953" s="4">
        <v>7680</v>
      </c>
      <c r="B3953" s="4">
        <v>55042</v>
      </c>
      <c r="C3953" s="5">
        <f t="shared" ref="C3953:C3954" si="1635">DATE(2012,12,31)-389</f>
        <v>40885</v>
      </c>
      <c r="D3953" s="4" t="s">
        <v>30</v>
      </c>
      <c r="E3953" s="4">
        <v>28</v>
      </c>
      <c r="F3953" s="4">
        <v>1717.88</v>
      </c>
      <c r="G3953" s="4">
        <v>0.05</v>
      </c>
      <c r="H3953" s="4" t="s">
        <v>56</v>
      </c>
      <c r="I3953" s="6">
        <v>513.92999999999995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0.56000000000000005</v>
      </c>
      <c r="U3953" s="5">
        <f t="shared" si="1634"/>
        <v>40887</v>
      </c>
    </row>
    <row r="3954" spans="1:21" ht="12" customHeight="1">
      <c r="A3954" s="4">
        <v>7681</v>
      </c>
      <c r="B3954" s="4">
        <v>55042</v>
      </c>
      <c r="C3954" s="5">
        <f t="shared" si="1635"/>
        <v>40885</v>
      </c>
      <c r="D3954" s="4" t="s">
        <v>30</v>
      </c>
      <c r="E3954" s="4">
        <v>38</v>
      </c>
      <c r="F3954" s="4">
        <v>1978.4345000000001</v>
      </c>
      <c r="G3954" s="4">
        <v>0.09</v>
      </c>
      <c r="H3954" s="4" t="s">
        <v>22</v>
      </c>
      <c r="I3954" s="6">
        <v>471.08699999999993</v>
      </c>
      <c r="J3954" s="4">
        <v>65.989999999999995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0.55000000000000004</v>
      </c>
      <c r="U3954" s="5">
        <f>C3954+1</f>
        <v>40886</v>
      </c>
    </row>
    <row r="3955" spans="1:21" ht="12" customHeight="1">
      <c r="A3955" s="4">
        <v>7715</v>
      </c>
      <c r="B3955" s="4">
        <v>55297</v>
      </c>
      <c r="C3955" s="5">
        <f>DATE(2012,12,31)-804</f>
        <v>40470</v>
      </c>
      <c r="D3955" s="4" t="s">
        <v>63</v>
      </c>
      <c r="E3955" s="4">
        <v>29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spans="1:21" ht="12" customHeight="1">
      <c r="A3956" s="4">
        <v>7772</v>
      </c>
      <c r="B3956" s="4">
        <v>55623</v>
      </c>
      <c r="C3956" s="5">
        <f>DATE(2012,12,31)-87</f>
        <v>41187</v>
      </c>
      <c r="D3956" s="4" t="s">
        <v>78</v>
      </c>
      <c r="E3956" s="4">
        <v>47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32.479999999999997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spans="1:21" ht="12" customHeight="1">
      <c r="A3957" s="4">
        <v>7774</v>
      </c>
      <c r="B3957" s="4">
        <v>55650</v>
      </c>
      <c r="C3957" s="5">
        <f>DATE(2012,12,31)-437</f>
        <v>40837</v>
      </c>
      <c r="D3957" s="4" t="s">
        <v>21</v>
      </c>
      <c r="E3957" s="4">
        <v>41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32.979999999999997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spans="1:21" ht="12" customHeight="1">
      <c r="A3958" s="4">
        <v>7776</v>
      </c>
      <c r="B3958" s="4">
        <v>55651</v>
      </c>
      <c r="C3958" s="5">
        <f t="shared" ref="C3958:C3959" si="1636">DATE(2012,12,31)-299</f>
        <v>40975</v>
      </c>
      <c r="D3958" s="4" t="s">
        <v>63</v>
      </c>
      <c r="E3958" s="4">
        <v>41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20.239999999999998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spans="1:21" ht="12" customHeight="1">
      <c r="A3959" s="4">
        <v>7777</v>
      </c>
      <c r="B3959" s="4">
        <v>55651</v>
      </c>
      <c r="C3959" s="5">
        <f t="shared" si="1636"/>
        <v>40975</v>
      </c>
      <c r="D3959" s="4" t="s">
        <v>63</v>
      </c>
      <c r="E3959" s="4">
        <v>2</v>
      </c>
      <c r="F3959" s="4">
        <v>79.930000000000007</v>
      </c>
      <c r="G3959" s="4">
        <v>0</v>
      </c>
      <c r="H3959" s="4" t="s">
        <v>22</v>
      </c>
      <c r="I3959" s="6">
        <v>-52.73</v>
      </c>
      <c r="J3959" s="4">
        <v>27.75</v>
      </c>
      <c r="K3959" s="4">
        <v>19.989999999999998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spans="1:21" ht="12" customHeight="1">
      <c r="A3960" s="4">
        <v>7876</v>
      </c>
      <c r="B3960" s="4">
        <v>56322</v>
      </c>
      <c r="C3960" s="5">
        <f t="shared" ref="C3960:C3961" si="1637">DATE(2012,12,31)-458</f>
        <v>40816</v>
      </c>
      <c r="D3960" s="4" t="s">
        <v>63</v>
      </c>
      <c r="E3960" s="4">
        <v>26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8">C3960+2</f>
        <v>40818</v>
      </c>
    </row>
    <row r="3961" spans="1:21" ht="12" customHeight="1">
      <c r="A3961" s="4">
        <v>7877</v>
      </c>
      <c r="B3961" s="4">
        <v>56322</v>
      </c>
      <c r="C3961" s="5">
        <f t="shared" si="1637"/>
        <v>40816</v>
      </c>
      <c r="D3961" s="4" t="s">
        <v>63</v>
      </c>
      <c r="E3961" s="4">
        <v>16</v>
      </c>
      <c r="F3961" s="4">
        <v>1689.1369999999999</v>
      </c>
      <c r="G3961" s="4">
        <v>7.0000000000000007E-2</v>
      </c>
      <c r="H3961" s="4" t="s">
        <v>22</v>
      </c>
      <c r="I3961" s="6">
        <v>71.063999999999993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0.56999999999999995</v>
      </c>
      <c r="U3961" s="5">
        <f t="shared" si="1638"/>
        <v>40818</v>
      </c>
    </row>
    <row r="3962" spans="1:21" ht="12" customHeight="1">
      <c r="A3962" s="4">
        <v>7956</v>
      </c>
      <c r="B3962" s="4">
        <v>56835</v>
      </c>
      <c r="C3962" s="5">
        <f>DATE(2012,12,31)-1045</f>
        <v>40229</v>
      </c>
      <c r="D3962" s="4" t="s">
        <v>45</v>
      </c>
      <c r="E3962" s="4">
        <v>1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39">C3962+0</f>
        <v>40229</v>
      </c>
    </row>
    <row r="3963" spans="1:21" ht="12" customHeight="1">
      <c r="A3963" s="4">
        <v>7975</v>
      </c>
      <c r="B3963" s="4">
        <v>57058</v>
      </c>
      <c r="C3963" s="5">
        <f t="shared" ref="C3963:C3964" si="1640">DATE(2012,12,31)-236</f>
        <v>41038</v>
      </c>
      <c r="D3963" s="4" t="s">
        <v>63</v>
      </c>
      <c r="E3963" s="4">
        <v>28</v>
      </c>
      <c r="F3963" s="4">
        <v>205.43</v>
      </c>
      <c r="G3963" s="4">
        <v>0</v>
      </c>
      <c r="H3963" s="4" t="s">
        <v>56</v>
      </c>
      <c r="I3963" s="6">
        <v>-24.299499999999998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39"/>
        <v>41038</v>
      </c>
    </row>
    <row r="3964" spans="1:21" ht="12" customHeight="1">
      <c r="A3964" s="4">
        <v>7976</v>
      </c>
      <c r="B3964" s="4">
        <v>57058</v>
      </c>
      <c r="C3964" s="5">
        <f t="shared" si="1640"/>
        <v>41038</v>
      </c>
      <c r="D3964" s="4" t="s">
        <v>63</v>
      </c>
      <c r="E3964" s="4">
        <v>27</v>
      </c>
      <c r="F3964" s="4">
        <v>979.06</v>
      </c>
      <c r="G3964" s="4">
        <v>7.0000000000000007E-2</v>
      </c>
      <c r="H3964" s="4" t="s">
        <v>22</v>
      </c>
      <c r="I3964" s="6">
        <v>-131.9</v>
      </c>
      <c r="J3964" s="4">
        <v>35.770000000000003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1">C3964+1</f>
        <v>41039</v>
      </c>
    </row>
    <row r="3965" spans="1:21" ht="12" customHeight="1">
      <c r="A3965" s="4">
        <v>8072</v>
      </c>
      <c r="B3965" s="4">
        <v>57574</v>
      </c>
      <c r="C3965" s="5">
        <f>DATE(2012,12,31)-161</f>
        <v>41113</v>
      </c>
      <c r="D3965" s="4" t="s">
        <v>78</v>
      </c>
      <c r="E3965" s="4">
        <v>20</v>
      </c>
      <c r="F3965" s="4">
        <v>466.36</v>
      </c>
      <c r="G3965" s="4">
        <v>7.0000000000000007E-2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1"/>
        <v>41114</v>
      </c>
    </row>
    <row r="3966" spans="1:21" ht="12" customHeight="1">
      <c r="A3966" s="4">
        <v>8076</v>
      </c>
      <c r="B3966" s="4">
        <v>57602</v>
      </c>
      <c r="C3966" s="5">
        <f>DATE(2012,12,31)-228</f>
        <v>41046</v>
      </c>
      <c r="D3966" s="4" t="s">
        <v>21</v>
      </c>
      <c r="E3966" s="4">
        <v>43</v>
      </c>
      <c r="F3966" s="4">
        <v>130.36000000000001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spans="1:21" ht="12" customHeight="1">
      <c r="A3967" s="4">
        <v>8112</v>
      </c>
      <c r="B3967" s="4">
        <v>57921</v>
      </c>
      <c r="C3967" s="5">
        <f t="shared" ref="C3967:C3968" si="1642">DATE(2012,12,31)-866</f>
        <v>40408</v>
      </c>
      <c r="D3967" s="4" t="s">
        <v>63</v>
      </c>
      <c r="E3967" s="4">
        <v>8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4.9800000000000004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spans="1:21" ht="12" customHeight="1">
      <c r="A3968" s="4">
        <v>8113</v>
      </c>
      <c r="B3968" s="4">
        <v>57921</v>
      </c>
      <c r="C3968" s="5">
        <f t="shared" si="1642"/>
        <v>40408</v>
      </c>
      <c r="D3968" s="4" t="s">
        <v>63</v>
      </c>
      <c r="E3968" s="4">
        <v>7</v>
      </c>
      <c r="F3968" s="4">
        <v>148.05000000000001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spans="1:21" ht="12" customHeight="1">
      <c r="A3969" s="4">
        <v>8127</v>
      </c>
      <c r="B3969" s="4">
        <v>58086</v>
      </c>
      <c r="C3969" s="5">
        <f t="shared" ref="C3969:C3970" si="1643">DATE(2012,12,31)-662</f>
        <v>40612</v>
      </c>
      <c r="D3969" s="4" t="s">
        <v>63</v>
      </c>
      <c r="E3969" s="4">
        <v>27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4">C3969+1</f>
        <v>40613</v>
      </c>
    </row>
    <row r="3970" spans="1:21" ht="12" customHeight="1">
      <c r="A3970" s="4">
        <v>8128</v>
      </c>
      <c r="B3970" s="4">
        <v>58086</v>
      </c>
      <c r="C3970" s="5">
        <f t="shared" si="1643"/>
        <v>40612</v>
      </c>
      <c r="D3970" s="4" t="s">
        <v>63</v>
      </c>
      <c r="E3970" s="4">
        <v>31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4"/>
        <v>40613</v>
      </c>
    </row>
    <row r="3971" spans="1:21" ht="12" customHeight="1">
      <c r="A3971" s="4">
        <v>8160</v>
      </c>
      <c r="B3971" s="4">
        <v>58342</v>
      </c>
      <c r="C3971" s="5">
        <f>DATE(2012,12,31)-640</f>
        <v>40634</v>
      </c>
      <c r="D3971" s="4" t="s">
        <v>30</v>
      </c>
      <c r="E3971" s="4">
        <v>40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spans="1:21" ht="12" customHeight="1">
      <c r="A3972" s="4">
        <v>8279</v>
      </c>
      <c r="B3972" s="4">
        <v>59174</v>
      </c>
      <c r="C3972" s="5">
        <f>DATE(2012,12,31)-1095</f>
        <v>40179</v>
      </c>
      <c r="D3972" s="4" t="s">
        <v>63</v>
      </c>
      <c r="E3972" s="4">
        <v>6</v>
      </c>
      <c r="F3972" s="4">
        <v>1193.0999999999999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5">C3972+2</f>
        <v>40181</v>
      </c>
    </row>
    <row r="3973" spans="1:21" ht="12" customHeight="1">
      <c r="A3973" s="4">
        <v>8308</v>
      </c>
      <c r="B3973" s="4">
        <v>59361</v>
      </c>
      <c r="C3973" s="5">
        <f>DATE(2012,12,31)-124</f>
        <v>41150</v>
      </c>
      <c r="D3973" s="4" t="s">
        <v>30</v>
      </c>
      <c r="E3973" s="4">
        <v>45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5"/>
        <v>41152</v>
      </c>
    </row>
    <row r="3974" spans="1:21" ht="12" customHeight="1">
      <c r="A3974" s="4">
        <v>8326</v>
      </c>
      <c r="B3974" s="4">
        <v>59492</v>
      </c>
      <c r="C3974" s="5">
        <f>DATE(2012,12,31)-61</f>
        <v>41213</v>
      </c>
      <c r="D3974" s="4" t="s">
        <v>45</v>
      </c>
      <c r="E3974" s="4">
        <v>25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10.050000000000001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spans="1:21" ht="12" customHeight="1">
      <c r="A3975" s="4">
        <v>8350</v>
      </c>
      <c r="B3975" s="4">
        <v>59684</v>
      </c>
      <c r="C3975" s="5">
        <f t="shared" ref="C3975:C3978" si="1646">DATE(2012,12,31)-733</f>
        <v>40541</v>
      </c>
      <c r="D3975" s="4" t="s">
        <v>63</v>
      </c>
      <c r="E3975" s="4">
        <v>50</v>
      </c>
      <c r="F3975" s="4">
        <v>9059.9</v>
      </c>
      <c r="G3975" s="4">
        <v>7.0000000000000007E-2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0.56999999999999995</v>
      </c>
      <c r="U3975" s="5">
        <f>C3975+17</f>
        <v>40558</v>
      </c>
    </row>
    <row r="3976" spans="1:21" ht="12" customHeight="1">
      <c r="A3976" s="4">
        <v>8351</v>
      </c>
      <c r="B3976" s="4">
        <v>59684</v>
      </c>
      <c r="C3976" s="5">
        <f t="shared" si="1646"/>
        <v>40541</v>
      </c>
      <c r="D3976" s="4" t="s">
        <v>63</v>
      </c>
      <c r="E3976" s="4">
        <v>41</v>
      </c>
      <c r="F3976" s="4">
        <v>368.17</v>
      </c>
      <c r="G3976" s="4">
        <v>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spans="1:21" ht="12" customHeight="1">
      <c r="A3977" s="4">
        <v>8352</v>
      </c>
      <c r="B3977" s="4">
        <v>59684</v>
      </c>
      <c r="C3977" s="5">
        <f t="shared" si="1646"/>
        <v>40541</v>
      </c>
      <c r="D3977" s="4" t="s">
        <v>63</v>
      </c>
      <c r="E3977" s="4">
        <v>3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2.2599999999999998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spans="1:21" ht="12" customHeight="1">
      <c r="A3978" s="4">
        <v>8353</v>
      </c>
      <c r="B3978" s="4">
        <v>59684</v>
      </c>
      <c r="C3978" s="5">
        <f t="shared" si="1646"/>
        <v>40541</v>
      </c>
      <c r="D3978" s="4" t="s">
        <v>63</v>
      </c>
      <c r="E3978" s="4">
        <v>25</v>
      </c>
      <c r="F3978" s="4">
        <v>168.39</v>
      </c>
      <c r="G3978" s="4">
        <v>0.03</v>
      </c>
      <c r="H3978" s="4" t="s">
        <v>22</v>
      </c>
      <c r="I3978" s="6">
        <v>-144.88999999999999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7">C3978+1</f>
        <v>40542</v>
      </c>
    </row>
    <row r="3979" spans="1:21" ht="12" customHeight="1">
      <c r="A3979" s="4">
        <v>38</v>
      </c>
      <c r="B3979" s="4">
        <v>229</v>
      </c>
      <c r="C3979" s="5">
        <f>DATE(2012,12,31)-734</f>
        <v>40540</v>
      </c>
      <c r="D3979" s="4" t="s">
        <v>78</v>
      </c>
      <c r="E3979" s="4">
        <v>24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7"/>
        <v>40541</v>
      </c>
    </row>
    <row r="3980" spans="1:21" ht="12" customHeight="1">
      <c r="A3980" s="4">
        <v>82</v>
      </c>
      <c r="B3980" s="4">
        <v>512</v>
      </c>
      <c r="C3980" s="5">
        <f t="shared" ref="C3980:C3981" si="1648">DATE(2012,12,31)-592</f>
        <v>40682</v>
      </c>
      <c r="D3980" s="4" t="s">
        <v>21</v>
      </c>
      <c r="E3980" s="4">
        <v>6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18.059999999999999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0.56999999999999995</v>
      </c>
      <c r="U3980" s="5">
        <f>C3980+0</f>
        <v>40682</v>
      </c>
    </row>
    <row r="3981" spans="1:21" ht="12" customHeight="1">
      <c r="A3981" s="4">
        <v>83</v>
      </c>
      <c r="B3981" s="4">
        <v>512</v>
      </c>
      <c r="C3981" s="5">
        <f t="shared" si="1648"/>
        <v>40682</v>
      </c>
      <c r="D3981" s="4" t="s">
        <v>21</v>
      </c>
      <c r="E3981" s="4">
        <v>48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0.57999999999999996</v>
      </c>
      <c r="U3981" s="5">
        <f>C3981+2</f>
        <v>40684</v>
      </c>
    </row>
    <row r="3982" spans="1:21" ht="12" customHeight="1">
      <c r="A3982" s="4">
        <v>290</v>
      </c>
      <c r="B3982" s="4">
        <v>2023</v>
      </c>
      <c r="C3982" s="5">
        <f t="shared" ref="C3982:C3983" si="1649">DATE(2012,12,31)-240</f>
        <v>41034</v>
      </c>
      <c r="D3982" s="4" t="s">
        <v>21</v>
      </c>
      <c r="E3982" s="4">
        <v>4</v>
      </c>
      <c r="F3982" s="4">
        <v>294.89</v>
      </c>
      <c r="G3982" s="4">
        <v>0.09</v>
      </c>
      <c r="H3982" s="4" t="s">
        <v>22</v>
      </c>
      <c r="I3982" s="6">
        <v>-321.83999999999997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spans="1:21" ht="12" customHeight="1">
      <c r="A3983" s="4">
        <v>291</v>
      </c>
      <c r="B3983" s="4">
        <v>2023</v>
      </c>
      <c r="C3983" s="5">
        <f t="shared" si="1649"/>
        <v>41034</v>
      </c>
      <c r="D3983" s="4" t="s">
        <v>21</v>
      </c>
      <c r="E3983" s="4">
        <v>50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4.9800000000000004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0">C3983+2</f>
        <v>41036</v>
      </c>
    </row>
    <row r="3984" spans="1:21" ht="12" customHeight="1">
      <c r="A3984" s="4">
        <v>372</v>
      </c>
      <c r="B3984" s="4">
        <v>2593</v>
      </c>
      <c r="C3984" s="5">
        <f t="shared" ref="C3984:C3985" si="1651">DATE(2012,12,31)-850</f>
        <v>40424</v>
      </c>
      <c r="D3984" s="4" t="s">
        <v>30</v>
      </c>
      <c r="E3984" s="4">
        <v>5</v>
      </c>
      <c r="F3984" s="4">
        <v>2004.12</v>
      </c>
      <c r="G3984" s="4">
        <v>0.1</v>
      </c>
      <c r="H3984" s="4" t="s">
        <v>56</v>
      </c>
      <c r="I3984" s="6">
        <v>276.67500000000001</v>
      </c>
      <c r="J3984" s="4">
        <v>420.98</v>
      </c>
      <c r="K3984" s="4">
        <v>19.989999999999998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0"/>
        <v>40426</v>
      </c>
    </row>
    <row r="3985" spans="1:21" ht="12" customHeight="1">
      <c r="A3985" s="4">
        <v>373</v>
      </c>
      <c r="B3985" s="4">
        <v>2593</v>
      </c>
      <c r="C3985" s="5">
        <f t="shared" si="1651"/>
        <v>40424</v>
      </c>
      <c r="D3985" s="4" t="s">
        <v>30</v>
      </c>
      <c r="E3985" s="4">
        <v>15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0.55000000000000004</v>
      </c>
      <c r="U3985" s="5">
        <f>C3985+1</f>
        <v>40425</v>
      </c>
    </row>
    <row r="3986" spans="1:21" ht="12" customHeight="1">
      <c r="A3986" s="4">
        <v>501</v>
      </c>
      <c r="B3986" s="4">
        <v>3461</v>
      </c>
      <c r="C3986" s="5">
        <f t="shared" ref="C3986:C3987" si="1652">DATE(2012,12,31)-1066</f>
        <v>40208</v>
      </c>
      <c r="D3986" s="4" t="s">
        <v>78</v>
      </c>
      <c r="E3986" s="4">
        <v>47</v>
      </c>
      <c r="F3986" s="4">
        <v>2053.3789999999999</v>
      </c>
      <c r="G3986" s="4">
        <v>0.1</v>
      </c>
      <c r="H3986" s="4" t="s">
        <v>22</v>
      </c>
      <c r="I3986" s="6">
        <v>1040.4000000000001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3">C3986+2</f>
        <v>40210</v>
      </c>
    </row>
    <row r="3987" spans="1:21" ht="12" customHeight="1">
      <c r="A3987" s="4">
        <v>502</v>
      </c>
      <c r="B3987" s="4">
        <v>3461</v>
      </c>
      <c r="C3987" s="5">
        <f t="shared" si="1652"/>
        <v>40208</v>
      </c>
      <c r="D3987" s="4" t="s">
        <v>78</v>
      </c>
      <c r="E3987" s="4">
        <v>35</v>
      </c>
      <c r="F3987" s="4">
        <v>3206.3955000000001</v>
      </c>
      <c r="G3987" s="4">
        <v>0.08</v>
      </c>
      <c r="H3987" s="4" t="s">
        <v>22</v>
      </c>
      <c r="I3987" s="6">
        <v>784.77300000000002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0.55000000000000004</v>
      </c>
      <c r="U3987" s="5">
        <f t="shared" si="1653"/>
        <v>40210</v>
      </c>
    </row>
    <row r="3988" spans="1:21" ht="12" customHeight="1">
      <c r="A3988" s="4">
        <v>517</v>
      </c>
      <c r="B3988" s="4">
        <v>3554</v>
      </c>
      <c r="C3988" s="5">
        <f>DATE(2012,12,31)-564</f>
        <v>40710</v>
      </c>
      <c r="D3988" s="4" t="s">
        <v>21</v>
      </c>
      <c r="E3988" s="4">
        <v>25</v>
      </c>
      <c r="F3988" s="4">
        <v>288.91000000000003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spans="1:21" ht="12" customHeight="1">
      <c r="A3989" s="4">
        <v>610</v>
      </c>
      <c r="B3989" s="4">
        <v>4166</v>
      </c>
      <c r="C3989" s="5">
        <f>DATE(2012,12,31)-1038</f>
        <v>40236</v>
      </c>
      <c r="D3989" s="4" t="s">
        <v>21</v>
      </c>
      <c r="E3989" s="4">
        <v>19</v>
      </c>
      <c r="F3989" s="4">
        <v>138.85</v>
      </c>
      <c r="G3989" s="4">
        <v>0.08</v>
      </c>
      <c r="H3989" s="4" t="s">
        <v>22</v>
      </c>
      <c r="I3989" s="6">
        <v>-49.346499999999999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spans="1:21" ht="12" customHeight="1">
      <c r="A3990" s="4">
        <v>712</v>
      </c>
      <c r="B3990" s="4">
        <v>5059</v>
      </c>
      <c r="C3990" s="5">
        <f>DATE(2012,12,31)-783</f>
        <v>40491</v>
      </c>
      <c r="D3990" s="4" t="s">
        <v>30</v>
      </c>
      <c r="E3990" s="4">
        <v>5</v>
      </c>
      <c r="F3990" s="4">
        <v>41.18</v>
      </c>
      <c r="G3990" s="4">
        <v>0.1</v>
      </c>
      <c r="H3990" s="4" t="s">
        <v>56</v>
      </c>
      <c r="I3990" s="6">
        <v>-19.308499999999999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4">C3990+2</f>
        <v>40493</v>
      </c>
    </row>
    <row r="3991" spans="1:21" ht="12" customHeight="1">
      <c r="A3991" s="4">
        <v>730</v>
      </c>
      <c r="B3991" s="4">
        <v>5254</v>
      </c>
      <c r="C3991" s="5">
        <f>DATE(2012,12,31)-159</f>
        <v>41115</v>
      </c>
      <c r="D3991" s="4" t="s">
        <v>45</v>
      </c>
      <c r="E3991" s="4">
        <v>31</v>
      </c>
      <c r="F3991" s="4">
        <v>1735.3515</v>
      </c>
      <c r="G3991" s="4">
        <v>0.08</v>
      </c>
      <c r="H3991" s="4" t="s">
        <v>22</v>
      </c>
      <c r="I3991" s="6">
        <v>258.62400000000002</v>
      </c>
      <c r="J3991" s="4">
        <v>65.989999999999995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0.56000000000000005</v>
      </c>
      <c r="U3991" s="5">
        <f t="shared" si="1654"/>
        <v>41117</v>
      </c>
    </row>
    <row r="3992" spans="1:21" ht="12" customHeight="1">
      <c r="A3992" s="4">
        <v>784</v>
      </c>
      <c r="B3992" s="4">
        <v>5575</v>
      </c>
      <c r="C3992" s="5">
        <f>DATE(2012,12,31)-527</f>
        <v>40747</v>
      </c>
      <c r="D3992" s="4" t="s">
        <v>21</v>
      </c>
      <c r="E3992" s="4">
        <v>41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spans="1:21" ht="12" customHeight="1">
      <c r="A3993" s="4">
        <v>823</v>
      </c>
      <c r="B3993" s="4">
        <v>5954</v>
      </c>
      <c r="C3993" s="5">
        <f>DATE(2012,12,31)-29</f>
        <v>41245</v>
      </c>
      <c r="D3993" s="4" t="s">
        <v>78</v>
      </c>
      <c r="E3993" s="4">
        <v>32</v>
      </c>
      <c r="F3993" s="4">
        <v>18316.3</v>
      </c>
      <c r="G3993" s="4">
        <v>0.06</v>
      </c>
      <c r="H3993" s="4" t="s">
        <v>31</v>
      </c>
      <c r="I3993" s="6">
        <v>4569.0600000000004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0.56999999999999995</v>
      </c>
      <c r="U3993" s="5">
        <f t="shared" ref="U3993:U3994" si="1655">C3993+2</f>
        <v>41247</v>
      </c>
    </row>
    <row r="3994" spans="1:21" ht="12" customHeight="1">
      <c r="A3994" s="4">
        <v>840</v>
      </c>
      <c r="B3994" s="4">
        <v>6018</v>
      </c>
      <c r="C3994" s="5">
        <f t="shared" ref="C3994:C3995" si="1656">DATE(2012,12,31)-135</f>
        <v>41139</v>
      </c>
      <c r="D3994" s="4" t="s">
        <v>21</v>
      </c>
      <c r="E3994" s="4">
        <v>39</v>
      </c>
      <c r="F3994" s="4">
        <v>206.09</v>
      </c>
      <c r="G3994" s="4">
        <v>0</v>
      </c>
      <c r="H3994" s="4" t="s">
        <v>22</v>
      </c>
      <c r="I3994" s="6">
        <v>36.04</v>
      </c>
      <c r="J3994" s="4">
        <v>5.08</v>
      </c>
      <c r="K3994" s="4">
        <v>2.0299999999999998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5"/>
        <v>41141</v>
      </c>
    </row>
    <row r="3995" spans="1:21" ht="12" customHeight="1">
      <c r="A3995" s="4">
        <v>841</v>
      </c>
      <c r="B3995" s="4">
        <v>6018</v>
      </c>
      <c r="C3995" s="5">
        <f t="shared" si="1656"/>
        <v>41139</v>
      </c>
      <c r="D3995" s="4" t="s">
        <v>21</v>
      </c>
      <c r="E3995" s="4">
        <v>2</v>
      </c>
      <c r="F3995" s="4">
        <v>124.25</v>
      </c>
      <c r="G3995" s="4">
        <v>7.0000000000000007E-2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spans="1:21" ht="12" customHeight="1">
      <c r="A3996" s="4">
        <v>881</v>
      </c>
      <c r="B3996" s="4">
        <v>6336</v>
      </c>
      <c r="C3996" s="5">
        <f>DATE(2012,12,31)-491</f>
        <v>40783</v>
      </c>
      <c r="D3996" s="4" t="s">
        <v>30</v>
      </c>
      <c r="E3996" s="4">
        <v>43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7">C3996+2</f>
        <v>40785</v>
      </c>
    </row>
    <row r="3997" spans="1:21" ht="12" customHeight="1">
      <c r="A3997" s="4">
        <v>1037</v>
      </c>
      <c r="B3997" s="4">
        <v>7559</v>
      </c>
      <c r="C3997" s="5">
        <f t="shared" ref="C3997:C3998" si="1658">DATE(2012,12,31)-811</f>
        <v>40463</v>
      </c>
      <c r="D3997" s="4" t="s">
        <v>78</v>
      </c>
      <c r="E3997" s="4">
        <v>9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4.4800000000000004</v>
      </c>
      <c r="K3997" s="4">
        <v>49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7"/>
        <v>40465</v>
      </c>
    </row>
    <row r="3998" spans="1:21" ht="12" customHeight="1">
      <c r="A3998" s="4">
        <v>1038</v>
      </c>
      <c r="B3998" s="4">
        <v>7559</v>
      </c>
      <c r="C3998" s="5">
        <f t="shared" si="1658"/>
        <v>40463</v>
      </c>
      <c r="D3998" s="4" t="s">
        <v>78</v>
      </c>
      <c r="E3998" s="4">
        <v>39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spans="1:21" ht="12" customHeight="1">
      <c r="A3999" s="4">
        <v>1091</v>
      </c>
      <c r="B3999" s="4">
        <v>8007</v>
      </c>
      <c r="C3999" s="5">
        <f>DATE(2012,12,31)-324</f>
        <v>40950</v>
      </c>
      <c r="D3999" s="4" t="s">
        <v>21</v>
      </c>
      <c r="E3999" s="4">
        <v>35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19.989999999999998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spans="1:21" ht="12" customHeight="1">
      <c r="A4000" s="4">
        <v>1100</v>
      </c>
      <c r="B4000" s="4">
        <v>8070</v>
      </c>
      <c r="C4000" s="5">
        <f>DATE(2012,12,31)-338</f>
        <v>40936</v>
      </c>
      <c r="D4000" s="4" t="s">
        <v>63</v>
      </c>
      <c r="E4000" s="4">
        <v>14</v>
      </c>
      <c r="F4000" s="4">
        <v>622.72</v>
      </c>
      <c r="G4000" s="4">
        <v>0</v>
      </c>
      <c r="H4000" s="4" t="s">
        <v>22</v>
      </c>
      <c r="I4000" s="6">
        <v>76.510000000000005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59">C4000+1</f>
        <v>40937</v>
      </c>
    </row>
    <row r="4001" spans="1:21" ht="12" customHeight="1">
      <c r="A4001" s="4">
        <v>1180</v>
      </c>
      <c r="B4001" s="4">
        <v>8642</v>
      </c>
      <c r="C4001" s="5">
        <f t="shared" ref="C4001:C4002" si="1660">DATE(2012,12,31)-1080</f>
        <v>40194</v>
      </c>
      <c r="D4001" s="4" t="s">
        <v>30</v>
      </c>
      <c r="E4001" s="4">
        <v>26</v>
      </c>
      <c r="F4001" s="4">
        <v>151.05000000000001</v>
      </c>
      <c r="G4001" s="4">
        <v>0.09</v>
      </c>
      <c r="H4001" s="4" t="s">
        <v>22</v>
      </c>
      <c r="I4001" s="6">
        <v>-76.141499999999994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59"/>
        <v>40195</v>
      </c>
    </row>
    <row r="4002" spans="1:21" ht="12" customHeight="1">
      <c r="A4002" s="4">
        <v>1181</v>
      </c>
      <c r="B4002" s="4">
        <v>8642</v>
      </c>
      <c r="C4002" s="5">
        <f t="shared" si="1660"/>
        <v>40194</v>
      </c>
      <c r="D4002" s="4" t="s">
        <v>30</v>
      </c>
      <c r="E4002" s="4">
        <v>13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59"/>
        <v>40195</v>
      </c>
    </row>
    <row r="4003" spans="1:21" ht="12" customHeight="1">
      <c r="A4003" s="4">
        <v>1200</v>
      </c>
      <c r="B4003" s="4">
        <v>8803</v>
      </c>
      <c r="C4003" s="5">
        <f t="shared" ref="C4003:C4004" si="1661">DATE(2012,12,31)-11</f>
        <v>41263</v>
      </c>
      <c r="D4003" s="4" t="s">
        <v>45</v>
      </c>
      <c r="E4003" s="4">
        <v>6</v>
      </c>
      <c r="F4003" s="4">
        <v>1184.1099999999999</v>
      </c>
      <c r="G4003" s="4">
        <v>7.0000000000000007E-2</v>
      </c>
      <c r="H4003" s="4" t="s">
        <v>22</v>
      </c>
      <c r="I4003" s="6">
        <v>-145.07</v>
      </c>
      <c r="J4003" s="4">
        <v>193.17</v>
      </c>
      <c r="K4003" s="4">
        <v>19.989999999999998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59"/>
        <v>41264</v>
      </c>
    </row>
    <row r="4004" spans="1:21" ht="12" customHeight="1">
      <c r="A4004" s="4">
        <v>1201</v>
      </c>
      <c r="B4004" s="4">
        <v>8803</v>
      </c>
      <c r="C4004" s="5">
        <f t="shared" si="1661"/>
        <v>41263</v>
      </c>
      <c r="D4004" s="4" t="s">
        <v>45</v>
      </c>
      <c r="E4004" s="4">
        <v>17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spans="1:21" ht="12" customHeight="1">
      <c r="A4005" s="4">
        <v>1418</v>
      </c>
      <c r="B4005" s="4">
        <v>10278</v>
      </c>
      <c r="C4005" s="5">
        <f>DATE(2012,12,31)-476</f>
        <v>40798</v>
      </c>
      <c r="D4005" s="4" t="s">
        <v>21</v>
      </c>
      <c r="E4005" s="4">
        <v>25</v>
      </c>
      <c r="F4005" s="4">
        <v>1907.71</v>
      </c>
      <c r="G4005" s="4">
        <v>0</v>
      </c>
      <c r="H4005" s="4" t="s">
        <v>31</v>
      </c>
      <c r="I4005" s="6">
        <v>32.549999999999997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spans="1:21" ht="12" customHeight="1">
      <c r="A4006" s="4">
        <v>1719</v>
      </c>
      <c r="B4006" s="4">
        <v>12355</v>
      </c>
      <c r="C4006" s="5">
        <f t="shared" ref="C4006:C4007" si="1662">DATE(2012,12,31)-583</f>
        <v>40691</v>
      </c>
      <c r="D4006" s="4" t="s">
        <v>45</v>
      </c>
      <c r="E4006" s="4">
        <v>36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3">C4006+1</f>
        <v>40692</v>
      </c>
    </row>
    <row r="4007" spans="1:21" ht="12" customHeight="1">
      <c r="A4007" s="4">
        <v>1720</v>
      </c>
      <c r="B4007" s="4">
        <v>12355</v>
      </c>
      <c r="C4007" s="5">
        <f t="shared" si="1662"/>
        <v>40691</v>
      </c>
      <c r="D4007" s="4" t="s">
        <v>45</v>
      </c>
      <c r="E4007" s="4">
        <v>14</v>
      </c>
      <c r="F4007" s="4">
        <v>225.47</v>
      </c>
      <c r="G4007" s="4">
        <v>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0.56999999999999995</v>
      </c>
      <c r="U4007" s="5">
        <f t="shared" si="1663"/>
        <v>40692</v>
      </c>
    </row>
    <row r="4008" spans="1:21" ht="12" customHeight="1">
      <c r="A4008" s="4">
        <v>1834</v>
      </c>
      <c r="B4008" s="4">
        <v>13127</v>
      </c>
      <c r="C4008" s="5">
        <f>DATE(2012,12,31)-884</f>
        <v>40390</v>
      </c>
      <c r="D4008" s="4" t="s">
        <v>63</v>
      </c>
      <c r="E4008" s="4">
        <v>13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spans="1:21" ht="12" customHeight="1">
      <c r="A4009" s="4">
        <v>2092</v>
      </c>
      <c r="B4009" s="4">
        <v>14978</v>
      </c>
      <c r="C4009" s="5">
        <f t="shared" ref="C4009:C4010" si="1664">DATE(2012,12,31)-949</f>
        <v>40325</v>
      </c>
      <c r="D4009" s="4" t="s">
        <v>78</v>
      </c>
      <c r="E4009" s="4">
        <v>14</v>
      </c>
      <c r="F4009" s="4">
        <v>12043.88</v>
      </c>
      <c r="G4009" s="4">
        <v>7.0000000000000007E-2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5">C4009+1</f>
        <v>40326</v>
      </c>
    </row>
    <row r="4010" spans="1:21" ht="12" customHeight="1">
      <c r="A4010" s="4">
        <v>2093</v>
      </c>
      <c r="B4010" s="4">
        <v>14978</v>
      </c>
      <c r="C4010" s="5">
        <f t="shared" si="1664"/>
        <v>40325</v>
      </c>
      <c r="D4010" s="4" t="s">
        <v>78</v>
      </c>
      <c r="E4010" s="4">
        <v>14</v>
      </c>
      <c r="F4010" s="4">
        <v>195.12</v>
      </c>
      <c r="G4010" s="4">
        <v>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5"/>
        <v>40326</v>
      </c>
    </row>
    <row r="4011" spans="1:21" ht="12" customHeight="1">
      <c r="A4011" s="4">
        <v>2322</v>
      </c>
      <c r="B4011" s="4">
        <v>16737</v>
      </c>
      <c r="C4011" s="5">
        <f>DATE(2012,12,31)-560</f>
        <v>40714</v>
      </c>
      <c r="D4011" s="4" t="s">
        <v>45</v>
      </c>
      <c r="E4011" s="4">
        <v>15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19.989999999999998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5"/>
        <v>40715</v>
      </c>
    </row>
    <row r="4012" spans="1:21" ht="12" customHeight="1">
      <c r="A4012" s="4">
        <v>2429</v>
      </c>
      <c r="B4012" s="4">
        <v>17666</v>
      </c>
      <c r="C4012" s="5">
        <f t="shared" ref="C4012:C4013" si="1666">DATE(2012,12,31)-845</f>
        <v>40429</v>
      </c>
      <c r="D4012" s="4" t="s">
        <v>63</v>
      </c>
      <c r="E4012" s="4">
        <v>19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spans="1:21" ht="12" customHeight="1">
      <c r="A4013" s="4">
        <v>2430</v>
      </c>
      <c r="B4013" s="4">
        <v>17666</v>
      </c>
      <c r="C4013" s="5">
        <f t="shared" si="1666"/>
        <v>40429</v>
      </c>
      <c r="D4013" s="4" t="s">
        <v>63</v>
      </c>
      <c r="E4013" s="4">
        <v>11</v>
      </c>
      <c r="F4013" s="4">
        <v>141.07</v>
      </c>
      <c r="G4013" s="4">
        <v>0.08</v>
      </c>
      <c r="H4013" s="4" t="s">
        <v>22</v>
      </c>
      <c r="I4013" s="6">
        <v>-5.0999999999999996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spans="1:21" ht="12" customHeight="1">
      <c r="A4014" s="4">
        <v>2927</v>
      </c>
      <c r="B4014" s="4">
        <v>21220</v>
      </c>
      <c r="C4014" s="5">
        <f>DATE(2012,12,31)-9</f>
        <v>41265</v>
      </c>
      <c r="D4014" s="4" t="s">
        <v>45</v>
      </c>
      <c r="E4014" s="4">
        <v>4</v>
      </c>
      <c r="F4014" s="4">
        <v>476.31</v>
      </c>
      <c r="G4014" s="4">
        <v>7.0000000000000007E-2</v>
      </c>
      <c r="H4014" s="4" t="s">
        <v>31</v>
      </c>
      <c r="I4014" s="6">
        <v>-258.07679999999999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spans="1:21" ht="12" customHeight="1">
      <c r="A4015" s="4">
        <v>2991</v>
      </c>
      <c r="B4015" s="4">
        <v>21600</v>
      </c>
      <c r="C4015" s="5">
        <f>DATE(2012,12,31)-1002</f>
        <v>40272</v>
      </c>
      <c r="D4015" s="4" t="s">
        <v>21</v>
      </c>
      <c r="E4015" s="4">
        <v>17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spans="1:21" ht="12" customHeight="1">
      <c r="A4016" s="4">
        <v>3082</v>
      </c>
      <c r="B4016" s="4">
        <v>22117</v>
      </c>
      <c r="C4016" s="5">
        <f t="shared" ref="C4016:C4017" si="1667">DATE(2012,12,31)-872</f>
        <v>40402</v>
      </c>
      <c r="D4016" s="4" t="s">
        <v>78</v>
      </c>
      <c r="E4016" s="4">
        <v>16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spans="1:21" ht="12" customHeight="1">
      <c r="A4017" s="4">
        <v>3083</v>
      </c>
      <c r="B4017" s="4">
        <v>22117</v>
      </c>
      <c r="C4017" s="5">
        <f t="shared" si="1667"/>
        <v>40402</v>
      </c>
      <c r="D4017" s="4" t="s">
        <v>78</v>
      </c>
      <c r="E4017" s="4">
        <v>5</v>
      </c>
      <c r="F4017" s="4">
        <v>19.170000000000002</v>
      </c>
      <c r="G4017" s="4">
        <v>0.1</v>
      </c>
      <c r="H4017" s="4" t="s">
        <v>22</v>
      </c>
      <c r="I4017" s="6">
        <v>-16.420000000000002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0.56000000000000005</v>
      </c>
      <c r="U4017" s="5">
        <f>C4017+3</f>
        <v>40405</v>
      </c>
    </row>
    <row r="4018" spans="1:21" ht="12" customHeight="1">
      <c r="A4018" s="4">
        <v>3099</v>
      </c>
      <c r="B4018" s="4">
        <v>22211</v>
      </c>
      <c r="C4018" s="5">
        <f t="shared" ref="C4018:C4019" si="1668">DATE(2012,12,31)-455</f>
        <v>40819</v>
      </c>
      <c r="D4018" s="4" t="s">
        <v>45</v>
      </c>
      <c r="E4018" s="4">
        <v>30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19.989999999999998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spans="1:21" ht="12" customHeight="1">
      <c r="A4019" s="4">
        <v>3100</v>
      </c>
      <c r="B4019" s="4">
        <v>22211</v>
      </c>
      <c r="C4019" s="5">
        <f t="shared" si="1668"/>
        <v>40819</v>
      </c>
      <c r="D4019" s="4" t="s">
        <v>45</v>
      </c>
      <c r="E4019" s="4">
        <v>47</v>
      </c>
      <c r="F4019" s="4">
        <v>14493.84</v>
      </c>
      <c r="G4019" s="4">
        <v>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spans="1:21" ht="12" customHeight="1">
      <c r="A4020" s="4">
        <v>3119</v>
      </c>
      <c r="B4020" s="4">
        <v>22404</v>
      </c>
      <c r="C4020" s="5">
        <f>DATE(2012,12,31)-776</f>
        <v>40498</v>
      </c>
      <c r="D4020" s="4" t="s">
        <v>21</v>
      </c>
      <c r="E4020" s="4">
        <v>35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18.059999999999999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0.56999999999999995</v>
      </c>
      <c r="U4020" s="5">
        <f>C4020+7</f>
        <v>40505</v>
      </c>
    </row>
    <row r="4021" spans="1:21" ht="12" customHeight="1">
      <c r="A4021" s="4">
        <v>3266</v>
      </c>
      <c r="B4021" s="4">
        <v>23362</v>
      </c>
      <c r="C4021" s="5">
        <f>DATE(2012,12,31)-857</f>
        <v>40417</v>
      </c>
      <c r="D4021" s="4" t="s">
        <v>63</v>
      </c>
      <c r="E4021" s="4">
        <v>45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spans="1:21" ht="12" customHeight="1">
      <c r="A4022" s="4">
        <v>3275</v>
      </c>
      <c r="B4022" s="4">
        <v>23399</v>
      </c>
      <c r="C4022" s="5">
        <f>DATE(2012,12,31)-733</f>
        <v>40541</v>
      </c>
      <c r="D4022" s="4" t="s">
        <v>30</v>
      </c>
      <c r="E4022" s="4">
        <v>14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spans="1:21" ht="12" customHeight="1">
      <c r="A4023" s="4">
        <v>3326</v>
      </c>
      <c r="B4023" s="4">
        <v>23781</v>
      </c>
      <c r="C4023" s="5">
        <f>DATE(2012,12,31)-427</f>
        <v>40847</v>
      </c>
      <c r="D4023" s="4" t="s">
        <v>78</v>
      </c>
      <c r="E4023" s="4">
        <v>30</v>
      </c>
      <c r="F4023" s="4">
        <v>200.24</v>
      </c>
      <c r="G4023" s="4">
        <v>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spans="1:21" ht="12" customHeight="1">
      <c r="A4024" s="4">
        <v>3332</v>
      </c>
      <c r="B4024" s="4">
        <v>23812</v>
      </c>
      <c r="C4024" s="5">
        <f>DATE(2012,12,31)-157</f>
        <v>41117</v>
      </c>
      <c r="D4024" s="4" t="s">
        <v>78</v>
      </c>
      <c r="E4024" s="4">
        <v>32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spans="1:21" ht="12" customHeight="1">
      <c r="A4025" s="4">
        <v>3534</v>
      </c>
      <c r="B4025" s="4">
        <v>25155</v>
      </c>
      <c r="C4025" s="5">
        <f t="shared" ref="C4025:C4027" si="1669">DATE(2012,12,31)-1076</f>
        <v>40198</v>
      </c>
      <c r="D4025" s="4" t="s">
        <v>21</v>
      </c>
      <c r="E4025" s="4">
        <v>48</v>
      </c>
      <c r="F4025" s="4">
        <v>1038.99</v>
      </c>
      <c r="G4025" s="4">
        <v>0</v>
      </c>
      <c r="H4025" s="4" t="s">
        <v>22</v>
      </c>
      <c r="I4025" s="6">
        <v>-180.45</v>
      </c>
      <c r="J4025" s="4">
        <v>19.940000000000001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0.56999999999999995</v>
      </c>
      <c r="U4025" s="5">
        <f t="shared" ref="U4025:U4026" si="1670">C4025+7</f>
        <v>40205</v>
      </c>
    </row>
    <row r="4026" spans="1:21" ht="12" customHeight="1">
      <c r="A4026" s="4">
        <v>3535</v>
      </c>
      <c r="B4026" s="4">
        <v>25155</v>
      </c>
      <c r="C4026" s="5">
        <f t="shared" si="1669"/>
        <v>40198</v>
      </c>
      <c r="D4026" s="4" t="s">
        <v>21</v>
      </c>
      <c r="E4026" s="4">
        <v>17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0"/>
        <v>40205</v>
      </c>
    </row>
    <row r="4027" spans="1:21" ht="12" customHeight="1">
      <c r="A4027" s="4">
        <v>3536</v>
      </c>
      <c r="B4027" s="4">
        <v>25155</v>
      </c>
      <c r="C4027" s="5">
        <f t="shared" si="1669"/>
        <v>40198</v>
      </c>
      <c r="D4027" s="4" t="s">
        <v>21</v>
      </c>
      <c r="E4027" s="4">
        <v>3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4.9800000000000004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1">C4027+5</f>
        <v>40203</v>
      </c>
    </row>
    <row r="4028" spans="1:21" ht="12" customHeight="1">
      <c r="A4028" s="4">
        <v>3648</v>
      </c>
      <c r="B4028" s="4">
        <v>26084</v>
      </c>
      <c r="C4028" s="5">
        <f>DATE(2012,12,31)-76</f>
        <v>41198</v>
      </c>
      <c r="D4028" s="4" t="s">
        <v>21</v>
      </c>
      <c r="E4028" s="4">
        <v>33</v>
      </c>
      <c r="F4028" s="4">
        <v>228.82</v>
      </c>
      <c r="G4028" s="4">
        <v>0.03</v>
      </c>
      <c r="H4028" s="4" t="s">
        <v>56</v>
      </c>
      <c r="I4028" s="6">
        <v>-107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1"/>
        <v>41203</v>
      </c>
    </row>
    <row r="4029" spans="1:21" ht="12" customHeight="1">
      <c r="A4029" s="4">
        <v>3715</v>
      </c>
      <c r="B4029" s="4">
        <v>26529</v>
      </c>
      <c r="C4029" s="5">
        <f>DATE(2012,12,31)-703</f>
        <v>40571</v>
      </c>
      <c r="D4029" s="4" t="s">
        <v>21</v>
      </c>
      <c r="E4029" s="4">
        <v>41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0.56999999999999995</v>
      </c>
      <c r="U4029" s="5">
        <f>C4029+4</f>
        <v>40575</v>
      </c>
    </row>
    <row r="4030" spans="1:21" ht="12" customHeight="1">
      <c r="A4030" s="4">
        <v>3736</v>
      </c>
      <c r="B4030" s="4">
        <v>26693</v>
      </c>
      <c r="C4030" s="5">
        <f>DATE(2012,12,31)-863</f>
        <v>40411</v>
      </c>
      <c r="D4030" s="4" t="s">
        <v>63</v>
      </c>
      <c r="E4030" s="4">
        <v>44</v>
      </c>
      <c r="F4030" s="4">
        <v>2094.9779999999996</v>
      </c>
      <c r="G4030" s="4">
        <v>0.06</v>
      </c>
      <c r="H4030" s="4" t="s">
        <v>56</v>
      </c>
      <c r="I4030" s="6">
        <v>697.29300000000001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0.55000000000000004</v>
      </c>
      <c r="U4030" s="5">
        <f>C4030+2</f>
        <v>40413</v>
      </c>
    </row>
    <row r="4031" spans="1:21" ht="12" customHeight="1">
      <c r="A4031" s="4">
        <v>3775</v>
      </c>
      <c r="B4031" s="4">
        <v>26948</v>
      </c>
      <c r="C4031" s="5">
        <f>DATE(2012,12,31)-405</f>
        <v>40869</v>
      </c>
      <c r="D4031" s="4" t="s">
        <v>30</v>
      </c>
      <c r="E4031" s="4">
        <v>38</v>
      </c>
      <c r="F4031" s="4">
        <v>273.89</v>
      </c>
      <c r="G4031" s="4">
        <v>0.05</v>
      </c>
      <c r="H4031" s="4" t="s">
        <v>22</v>
      </c>
      <c r="I4031" s="6">
        <v>-160.40199999999999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2">C4031+1</f>
        <v>40870</v>
      </c>
    </row>
    <row r="4032" spans="1:21" ht="12" customHeight="1">
      <c r="A4032" s="4">
        <v>3777</v>
      </c>
      <c r="B4032" s="4">
        <v>26951</v>
      </c>
      <c r="C4032" s="5">
        <f>DATE(2012,12,31)-998</f>
        <v>40276</v>
      </c>
      <c r="D4032" s="4" t="s">
        <v>45</v>
      </c>
      <c r="E4032" s="4">
        <v>3</v>
      </c>
      <c r="F4032" s="4">
        <v>451.81</v>
      </c>
      <c r="G4032" s="4">
        <v>0.05</v>
      </c>
      <c r="H4032" s="4" t="s">
        <v>22</v>
      </c>
      <c r="I4032" s="6">
        <v>-318.59399999999999</v>
      </c>
      <c r="J4032" s="4">
        <v>150.97999999999999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2"/>
        <v>40277</v>
      </c>
    </row>
    <row r="4033" spans="1:21" ht="12" customHeight="1">
      <c r="A4033" s="4">
        <v>3812</v>
      </c>
      <c r="B4033" s="4">
        <v>27141</v>
      </c>
      <c r="C4033" s="5">
        <f t="shared" ref="C4033:C4034" si="1673">DATE(2012,12,31)-1061</f>
        <v>40213</v>
      </c>
      <c r="D4033" s="4" t="s">
        <v>45</v>
      </c>
      <c r="E4033" s="4">
        <v>25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0.56000000000000005</v>
      </c>
      <c r="U4033" s="5">
        <f t="shared" si="1672"/>
        <v>40214</v>
      </c>
    </row>
    <row r="4034" spans="1:21" ht="12" customHeight="1">
      <c r="A4034" s="4">
        <v>3813</v>
      </c>
      <c r="B4034" s="4">
        <v>27141</v>
      </c>
      <c r="C4034" s="5">
        <f t="shared" si="1673"/>
        <v>40213</v>
      </c>
      <c r="D4034" s="4" t="s">
        <v>45</v>
      </c>
      <c r="E4034" s="4">
        <v>28</v>
      </c>
      <c r="F4034" s="4">
        <v>1645.51</v>
      </c>
      <c r="G4034" s="4">
        <v>0.06</v>
      </c>
      <c r="H4034" s="4" t="s">
        <v>22</v>
      </c>
      <c r="I4034" s="6">
        <v>300.33999999999997</v>
      </c>
      <c r="J4034" s="4">
        <v>59.76</v>
      </c>
      <c r="K4034" s="4">
        <v>9.7100000000000009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0.56999999999999995</v>
      </c>
      <c r="U4034" s="5">
        <f t="shared" si="1672"/>
        <v>40214</v>
      </c>
    </row>
    <row r="4035" spans="1:21" ht="12" customHeight="1">
      <c r="A4035" s="4">
        <v>3832</v>
      </c>
      <c r="B4035" s="4">
        <v>27302</v>
      </c>
      <c r="C4035" s="5">
        <f t="shared" ref="C4035:C4036" si="1674">DATE(2012,12,31)-110</f>
        <v>41164</v>
      </c>
      <c r="D4035" s="4" t="s">
        <v>21</v>
      </c>
      <c r="E4035" s="4">
        <v>16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8.7799999999999994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5">C4035+0</f>
        <v>41164</v>
      </c>
    </row>
    <row r="4036" spans="1:21" ht="12" customHeight="1">
      <c r="A4036" s="4">
        <v>3833</v>
      </c>
      <c r="B4036" s="4">
        <v>27302</v>
      </c>
      <c r="C4036" s="5">
        <f t="shared" si="1674"/>
        <v>41164</v>
      </c>
      <c r="D4036" s="4" t="s">
        <v>21</v>
      </c>
      <c r="E4036" s="4">
        <v>3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5"/>
        <v>41164</v>
      </c>
    </row>
    <row r="4037" spans="1:21" ht="12" customHeight="1">
      <c r="A4037" s="4">
        <v>3843</v>
      </c>
      <c r="B4037" s="4">
        <v>27426</v>
      </c>
      <c r="C4037" s="5">
        <f t="shared" ref="C4037:C4038" si="1676">DATE(2012,12,31)-1042</f>
        <v>40232</v>
      </c>
      <c r="D4037" s="4" t="s">
        <v>21</v>
      </c>
      <c r="E4037" s="4">
        <v>41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spans="1:21" ht="12" customHeight="1">
      <c r="A4038" s="4">
        <v>3844</v>
      </c>
      <c r="B4038" s="4">
        <v>27426</v>
      </c>
      <c r="C4038" s="5">
        <f t="shared" si="1676"/>
        <v>40232</v>
      </c>
      <c r="D4038" s="4" t="s">
        <v>21</v>
      </c>
      <c r="E4038" s="4">
        <v>32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spans="1:21" ht="12" customHeight="1">
      <c r="A4039" s="4">
        <v>3898</v>
      </c>
      <c r="B4039" s="4">
        <v>27810</v>
      </c>
      <c r="C4039" s="5">
        <f>DATE(2012,12,31)-1068</f>
        <v>40206</v>
      </c>
      <c r="D4039" s="4" t="s">
        <v>30</v>
      </c>
      <c r="E4039" s="4">
        <v>32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spans="1:21" ht="12" customHeight="1">
      <c r="A4040" s="4">
        <v>4016</v>
      </c>
      <c r="B4040" s="4">
        <v>28674</v>
      </c>
      <c r="C4040" s="5">
        <f>DATE(2012,12,31)-504</f>
        <v>40770</v>
      </c>
      <c r="D4040" s="4" t="s">
        <v>30</v>
      </c>
      <c r="E4040" s="4">
        <v>26</v>
      </c>
      <c r="F4040" s="4">
        <v>161.96</v>
      </c>
      <c r="G4040" s="4">
        <v>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spans="1:21" ht="12" customHeight="1">
      <c r="A4041" s="4">
        <v>4025</v>
      </c>
      <c r="B4041" s="4">
        <v>28742</v>
      </c>
      <c r="C4041" s="5">
        <f t="shared" ref="C4041:C4042" si="1677">DATE(2012,12,31)-246</f>
        <v>41028</v>
      </c>
      <c r="D4041" s="4" t="s">
        <v>21</v>
      </c>
      <c r="E4041" s="4">
        <v>35</v>
      </c>
      <c r="F4041" s="4">
        <v>587.91999999999996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0.57999999999999996</v>
      </c>
      <c r="U4041" s="5">
        <f>C4041+0</f>
        <v>41028</v>
      </c>
    </row>
    <row r="4042" spans="1:21" ht="12" customHeight="1">
      <c r="A4042" s="4">
        <v>4026</v>
      </c>
      <c r="B4042" s="4">
        <v>28742</v>
      </c>
      <c r="C4042" s="5">
        <f t="shared" si="1677"/>
        <v>41028</v>
      </c>
      <c r="D4042" s="4" t="s">
        <v>21</v>
      </c>
      <c r="E4042" s="4">
        <v>7</v>
      </c>
      <c r="F4042" s="4">
        <v>2171.4639999999999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spans="1:21" ht="12" customHeight="1">
      <c r="A4043" s="4">
        <v>4087</v>
      </c>
      <c r="B4043" s="4">
        <v>29152</v>
      </c>
      <c r="C4043" s="5">
        <f t="shared" ref="C4043:C4044" si="1678">DATE(2012,12,31)-527</f>
        <v>40747</v>
      </c>
      <c r="D4043" s="4" t="s">
        <v>21</v>
      </c>
      <c r="E4043" s="4">
        <v>3</v>
      </c>
      <c r="F4043" s="4">
        <v>58.63</v>
      </c>
      <c r="G4043" s="4">
        <v>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spans="1:21" ht="12" customHeight="1">
      <c r="A4044" s="4">
        <v>4088</v>
      </c>
      <c r="B4044" s="4">
        <v>29152</v>
      </c>
      <c r="C4044" s="5">
        <f t="shared" si="1678"/>
        <v>40747</v>
      </c>
      <c r="D4044" s="4" t="s">
        <v>21</v>
      </c>
      <c r="E4044" s="4">
        <v>13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spans="1:21" ht="12" customHeight="1">
      <c r="A4045" s="4">
        <v>4177</v>
      </c>
      <c r="B4045" s="4">
        <v>29639</v>
      </c>
      <c r="C4045" s="5">
        <f>DATE(2012,12,31)-624</f>
        <v>40650</v>
      </c>
      <c r="D4045" s="4" t="s">
        <v>78</v>
      </c>
      <c r="E4045" s="4">
        <v>8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0.57999999999999996</v>
      </c>
      <c r="U4045" s="5">
        <f>C4045+2</f>
        <v>40652</v>
      </c>
    </row>
    <row r="4046" spans="1:21" ht="12" customHeight="1">
      <c r="A4046" s="4">
        <v>4565</v>
      </c>
      <c r="B4046" s="4">
        <v>32455</v>
      </c>
      <c r="C4046" s="5">
        <f>DATE(2012,12,31)-830</f>
        <v>40444</v>
      </c>
      <c r="D4046" s="4" t="s">
        <v>30</v>
      </c>
      <c r="E4046" s="4">
        <v>43</v>
      </c>
      <c r="F4046" s="4">
        <v>4620.53</v>
      </c>
      <c r="G4046" s="4">
        <v>0</v>
      </c>
      <c r="H4046" s="4" t="s">
        <v>22</v>
      </c>
      <c r="I4046" s="6">
        <v>1025.23</v>
      </c>
      <c r="J4046" s="4">
        <v>99.99</v>
      </c>
      <c r="K4046" s="4">
        <v>19.989999999999998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79">C4046+1</f>
        <v>40445</v>
      </c>
    </row>
    <row r="4047" spans="1:21" ht="12" customHeight="1">
      <c r="A4047" s="4">
        <v>4566</v>
      </c>
      <c r="B4047" s="4">
        <v>32484</v>
      </c>
      <c r="C4047" s="5">
        <f>DATE(2012,12,31)-696</f>
        <v>40578</v>
      </c>
      <c r="D4047" s="4" t="s">
        <v>45</v>
      </c>
      <c r="E4047" s="4">
        <v>9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0.56000000000000005</v>
      </c>
      <c r="U4047" s="5">
        <f t="shared" si="1679"/>
        <v>40579</v>
      </c>
    </row>
    <row r="4048" spans="1:21" ht="12" customHeight="1">
      <c r="A4048" s="4">
        <v>4835</v>
      </c>
      <c r="B4048" s="4">
        <v>34402</v>
      </c>
      <c r="C4048" s="5">
        <f t="shared" ref="C4048:C4049" si="1680">DATE(2012,12,31)-974</f>
        <v>40300</v>
      </c>
      <c r="D4048" s="4" t="s">
        <v>30</v>
      </c>
      <c r="E4048" s="4">
        <v>38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spans="1:21" ht="12" customHeight="1">
      <c r="A4049" s="4">
        <v>4836</v>
      </c>
      <c r="B4049" s="4">
        <v>34402</v>
      </c>
      <c r="C4049" s="5">
        <f t="shared" si="1680"/>
        <v>40300</v>
      </c>
      <c r="D4049" s="4" t="s">
        <v>30</v>
      </c>
      <c r="E4049" s="4">
        <v>11</v>
      </c>
      <c r="F4049" s="4">
        <v>48.5</v>
      </c>
      <c r="G4049" s="4">
        <v>7.0000000000000007E-2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spans="1:21" ht="12" customHeight="1">
      <c r="A4050" s="4">
        <v>4880</v>
      </c>
      <c r="B4050" s="4">
        <v>34723</v>
      </c>
      <c r="C4050" s="5">
        <f t="shared" ref="C4050:C4052" si="1681">DATE(2012,12,31)-22</f>
        <v>41252</v>
      </c>
      <c r="D4050" s="4" t="s">
        <v>63</v>
      </c>
      <c r="E4050" s="4">
        <v>4</v>
      </c>
      <c r="F4050" s="4">
        <v>6095.14</v>
      </c>
      <c r="G4050" s="4">
        <v>0.06</v>
      </c>
      <c r="H4050" s="4" t="s">
        <v>31</v>
      </c>
      <c r="I4050" s="6">
        <v>-3001.2824999999998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0.56999999999999995</v>
      </c>
      <c r="U4050" s="5">
        <f>C4050+2</f>
        <v>41254</v>
      </c>
    </row>
    <row r="4051" spans="1:21" ht="12" customHeight="1">
      <c r="A4051" s="4">
        <v>4881</v>
      </c>
      <c r="B4051" s="4">
        <v>34723</v>
      </c>
      <c r="C4051" s="5">
        <f t="shared" si="1681"/>
        <v>41252</v>
      </c>
      <c r="D4051" s="4" t="s">
        <v>63</v>
      </c>
      <c r="E4051" s="4">
        <v>46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spans="1:21" ht="12" customHeight="1">
      <c r="A4052" s="4">
        <v>4882</v>
      </c>
      <c r="B4052" s="4">
        <v>34723</v>
      </c>
      <c r="C4052" s="5">
        <f t="shared" si="1681"/>
        <v>41252</v>
      </c>
      <c r="D4052" s="4" t="s">
        <v>63</v>
      </c>
      <c r="E4052" s="4">
        <v>29</v>
      </c>
      <c r="F4052" s="4">
        <v>1487.8995</v>
      </c>
      <c r="G4052" s="4">
        <v>0.09</v>
      </c>
      <c r="H4052" s="4" t="s">
        <v>22</v>
      </c>
      <c r="I4052" s="6">
        <v>79.316999999999993</v>
      </c>
      <c r="J4052" s="4">
        <v>65.989999999999995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0.56000000000000005</v>
      </c>
      <c r="U4052" s="5">
        <f t="shared" ref="U4052:U4056" si="1682">C4052+2</f>
        <v>41254</v>
      </c>
    </row>
    <row r="4053" spans="1:21" ht="12" customHeight="1">
      <c r="A4053" s="4">
        <v>4887</v>
      </c>
      <c r="B4053" s="4">
        <v>34757</v>
      </c>
      <c r="C4053" s="5">
        <f>DATE(2012,12,31)-217</f>
        <v>41057</v>
      </c>
      <c r="D4053" s="4" t="s">
        <v>30</v>
      </c>
      <c r="E4053" s="4">
        <v>40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2"/>
        <v>41059</v>
      </c>
    </row>
    <row r="4054" spans="1:21" ht="12" customHeight="1">
      <c r="A4054" s="4">
        <v>4905</v>
      </c>
      <c r="B4054" s="4">
        <v>34913</v>
      </c>
      <c r="C4054" s="5">
        <f>DATE(2012,12,31)-405</f>
        <v>40869</v>
      </c>
      <c r="D4054" s="4" t="s">
        <v>63</v>
      </c>
      <c r="E4054" s="4">
        <v>15</v>
      </c>
      <c r="F4054" s="4">
        <v>107.63</v>
      </c>
      <c r="G4054" s="4">
        <v>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2"/>
        <v>40871</v>
      </c>
    </row>
    <row r="4055" spans="1:21" ht="12" customHeight="1">
      <c r="A4055" s="4">
        <v>4961</v>
      </c>
      <c r="B4055" s="4">
        <v>35299</v>
      </c>
      <c r="C4055" s="5">
        <f>DATE(2012,12,31)-143</f>
        <v>41131</v>
      </c>
      <c r="D4055" s="4" t="s">
        <v>45</v>
      </c>
      <c r="E4055" s="4">
        <v>41</v>
      </c>
      <c r="F4055" s="4">
        <v>4359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19.989999999999998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2"/>
        <v>41133</v>
      </c>
    </row>
    <row r="4056" spans="1:21" ht="12" customHeight="1">
      <c r="A4056" s="4">
        <v>5145</v>
      </c>
      <c r="B4056" s="4">
        <v>36676</v>
      </c>
      <c r="C4056" s="5">
        <f t="shared" ref="C4056:C4057" si="1683">DATE(2012,12,31)-494</f>
        <v>40780</v>
      </c>
      <c r="D4056" s="4" t="s">
        <v>45</v>
      </c>
      <c r="E4056" s="4">
        <v>32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2"/>
        <v>40782</v>
      </c>
    </row>
    <row r="4057" spans="1:21" ht="12" customHeight="1">
      <c r="A4057" s="4">
        <v>5146</v>
      </c>
      <c r="B4057" s="4">
        <v>36676</v>
      </c>
      <c r="C4057" s="5">
        <f t="shared" si="1683"/>
        <v>40780</v>
      </c>
      <c r="D4057" s="4" t="s">
        <v>45</v>
      </c>
      <c r="E4057" s="4">
        <v>15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spans="1:21" ht="12" customHeight="1">
      <c r="A4058" s="4">
        <v>5155</v>
      </c>
      <c r="B4058" s="4">
        <v>36708</v>
      </c>
      <c r="C4058" s="5">
        <f t="shared" ref="C4058:C4059" si="1684">DATE(2012,12,31)-469</f>
        <v>40805</v>
      </c>
      <c r="D4058" s="4" t="s">
        <v>45</v>
      </c>
      <c r="E4058" s="4">
        <v>46</v>
      </c>
      <c r="F4058" s="4">
        <v>636.5</v>
      </c>
      <c r="G4058" s="4">
        <v>0.01</v>
      </c>
      <c r="H4058" s="4" t="s">
        <v>22</v>
      </c>
      <c r="I4058" s="6">
        <v>-71.983800000000002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5">C4058+2</f>
        <v>40807</v>
      </c>
    </row>
    <row r="4059" spans="1:21" ht="12" customHeight="1">
      <c r="A4059" s="4">
        <v>5156</v>
      </c>
      <c r="B4059" s="4">
        <v>36708</v>
      </c>
      <c r="C4059" s="5">
        <f t="shared" si="1684"/>
        <v>40805</v>
      </c>
      <c r="D4059" s="4" t="s">
        <v>45</v>
      </c>
      <c r="E4059" s="4">
        <v>25</v>
      </c>
      <c r="F4059" s="4">
        <v>2614.3705</v>
      </c>
      <c r="G4059" s="4">
        <v>7.0000000000000007E-2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0.57999999999999996</v>
      </c>
      <c r="U4059" s="5">
        <f t="shared" si="1685"/>
        <v>40807</v>
      </c>
    </row>
    <row r="4060" spans="1:21" ht="12" customHeight="1">
      <c r="A4060" s="4">
        <v>5218</v>
      </c>
      <c r="B4060" s="4">
        <v>37127</v>
      </c>
      <c r="C4060" s="5">
        <f>DATE(2012,12,31)-821</f>
        <v>40453</v>
      </c>
      <c r="D4060" s="4" t="s">
        <v>30</v>
      </c>
      <c r="E4060" s="4">
        <v>19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6">C4060+1</f>
        <v>40454</v>
      </c>
    </row>
    <row r="4061" spans="1:21" ht="12" customHeight="1">
      <c r="A4061" s="4">
        <v>5288</v>
      </c>
      <c r="B4061" s="4">
        <v>37667</v>
      </c>
      <c r="C4061" s="5">
        <f>DATE(2012,12,31)-395</f>
        <v>40879</v>
      </c>
      <c r="D4061" s="4" t="s">
        <v>30</v>
      </c>
      <c r="E4061" s="4">
        <v>31</v>
      </c>
      <c r="F4061" s="4">
        <v>472.35</v>
      </c>
      <c r="G4061" s="4">
        <v>0.03</v>
      </c>
      <c r="H4061" s="4" t="s">
        <v>22</v>
      </c>
      <c r="I4061" s="6">
        <v>61.676000000000002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6"/>
        <v>40880</v>
      </c>
    </row>
    <row r="4062" spans="1:21" ht="12" customHeight="1">
      <c r="A4062" s="4">
        <v>5326</v>
      </c>
      <c r="B4062" s="4">
        <v>37861</v>
      </c>
      <c r="C4062" s="5">
        <f>DATE(2012,12,31)-369</f>
        <v>40905</v>
      </c>
      <c r="D4062" s="4" t="s">
        <v>45</v>
      </c>
      <c r="E4062" s="4">
        <v>32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7">C4062+2</f>
        <v>40907</v>
      </c>
    </row>
    <row r="4063" spans="1:21" ht="12" customHeight="1">
      <c r="A4063" s="4">
        <v>5385</v>
      </c>
      <c r="B4063" s="4">
        <v>38304</v>
      </c>
      <c r="C4063" s="5">
        <f>DATE(2012,12,31)-650</f>
        <v>40624</v>
      </c>
      <c r="D4063" s="4" t="s">
        <v>30</v>
      </c>
      <c r="E4063" s="4">
        <v>7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7"/>
        <v>40626</v>
      </c>
    </row>
    <row r="4064" spans="1:21" ht="12" customHeight="1">
      <c r="A4064" s="4">
        <v>5543</v>
      </c>
      <c r="B4064" s="4">
        <v>39267</v>
      </c>
      <c r="C4064" s="5">
        <f t="shared" ref="C4064:C4065" si="1688">DATE(2012,12,31)-1078</f>
        <v>40196</v>
      </c>
      <c r="D4064" s="4" t="s">
        <v>30</v>
      </c>
      <c r="E4064" s="4">
        <v>26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7"/>
        <v>40198</v>
      </c>
    </row>
    <row r="4065" spans="1:21" ht="12" customHeight="1">
      <c r="A4065" s="4">
        <v>5544</v>
      </c>
      <c r="B4065" s="4">
        <v>39267</v>
      </c>
      <c r="C4065" s="5">
        <f t="shared" si="1688"/>
        <v>40196</v>
      </c>
      <c r="D4065" s="4" t="s">
        <v>30</v>
      </c>
      <c r="E4065" s="4">
        <v>46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0.57999999999999996</v>
      </c>
      <c r="U4065" s="5">
        <f t="shared" ref="U4065:U4066" si="1689">C4065+1</f>
        <v>40197</v>
      </c>
    </row>
    <row r="4066" spans="1:21" ht="12" customHeight="1">
      <c r="A4066" s="4">
        <v>5738</v>
      </c>
      <c r="B4066" s="4">
        <v>40772</v>
      </c>
      <c r="C4066" s="5">
        <f>DATE(2012,12,31)-322</f>
        <v>40952</v>
      </c>
      <c r="D4066" s="4" t="s">
        <v>78</v>
      </c>
      <c r="E4066" s="4">
        <v>15</v>
      </c>
      <c r="F4066" s="4">
        <v>128.27000000000001</v>
      </c>
      <c r="G4066" s="4">
        <v>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89"/>
        <v>40953</v>
      </c>
    </row>
    <row r="4067" spans="1:21" ht="12" customHeight="1">
      <c r="A4067" s="4">
        <v>6089</v>
      </c>
      <c r="B4067" s="4">
        <v>43138</v>
      </c>
      <c r="C4067" s="5">
        <f t="shared" ref="C4067:C4068" si="1690">DATE(2012,12,31)-292</f>
        <v>40982</v>
      </c>
      <c r="D4067" s="4" t="s">
        <v>21</v>
      </c>
      <c r="E4067" s="4">
        <v>43</v>
      </c>
      <c r="F4067" s="4">
        <v>1334.05</v>
      </c>
      <c r="G4067" s="4">
        <v>0.06</v>
      </c>
      <c r="H4067" s="4" t="s">
        <v>22</v>
      </c>
      <c r="I4067" s="6">
        <v>581.76549999999997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spans="1:21" ht="12" customHeight="1">
      <c r="A4068" s="4">
        <v>6090</v>
      </c>
      <c r="B4068" s="4">
        <v>43138</v>
      </c>
      <c r="C4068" s="5">
        <f t="shared" si="1690"/>
        <v>40982</v>
      </c>
      <c r="D4068" s="4" t="s">
        <v>21</v>
      </c>
      <c r="E4068" s="4">
        <v>50</v>
      </c>
      <c r="F4068" s="4">
        <v>6552.86</v>
      </c>
      <c r="G4068" s="4">
        <v>7.0000000000000007E-2</v>
      </c>
      <c r="H4068" s="4" t="s">
        <v>31</v>
      </c>
      <c r="I4068" s="6">
        <v>-692.82</v>
      </c>
      <c r="J4068" s="4">
        <v>137.47999999999999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spans="1:21" ht="12" customHeight="1">
      <c r="A4069" s="4">
        <v>6099</v>
      </c>
      <c r="B4069" s="4">
        <v>43207</v>
      </c>
      <c r="C4069" s="5">
        <f t="shared" ref="C4069:C4071" si="1691">DATE(2012,12,31)-936</f>
        <v>40338</v>
      </c>
      <c r="D4069" s="4" t="s">
        <v>21</v>
      </c>
      <c r="E4069" s="4">
        <v>45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0.56999999999999995</v>
      </c>
      <c r="U4069" s="5">
        <f>C4069+4</f>
        <v>40342</v>
      </c>
    </row>
    <row r="4070" spans="1:21" ht="12" customHeight="1">
      <c r="A4070" s="4">
        <v>6100</v>
      </c>
      <c r="B4070" s="4">
        <v>43207</v>
      </c>
      <c r="C4070" s="5">
        <f t="shared" si="1691"/>
        <v>40338</v>
      </c>
      <c r="D4070" s="4" t="s">
        <v>21</v>
      </c>
      <c r="E4070" s="4">
        <v>41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spans="1:21" ht="12" customHeight="1">
      <c r="A4071" s="4">
        <v>6101</v>
      </c>
      <c r="B4071" s="4">
        <v>43207</v>
      </c>
      <c r="C4071" s="5">
        <f t="shared" si="1691"/>
        <v>40338</v>
      </c>
      <c r="D4071" s="4" t="s">
        <v>21</v>
      </c>
      <c r="E4071" s="4">
        <v>8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2">C4071+2</f>
        <v>40340</v>
      </c>
    </row>
    <row r="4072" spans="1:21" ht="12" customHeight="1">
      <c r="A4072" s="4">
        <v>6253</v>
      </c>
      <c r="B4072" s="4">
        <v>44290</v>
      </c>
      <c r="C4072" s="5">
        <f t="shared" ref="C4072:C4074" si="1693">DATE(2012,12,31)-1016</f>
        <v>40258</v>
      </c>
      <c r="D4072" s="4" t="s">
        <v>63</v>
      </c>
      <c r="E4072" s="4">
        <v>49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2"/>
        <v>40260</v>
      </c>
    </row>
    <row r="4073" spans="1:21" ht="12" customHeight="1">
      <c r="A4073" s="4">
        <v>6254</v>
      </c>
      <c r="B4073" s="4">
        <v>44290</v>
      </c>
      <c r="C4073" s="5">
        <f t="shared" si="1693"/>
        <v>40258</v>
      </c>
      <c r="D4073" s="4" t="s">
        <v>63</v>
      </c>
      <c r="E4073" s="4">
        <v>28</v>
      </c>
      <c r="F4073" s="4">
        <v>281.08999999999997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2"/>
        <v>40260</v>
      </c>
    </row>
    <row r="4074" spans="1:21" ht="12" customHeight="1">
      <c r="A4074" s="4">
        <v>6255</v>
      </c>
      <c r="B4074" s="4">
        <v>44290</v>
      </c>
      <c r="C4074" s="5">
        <f t="shared" si="1693"/>
        <v>40258</v>
      </c>
      <c r="D4074" s="4" t="s">
        <v>63</v>
      </c>
      <c r="E4074" s="4">
        <v>41</v>
      </c>
      <c r="F4074" s="4">
        <v>276.64999999999998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2"/>
        <v>40260</v>
      </c>
    </row>
    <row r="4075" spans="1:21" ht="12" customHeight="1">
      <c r="A4075" s="4">
        <v>6304</v>
      </c>
      <c r="B4075" s="4">
        <v>44613</v>
      </c>
      <c r="C4075" s="5">
        <f t="shared" ref="C4075:C4077" si="1694">DATE(2012,12,31)-854</f>
        <v>40420</v>
      </c>
      <c r="D4075" s="4" t="s">
        <v>30</v>
      </c>
      <c r="E4075" s="4">
        <v>34</v>
      </c>
      <c r="F4075" s="4">
        <v>1911.69</v>
      </c>
      <c r="G4075" s="4">
        <v>7.0000000000000007E-2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5">C4075+1</f>
        <v>40421</v>
      </c>
    </row>
    <row r="4076" spans="1:21" ht="12" customHeight="1">
      <c r="A4076" s="4">
        <v>6305</v>
      </c>
      <c r="B4076" s="4">
        <v>44613</v>
      </c>
      <c r="C4076" s="5">
        <f t="shared" si="1694"/>
        <v>40420</v>
      </c>
      <c r="D4076" s="4" t="s">
        <v>30</v>
      </c>
      <c r="E4076" s="4">
        <v>17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5"/>
        <v>40421</v>
      </c>
    </row>
    <row r="4077" spans="1:21" ht="12" customHeight="1">
      <c r="A4077" s="4">
        <v>6306</v>
      </c>
      <c r="B4077" s="4">
        <v>44613</v>
      </c>
      <c r="C4077" s="5">
        <f t="shared" si="1694"/>
        <v>40420</v>
      </c>
      <c r="D4077" s="4" t="s">
        <v>30</v>
      </c>
      <c r="E4077" s="4">
        <v>45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5"/>
        <v>40421</v>
      </c>
    </row>
    <row r="4078" spans="1:21" ht="12" customHeight="1">
      <c r="A4078" s="4">
        <v>6344</v>
      </c>
      <c r="B4078" s="4">
        <v>44965</v>
      </c>
      <c r="C4078" s="5">
        <f t="shared" ref="C4078:C4079" si="1696">DATE(2012,12,31)-456</f>
        <v>40818</v>
      </c>
      <c r="D4078" s="4" t="s">
        <v>21</v>
      </c>
      <c r="E4078" s="4">
        <v>19</v>
      </c>
      <c r="F4078" s="4">
        <v>28.82</v>
      </c>
      <c r="G4078" s="4">
        <v>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7">C4078+4</f>
        <v>40822</v>
      </c>
    </row>
    <row r="4079" spans="1:21" ht="12" customHeight="1">
      <c r="A4079" s="4">
        <v>6345</v>
      </c>
      <c r="B4079" s="4">
        <v>44965</v>
      </c>
      <c r="C4079" s="5">
        <f t="shared" si="1696"/>
        <v>40818</v>
      </c>
      <c r="D4079" s="4" t="s">
        <v>21</v>
      </c>
      <c r="E4079" s="4">
        <v>45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7"/>
        <v>40822</v>
      </c>
    </row>
    <row r="4080" spans="1:21" ht="12" customHeight="1">
      <c r="A4080" s="4">
        <v>6435</v>
      </c>
      <c r="B4080" s="4">
        <v>45733</v>
      </c>
      <c r="C4080" s="5">
        <f>DATE(2012,12,31)-756</f>
        <v>40518</v>
      </c>
      <c r="D4080" s="4" t="s">
        <v>78</v>
      </c>
      <c r="E4080" s="4">
        <v>39</v>
      </c>
      <c r="F4080" s="4">
        <v>851.17</v>
      </c>
      <c r="G4080" s="4">
        <v>7.0000000000000007E-2</v>
      </c>
      <c r="H4080" s="4" t="s">
        <v>22</v>
      </c>
      <c r="I4080" s="6">
        <v>-131.28399999999999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8">C4080+1</f>
        <v>40519</v>
      </c>
    </row>
    <row r="4081" spans="1:21" ht="12" customHeight="1">
      <c r="A4081" s="4">
        <v>6448</v>
      </c>
      <c r="B4081" s="4">
        <v>45893</v>
      </c>
      <c r="C4081" s="5">
        <f>DATE(2012,12,31)-585</f>
        <v>40689</v>
      </c>
      <c r="D4081" s="4" t="s">
        <v>30</v>
      </c>
      <c r="E4081" s="4">
        <v>15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8"/>
        <v>40690</v>
      </c>
    </row>
    <row r="4082" spans="1:21" ht="12" customHeight="1">
      <c r="A4082" s="4">
        <v>6507</v>
      </c>
      <c r="B4082" s="4">
        <v>46311</v>
      </c>
      <c r="C4082" s="5">
        <f t="shared" ref="C4082:C4084" si="1699">DATE(2012,12,31)-525</f>
        <v>40749</v>
      </c>
      <c r="D4082" s="4" t="s">
        <v>30</v>
      </c>
      <c r="E4082" s="4">
        <v>42</v>
      </c>
      <c r="F4082" s="4">
        <v>1244.01</v>
      </c>
      <c r="G4082" s="4">
        <v>0</v>
      </c>
      <c r="H4082" s="4" t="s">
        <v>22</v>
      </c>
      <c r="I4082" s="6">
        <v>539.57000000000005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spans="1:21" ht="12" customHeight="1">
      <c r="A4083" s="4">
        <v>6508</v>
      </c>
      <c r="B4083" s="4">
        <v>46311</v>
      </c>
      <c r="C4083" s="5">
        <f t="shared" si="1699"/>
        <v>40749</v>
      </c>
      <c r="D4083" s="4" t="s">
        <v>30</v>
      </c>
      <c r="E4083" s="4">
        <v>42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spans="1:21" ht="12" customHeight="1">
      <c r="A4084" s="4">
        <v>6509</v>
      </c>
      <c r="B4084" s="4">
        <v>46311</v>
      </c>
      <c r="C4084" s="5">
        <f t="shared" si="1699"/>
        <v>40749</v>
      </c>
      <c r="D4084" s="4" t="s">
        <v>30</v>
      </c>
      <c r="E4084" s="4">
        <v>44</v>
      </c>
      <c r="F4084" s="4">
        <v>302.07</v>
      </c>
      <c r="G4084" s="4">
        <v>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0">C4084+2</f>
        <v>40751</v>
      </c>
    </row>
    <row r="4085" spans="1:21" ht="12" customHeight="1">
      <c r="A4085" s="4">
        <v>6660</v>
      </c>
      <c r="B4085" s="4">
        <v>47398</v>
      </c>
      <c r="C4085" s="5">
        <f>DATE(2012,12,31)-563</f>
        <v>40711</v>
      </c>
      <c r="D4085" s="4" t="s">
        <v>63</v>
      </c>
      <c r="E4085" s="4">
        <v>6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0"/>
        <v>40713</v>
      </c>
    </row>
    <row r="4086" spans="1:21" ht="12" customHeight="1">
      <c r="A4086" s="4">
        <v>6685</v>
      </c>
      <c r="B4086" s="4">
        <v>47554</v>
      </c>
      <c r="C4086" s="5">
        <f t="shared" ref="C4086:C4087" si="1701">DATE(2012,12,31)-1024</f>
        <v>40250</v>
      </c>
      <c r="D4086" s="4" t="s">
        <v>21</v>
      </c>
      <c r="E4086" s="4">
        <v>9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0.56000000000000005</v>
      </c>
      <c r="U4086" s="5">
        <f>C4086+0</f>
        <v>40250</v>
      </c>
    </row>
    <row r="4087" spans="1:21" ht="12" customHeight="1">
      <c r="A4087" s="4">
        <v>6686</v>
      </c>
      <c r="B4087" s="4">
        <v>47554</v>
      </c>
      <c r="C4087" s="5">
        <f t="shared" si="1701"/>
        <v>40250</v>
      </c>
      <c r="D4087" s="4" t="s">
        <v>21</v>
      </c>
      <c r="E4087" s="4">
        <v>47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spans="1:21" ht="12" customHeight="1">
      <c r="A4088" s="4">
        <v>6917</v>
      </c>
      <c r="B4088" s="4">
        <v>49346</v>
      </c>
      <c r="C4088" s="5">
        <f t="shared" ref="C4088:C4089" si="1702">DATE(2012,12,31)-606</f>
        <v>40668</v>
      </c>
      <c r="D4088" s="4" t="s">
        <v>45</v>
      </c>
      <c r="E4088" s="4">
        <v>8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0.55000000000000004</v>
      </c>
      <c r="U4088" s="5">
        <f>C4088+3</f>
        <v>40671</v>
      </c>
    </row>
    <row r="4089" spans="1:21" ht="12" customHeight="1">
      <c r="A4089" s="4">
        <v>6918</v>
      </c>
      <c r="B4089" s="4">
        <v>49346</v>
      </c>
      <c r="C4089" s="5">
        <f t="shared" si="1702"/>
        <v>40668</v>
      </c>
      <c r="D4089" s="4" t="s">
        <v>45</v>
      </c>
      <c r="E4089" s="4">
        <v>50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spans="1:21" ht="12" customHeight="1">
      <c r="A4090" s="4">
        <v>7020</v>
      </c>
      <c r="B4090" s="4">
        <v>50087</v>
      </c>
      <c r="C4090" s="5">
        <f>DATE(2012,12,31)-961</f>
        <v>40313</v>
      </c>
      <c r="D4090" s="4" t="s">
        <v>45</v>
      </c>
      <c r="E4090" s="4">
        <v>17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3">C4090+2</f>
        <v>40315</v>
      </c>
    </row>
    <row r="4091" spans="1:21" ht="12" customHeight="1">
      <c r="A4091" s="4">
        <v>7071</v>
      </c>
      <c r="B4091" s="4">
        <v>50466</v>
      </c>
      <c r="C4091" s="5">
        <f>DATE(2012,12,31)-186</f>
        <v>41088</v>
      </c>
      <c r="D4091" s="4" t="s">
        <v>78</v>
      </c>
      <c r="E4091" s="4">
        <v>32</v>
      </c>
      <c r="F4091" s="4">
        <v>6892.07</v>
      </c>
      <c r="G4091" s="4">
        <v>0.05</v>
      </c>
      <c r="H4091" s="4" t="s">
        <v>56</v>
      </c>
      <c r="I4091" s="6">
        <v>2754.1615000000002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3"/>
        <v>41090</v>
      </c>
    </row>
    <row r="4092" spans="1:21" ht="12" customHeight="1">
      <c r="A4092" s="4">
        <v>7123</v>
      </c>
      <c r="B4092" s="4">
        <v>50818</v>
      </c>
      <c r="C4092" s="5">
        <f>DATE(2012,12,31)-86</f>
        <v>41188</v>
      </c>
      <c r="D4092" s="4" t="s">
        <v>63</v>
      </c>
      <c r="E4092" s="4">
        <v>34</v>
      </c>
      <c r="F4092" s="4">
        <v>5518.5315000000001</v>
      </c>
      <c r="G4092" s="4">
        <v>0.1</v>
      </c>
      <c r="H4092" s="4" t="s">
        <v>22</v>
      </c>
      <c r="I4092" s="6">
        <v>1111.2570000000001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0.56000000000000005</v>
      </c>
      <c r="U4092" s="5">
        <f t="shared" si="1703"/>
        <v>41190</v>
      </c>
    </row>
    <row r="4093" spans="1:21" ht="12" customHeight="1">
      <c r="A4093" s="4">
        <v>7130</v>
      </c>
      <c r="B4093" s="4">
        <v>50852</v>
      </c>
      <c r="C4093" s="5">
        <f>DATE(2012,12,31)-568</f>
        <v>40706</v>
      </c>
      <c r="D4093" s="4" t="s">
        <v>63</v>
      </c>
      <c r="E4093" s="4">
        <v>24</v>
      </c>
      <c r="F4093" s="4">
        <v>188.47</v>
      </c>
      <c r="G4093" s="4">
        <v>0.03</v>
      </c>
      <c r="H4093" s="4" t="s">
        <v>22</v>
      </c>
      <c r="I4093" s="6">
        <v>-191.23349999999999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spans="1:21" ht="12" customHeight="1">
      <c r="A4094" s="4">
        <v>7300</v>
      </c>
      <c r="B4094" s="4">
        <v>52068</v>
      </c>
      <c r="C4094" s="5">
        <f t="shared" ref="C4094:C4097" si="1704">DATE(2012,12,31)-353</f>
        <v>40921</v>
      </c>
      <c r="D4094" s="4" t="s">
        <v>45</v>
      </c>
      <c r="E4094" s="4">
        <v>31</v>
      </c>
      <c r="F4094" s="4">
        <v>163.27000000000001</v>
      </c>
      <c r="G4094" s="4">
        <v>0.04</v>
      </c>
      <c r="H4094" s="4" t="s">
        <v>22</v>
      </c>
      <c r="I4094" s="6">
        <v>-0.62100000000000111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5">C4094+0</f>
        <v>40921</v>
      </c>
    </row>
    <row r="4095" spans="1:21" ht="12" customHeight="1">
      <c r="A4095" s="4">
        <v>7301</v>
      </c>
      <c r="B4095" s="4">
        <v>52068</v>
      </c>
      <c r="C4095" s="5">
        <f t="shared" si="1704"/>
        <v>40921</v>
      </c>
      <c r="D4095" s="4" t="s">
        <v>45</v>
      </c>
      <c r="E4095" s="4">
        <v>47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5"/>
        <v>40921</v>
      </c>
    </row>
    <row r="4096" spans="1:21" ht="12" customHeight="1">
      <c r="A4096" s="4">
        <v>7302</v>
      </c>
      <c r="B4096" s="4">
        <v>52068</v>
      </c>
      <c r="C4096" s="5">
        <f t="shared" si="1704"/>
        <v>40921</v>
      </c>
      <c r="D4096" s="4" t="s">
        <v>45</v>
      </c>
      <c r="E4096" s="4">
        <v>21</v>
      </c>
      <c r="F4096" s="4">
        <v>1217.5</v>
      </c>
      <c r="G4096" s="4">
        <v>7.0000000000000007E-2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spans="1:21" ht="12" customHeight="1">
      <c r="A4097" s="4">
        <v>7303</v>
      </c>
      <c r="B4097" s="4">
        <v>52068</v>
      </c>
      <c r="C4097" s="5">
        <f t="shared" si="1704"/>
        <v>40921</v>
      </c>
      <c r="D4097" s="4" t="s">
        <v>45</v>
      </c>
      <c r="E4097" s="4">
        <v>17</v>
      </c>
      <c r="F4097" s="4">
        <v>441.53</v>
      </c>
      <c r="G4097" s="4">
        <v>7.0000000000000007E-2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6">C4097+2</f>
        <v>40923</v>
      </c>
    </row>
    <row r="4098" spans="1:21" ht="12" customHeight="1">
      <c r="A4098" s="4">
        <v>7383</v>
      </c>
      <c r="B4098" s="4">
        <v>52641</v>
      </c>
      <c r="C4098" s="5">
        <f>DATE(2012,12,31)-815</f>
        <v>40459</v>
      </c>
      <c r="D4098" s="4" t="s">
        <v>45</v>
      </c>
      <c r="E4098" s="4">
        <v>6</v>
      </c>
      <c r="F4098" s="4">
        <v>834.21549999999991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6"/>
        <v>40461</v>
      </c>
    </row>
    <row r="4099" spans="1:21" ht="12" customHeight="1">
      <c r="A4099" s="4">
        <v>7474</v>
      </c>
      <c r="B4099" s="4">
        <v>53378</v>
      </c>
      <c r="C4099" s="5">
        <f t="shared" ref="C4099:C4101" si="1707">DATE(2012,12,31)-171</f>
        <v>41103</v>
      </c>
      <c r="D4099" s="4" t="s">
        <v>63</v>
      </c>
      <c r="E4099" s="4">
        <v>50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8">C4099+1</f>
        <v>41104</v>
      </c>
    </row>
    <row r="4100" spans="1:21" ht="12" customHeight="1">
      <c r="A4100" s="4">
        <v>7475</v>
      </c>
      <c r="B4100" s="4">
        <v>53378</v>
      </c>
      <c r="C4100" s="5">
        <f t="shared" si="1707"/>
        <v>41103</v>
      </c>
      <c r="D4100" s="4" t="s">
        <v>63</v>
      </c>
      <c r="E4100" s="4">
        <v>38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33.979999999999997</v>
      </c>
      <c r="K4100" s="4">
        <v>19.989999999999998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0.55000000000000004</v>
      </c>
      <c r="U4100" s="5">
        <f t="shared" si="1708"/>
        <v>41104</v>
      </c>
    </row>
    <row r="4101" spans="1:21" ht="12" customHeight="1">
      <c r="A4101" s="4">
        <v>7476</v>
      </c>
      <c r="B4101" s="4">
        <v>53378</v>
      </c>
      <c r="C4101" s="5">
        <f t="shared" si="1707"/>
        <v>41103</v>
      </c>
      <c r="D4101" s="4" t="s">
        <v>63</v>
      </c>
      <c r="E4101" s="4">
        <v>49</v>
      </c>
      <c r="F4101" s="4">
        <v>2377.2800000000002</v>
      </c>
      <c r="G4101" s="4">
        <v>0.04</v>
      </c>
      <c r="H4101" s="4" t="s">
        <v>22</v>
      </c>
      <c r="I4101" s="6">
        <v>-5.7859999999999996</v>
      </c>
      <c r="J4101" s="4">
        <v>55.99</v>
      </c>
      <c r="K4101" s="4">
        <v>5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8"/>
        <v>41104</v>
      </c>
    </row>
    <row r="4102" spans="1:21" ht="12" customHeight="1">
      <c r="A4102" s="4">
        <v>7689</v>
      </c>
      <c r="B4102" s="4">
        <v>55136</v>
      </c>
      <c r="C4102" s="5">
        <f>DATE(2012,12,31)-814</f>
        <v>40460</v>
      </c>
      <c r="D4102" s="4" t="s">
        <v>78</v>
      </c>
      <c r="E4102" s="4">
        <v>29</v>
      </c>
      <c r="F4102" s="4">
        <v>134.68</v>
      </c>
      <c r="G4102" s="4">
        <v>0.1</v>
      </c>
      <c r="H4102" s="4" t="s">
        <v>22</v>
      </c>
      <c r="I4102" s="6">
        <v>-66.459999999999994</v>
      </c>
      <c r="J4102" s="4">
        <v>4.9800000000000004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09">C4102+2</f>
        <v>40462</v>
      </c>
    </row>
    <row r="4103" spans="1:21" ht="12" customHeight="1">
      <c r="A4103" s="4">
        <v>7780</v>
      </c>
      <c r="B4103" s="4">
        <v>55655</v>
      </c>
      <c r="C4103" s="5">
        <f>DATE(2012,12,31)-98</f>
        <v>41176</v>
      </c>
      <c r="D4103" s="4" t="s">
        <v>21</v>
      </c>
      <c r="E4103" s="4">
        <v>33</v>
      </c>
      <c r="F4103" s="4">
        <v>3671.1414999999997</v>
      </c>
      <c r="G4103" s="4">
        <v>0.02</v>
      </c>
      <c r="H4103" s="4" t="s">
        <v>22</v>
      </c>
      <c r="I4103" s="6">
        <v>995.08500000000004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0.55000000000000004</v>
      </c>
      <c r="U4103" s="5">
        <f t="shared" si="1709"/>
        <v>41178</v>
      </c>
    </row>
    <row r="4104" spans="1:21" ht="12" customHeight="1">
      <c r="A4104" s="4">
        <v>7794</v>
      </c>
      <c r="B4104" s="4">
        <v>55750</v>
      </c>
      <c r="C4104" s="5">
        <f>DATE(2012,12,31)-857</f>
        <v>40417</v>
      </c>
      <c r="D4104" s="4" t="s">
        <v>78</v>
      </c>
      <c r="E4104" s="4">
        <v>31</v>
      </c>
      <c r="F4104" s="4">
        <v>5445.9920000000002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09"/>
        <v>40419</v>
      </c>
    </row>
    <row r="4105" spans="1:21" ht="12" customHeight="1">
      <c r="A4105" s="4">
        <v>7950</v>
      </c>
      <c r="B4105" s="4">
        <v>56804</v>
      </c>
      <c r="C4105" s="5">
        <f t="shared" ref="C4105:C4106" si="1710">DATE(2012,12,31)-645</f>
        <v>40629</v>
      </c>
      <c r="D4105" s="4" t="s">
        <v>78</v>
      </c>
      <c r="E4105" s="4">
        <v>41</v>
      </c>
      <c r="F4105" s="4">
        <v>136.44999999999999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09"/>
        <v>40631</v>
      </c>
    </row>
    <row r="4106" spans="1:21" ht="12" customHeight="1">
      <c r="A4106" s="4">
        <v>7951</v>
      </c>
      <c r="B4106" s="4">
        <v>56804</v>
      </c>
      <c r="C4106" s="5">
        <f t="shared" si="1710"/>
        <v>40629</v>
      </c>
      <c r="D4106" s="4" t="s">
        <v>78</v>
      </c>
      <c r="E4106" s="4">
        <v>24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4.9800000000000004</v>
      </c>
      <c r="K4106" s="4">
        <v>4.8600000000000003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spans="1:21" ht="12" customHeight="1">
      <c r="A4107" s="4">
        <v>8000</v>
      </c>
      <c r="B4107" s="4">
        <v>57157</v>
      </c>
      <c r="C4107" s="5">
        <f>DATE(2012,12,31)-309</f>
        <v>40965</v>
      </c>
      <c r="D4107" s="4" t="s">
        <v>78</v>
      </c>
      <c r="E4107" s="4">
        <v>18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0.57999999999999996</v>
      </c>
      <c r="U4107" s="5">
        <f>C4107+3</f>
        <v>40968</v>
      </c>
    </row>
    <row r="4108" spans="1:21" ht="12" customHeight="1">
      <c r="A4108" s="4">
        <v>8122</v>
      </c>
      <c r="B4108" s="4">
        <v>58053</v>
      </c>
      <c r="C4108" s="5">
        <f>DATE(2012,12,31)-1088</f>
        <v>40186</v>
      </c>
      <c r="D4108" s="4" t="s">
        <v>63</v>
      </c>
      <c r="E4108" s="4">
        <v>42</v>
      </c>
      <c r="F4108" s="4">
        <v>287.75</v>
      </c>
      <c r="G4108" s="4">
        <v>0.02</v>
      </c>
      <c r="H4108" s="4" t="s">
        <v>22</v>
      </c>
      <c r="I4108" s="6">
        <v>-136.02000000000001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1">C4108+2</f>
        <v>40188</v>
      </c>
    </row>
    <row r="4109" spans="1:21" ht="12" customHeight="1">
      <c r="A4109" s="4">
        <v>8140</v>
      </c>
      <c r="B4109" s="4">
        <v>58181</v>
      </c>
      <c r="C4109" s="5">
        <f>DATE(2012,12,31)-85</f>
        <v>41189</v>
      </c>
      <c r="D4109" s="4" t="s">
        <v>45</v>
      </c>
      <c r="E4109" s="4">
        <v>5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1"/>
        <v>41191</v>
      </c>
    </row>
    <row r="4110" spans="1:21" ht="12" customHeight="1">
      <c r="A4110" s="4">
        <v>8152</v>
      </c>
      <c r="B4110" s="4">
        <v>58308</v>
      </c>
      <c r="C4110" s="5">
        <f t="shared" ref="C4110:C4112" si="1712">DATE(2012,12,31)-955</f>
        <v>40319</v>
      </c>
      <c r="D4110" s="4" t="s">
        <v>45</v>
      </c>
      <c r="E4110" s="4">
        <v>35</v>
      </c>
      <c r="F4110" s="4">
        <v>2173.2600000000002</v>
      </c>
      <c r="G4110" s="4">
        <v>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spans="1:21" ht="12" customHeight="1">
      <c r="A4111" s="4">
        <v>8153</v>
      </c>
      <c r="B4111" s="4">
        <v>58308</v>
      </c>
      <c r="C4111" s="5">
        <f t="shared" si="1712"/>
        <v>40319</v>
      </c>
      <c r="D4111" s="4" t="s">
        <v>45</v>
      </c>
      <c r="E4111" s="4">
        <v>20</v>
      </c>
      <c r="F4111" s="4">
        <v>623.29</v>
      </c>
      <c r="G4111" s="4">
        <v>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spans="1:21" ht="12" customHeight="1">
      <c r="A4112" s="4">
        <v>8154</v>
      </c>
      <c r="B4112" s="4">
        <v>58308</v>
      </c>
      <c r="C4112" s="5">
        <f t="shared" si="1712"/>
        <v>40319</v>
      </c>
      <c r="D4112" s="4" t="s">
        <v>45</v>
      </c>
      <c r="E4112" s="4">
        <v>2</v>
      </c>
      <c r="F4112" s="4">
        <v>40.340000000000003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spans="1:21" ht="12" customHeight="1">
      <c r="A4113" s="4">
        <v>8237</v>
      </c>
      <c r="B4113" s="4">
        <v>58883</v>
      </c>
      <c r="C4113" s="5">
        <f>DATE(2012,12,31)-141</f>
        <v>41133</v>
      </c>
      <c r="D4113" s="4" t="s">
        <v>21</v>
      </c>
      <c r="E4113" s="4">
        <v>36</v>
      </c>
      <c r="F4113" s="4">
        <v>161.56</v>
      </c>
      <c r="G4113" s="4">
        <v>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spans="1:21" ht="12" customHeight="1">
      <c r="A4114" s="4">
        <v>8363</v>
      </c>
      <c r="B4114" s="4">
        <v>59777</v>
      </c>
      <c r="C4114" s="5">
        <f>DATE(2012,12,31)-750</f>
        <v>40524</v>
      </c>
      <c r="D4114" s="4" t="s">
        <v>30</v>
      </c>
      <c r="E4114" s="4">
        <v>19</v>
      </c>
      <c r="F4114" s="4">
        <v>917.31</v>
      </c>
      <c r="G4114" s="4">
        <v>0.05</v>
      </c>
      <c r="H4114" s="4" t="s">
        <v>56</v>
      </c>
      <c r="I4114" s="6">
        <v>-139.86000000000001</v>
      </c>
      <c r="J4114" s="4">
        <v>49.99</v>
      </c>
      <c r="K4114" s="4">
        <v>19.989999999999998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3">C4114+1</f>
        <v>40525</v>
      </c>
    </row>
    <row r="4115" spans="1:21" ht="12" customHeight="1">
      <c r="A4115" s="4">
        <v>116</v>
      </c>
      <c r="B4115" s="4">
        <v>771</v>
      </c>
      <c r="C4115" s="5">
        <f>DATE(2012,12,31)-564</f>
        <v>40710</v>
      </c>
      <c r="D4115" s="4" t="s">
        <v>78</v>
      </c>
      <c r="E4115" s="4">
        <v>18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4.9800000000000004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3"/>
        <v>40711</v>
      </c>
    </row>
    <row r="4116" spans="1:21" ht="12" customHeight="1">
      <c r="A4116" s="4">
        <v>279</v>
      </c>
      <c r="B4116" s="4">
        <v>1925</v>
      </c>
      <c r="C4116" s="5">
        <f>DATE(2012,12,31)-302</f>
        <v>40972</v>
      </c>
      <c r="D4116" s="4" t="s">
        <v>78</v>
      </c>
      <c r="E4116" s="4">
        <v>40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spans="1:21" ht="12" customHeight="1">
      <c r="A4117" s="4">
        <v>912</v>
      </c>
      <c r="B4117" s="4">
        <v>6560</v>
      </c>
      <c r="C4117" s="5">
        <f t="shared" ref="C4117:C4118" si="1714">DATE(2012,12,31)-727</f>
        <v>40547</v>
      </c>
      <c r="D4117" s="4" t="s">
        <v>21</v>
      </c>
      <c r="E4117" s="4">
        <v>20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0.57999999999999996</v>
      </c>
      <c r="U4117" s="5">
        <f>C4117+4</f>
        <v>40551</v>
      </c>
    </row>
    <row r="4118" spans="1:21" ht="12" customHeight="1">
      <c r="A4118" s="4">
        <v>913</v>
      </c>
      <c r="B4118" s="4">
        <v>6560</v>
      </c>
      <c r="C4118" s="5">
        <f t="shared" si="1714"/>
        <v>40547</v>
      </c>
      <c r="D4118" s="4" t="s">
        <v>21</v>
      </c>
      <c r="E4118" s="4">
        <v>37</v>
      </c>
      <c r="F4118" s="4">
        <v>8252.3919999999998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spans="1:21" ht="12" customHeight="1">
      <c r="A4119" s="4">
        <v>981</v>
      </c>
      <c r="B4119" s="4">
        <v>7105</v>
      </c>
      <c r="C4119" s="5">
        <f>DATE(2012,12,31)-924</f>
        <v>40350</v>
      </c>
      <c r="D4119" s="4" t="s">
        <v>21</v>
      </c>
      <c r="E4119" s="4">
        <v>17</v>
      </c>
      <c r="F4119" s="4">
        <v>77.19</v>
      </c>
      <c r="G4119" s="4">
        <v>0.03</v>
      </c>
      <c r="H4119" s="4" t="s">
        <v>22</v>
      </c>
      <c r="I4119" s="6">
        <v>-81.349999999999994</v>
      </c>
      <c r="J4119" s="4">
        <v>4.0599999999999996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spans="1:21" ht="12" customHeight="1">
      <c r="A4120" s="4">
        <v>1160</v>
      </c>
      <c r="B4120" s="4">
        <v>8450</v>
      </c>
      <c r="C4120" s="5">
        <f t="shared" ref="C4120:C4121" si="1715">DATE(2012,12,31)-262</f>
        <v>41012</v>
      </c>
      <c r="D4120" s="4" t="s">
        <v>45</v>
      </c>
      <c r="E4120" s="4">
        <v>24</v>
      </c>
      <c r="F4120" s="4">
        <v>1307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0.56999999999999995</v>
      </c>
      <c r="U4120" s="5">
        <f>C4120+2</f>
        <v>41014</v>
      </c>
    </row>
    <row r="4121" spans="1:21" ht="12" customHeight="1">
      <c r="A4121" s="4">
        <v>1161</v>
      </c>
      <c r="B4121" s="4">
        <v>8450</v>
      </c>
      <c r="C4121" s="5">
        <f t="shared" si="1715"/>
        <v>41012</v>
      </c>
      <c r="D4121" s="4" t="s">
        <v>45</v>
      </c>
      <c r="E4121" s="4">
        <v>22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spans="1:21" ht="12" customHeight="1">
      <c r="A4122" s="4">
        <v>2241</v>
      </c>
      <c r="B4122" s="4">
        <v>16164</v>
      </c>
      <c r="C4122" s="5">
        <f>DATE(2012,12,31)-363</f>
        <v>40911</v>
      </c>
      <c r="D4122" s="4" t="s">
        <v>21</v>
      </c>
      <c r="E4122" s="4">
        <v>26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spans="1:21" ht="12" customHeight="1">
      <c r="A4123" s="4">
        <v>2601</v>
      </c>
      <c r="B4123" s="4">
        <v>18789</v>
      </c>
      <c r="C4123" s="5">
        <f>DATE(2012,12,31)-656</f>
        <v>40618</v>
      </c>
      <c r="D4123" s="4" t="s">
        <v>30</v>
      </c>
      <c r="E4123" s="4">
        <v>50</v>
      </c>
      <c r="F4123" s="4">
        <v>1558.18</v>
      </c>
      <c r="G4123" s="4">
        <v>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6">C4123+2</f>
        <v>40620</v>
      </c>
    </row>
    <row r="4124" spans="1:21" ht="12" customHeight="1">
      <c r="A4124" s="4">
        <v>2642</v>
      </c>
      <c r="B4124" s="4">
        <v>19136</v>
      </c>
      <c r="C4124" s="5">
        <f>DATE(2012,12,31)-880</f>
        <v>40394</v>
      </c>
      <c r="D4124" s="4" t="s">
        <v>45</v>
      </c>
      <c r="E4124" s="4">
        <v>44</v>
      </c>
      <c r="F4124" s="4">
        <v>1372.9455</v>
      </c>
      <c r="G4124" s="4">
        <v>0</v>
      </c>
      <c r="H4124" s="4" t="s">
        <v>22</v>
      </c>
      <c r="I4124" s="6">
        <v>429.88499999999999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0.56999999999999995</v>
      </c>
      <c r="U4124" s="5">
        <f t="shared" si="1716"/>
        <v>40396</v>
      </c>
    </row>
    <row r="4125" spans="1:21" ht="12" customHeight="1">
      <c r="A4125" s="4">
        <v>2657</v>
      </c>
      <c r="B4125" s="4">
        <v>19206</v>
      </c>
      <c r="C4125" s="5">
        <f t="shared" ref="C4125:C4126" si="1717">DATE(2012,12,31)-1007</f>
        <v>40267</v>
      </c>
      <c r="D4125" s="4" t="s">
        <v>21</v>
      </c>
      <c r="E4125" s="4">
        <v>40</v>
      </c>
      <c r="F4125" s="4">
        <v>88.02</v>
      </c>
      <c r="G4125" s="4">
        <v>0</v>
      </c>
      <c r="H4125" s="4" t="s">
        <v>22</v>
      </c>
      <c r="I4125" s="6">
        <v>-6.5435000000000008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spans="1:21" ht="12" customHeight="1">
      <c r="A4126" s="4">
        <v>2658</v>
      </c>
      <c r="B4126" s="4">
        <v>19206</v>
      </c>
      <c r="C4126" s="5">
        <f t="shared" si="1717"/>
        <v>40267</v>
      </c>
      <c r="D4126" s="4" t="s">
        <v>21</v>
      </c>
      <c r="E4126" s="4">
        <v>32</v>
      </c>
      <c r="F4126" s="4">
        <v>800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spans="1:21" ht="12" customHeight="1">
      <c r="A4127" s="4">
        <v>2725</v>
      </c>
      <c r="B4127" s="4">
        <v>19654</v>
      </c>
      <c r="C4127" s="5">
        <f>DATE(2012,12,31)-722</f>
        <v>40552</v>
      </c>
      <c r="D4127" s="4" t="s">
        <v>30</v>
      </c>
      <c r="E4127" s="4">
        <v>8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8">C4127+0</f>
        <v>40552</v>
      </c>
    </row>
    <row r="4128" spans="1:21" ht="12" customHeight="1">
      <c r="A4128" s="4">
        <v>2888</v>
      </c>
      <c r="B4128" s="4">
        <v>20832</v>
      </c>
      <c r="C4128" s="5">
        <f t="shared" ref="C4128:C4129" si="1719">DATE(2012,12,31)-885</f>
        <v>40389</v>
      </c>
      <c r="D4128" s="4" t="s">
        <v>45</v>
      </c>
      <c r="E4128" s="4">
        <v>47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8"/>
        <v>40389</v>
      </c>
    </row>
    <row r="4129" spans="1:21" ht="12" customHeight="1">
      <c r="A4129" s="4">
        <v>2889</v>
      </c>
      <c r="B4129" s="4">
        <v>20832</v>
      </c>
      <c r="C4129" s="5">
        <f t="shared" si="1719"/>
        <v>40389</v>
      </c>
      <c r="D4129" s="4" t="s">
        <v>45</v>
      </c>
      <c r="E4129" s="4">
        <v>39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spans="1:21" ht="12" customHeight="1">
      <c r="A4130" s="4">
        <v>3191</v>
      </c>
      <c r="B4130" s="4">
        <v>22887</v>
      </c>
      <c r="C4130" s="5">
        <f>DATE(2012,12,31)-774</f>
        <v>40500</v>
      </c>
      <c r="D4130" s="4" t="s">
        <v>45</v>
      </c>
      <c r="E4130" s="4">
        <v>34</v>
      </c>
      <c r="F4130" s="4">
        <v>9107.27</v>
      </c>
      <c r="G4130" s="4">
        <v>7.0000000000000007E-2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spans="1:21" ht="12" customHeight="1">
      <c r="A4131" s="4">
        <v>3407</v>
      </c>
      <c r="B4131" s="4">
        <v>24326</v>
      </c>
      <c r="C4131" s="5">
        <f t="shared" ref="C4131:C4132" si="1720">DATE(2012,12,31)-459</f>
        <v>40815</v>
      </c>
      <c r="D4131" s="4" t="s">
        <v>78</v>
      </c>
      <c r="E4131" s="4">
        <v>37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spans="1:21" ht="12" customHeight="1">
      <c r="A4132" s="4">
        <v>3408</v>
      </c>
      <c r="B4132" s="4">
        <v>24326</v>
      </c>
      <c r="C4132" s="5">
        <f t="shared" si="1720"/>
        <v>40815</v>
      </c>
      <c r="D4132" s="4" t="s">
        <v>78</v>
      </c>
      <c r="E4132" s="4">
        <v>12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spans="1:21" ht="12" customHeight="1">
      <c r="A4133" s="4">
        <v>3878</v>
      </c>
      <c r="B4133" s="4">
        <v>27687</v>
      </c>
      <c r="C4133" s="5">
        <f>DATE(2012,12,31)-984</f>
        <v>40290</v>
      </c>
      <c r="D4133" s="4" t="s">
        <v>63</v>
      </c>
      <c r="E4133" s="4">
        <v>38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spans="1:21" ht="12" customHeight="1">
      <c r="A4134" s="4">
        <v>3889</v>
      </c>
      <c r="B4134" s="4">
        <v>27776</v>
      </c>
      <c r="C4134" s="5">
        <f>DATE(2012,12,31)-972</f>
        <v>40302</v>
      </c>
      <c r="D4134" s="4" t="s">
        <v>21</v>
      </c>
      <c r="E4134" s="4">
        <v>41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4.9800000000000004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spans="1:21" ht="12" customHeight="1">
      <c r="A4135" s="4">
        <v>4001</v>
      </c>
      <c r="B4135" s="4">
        <v>28550</v>
      </c>
      <c r="C4135" s="5">
        <f t="shared" ref="C4135:C4136" si="1721">DATE(2012,12,31)-652</f>
        <v>40622</v>
      </c>
      <c r="D4135" s="4" t="s">
        <v>45</v>
      </c>
      <c r="E4135" s="4">
        <v>44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spans="1:21" ht="12" customHeight="1">
      <c r="A4136" s="4">
        <v>4002</v>
      </c>
      <c r="B4136" s="4">
        <v>28550</v>
      </c>
      <c r="C4136" s="5">
        <f t="shared" si="1721"/>
        <v>40622</v>
      </c>
      <c r="D4136" s="4" t="s">
        <v>45</v>
      </c>
      <c r="E4136" s="4">
        <v>1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2">C4136+1</f>
        <v>40623</v>
      </c>
    </row>
    <row r="4137" spans="1:21" ht="12" customHeight="1">
      <c r="A4137" s="4">
        <v>4049</v>
      </c>
      <c r="B4137" s="4">
        <v>28870</v>
      </c>
      <c r="C4137" s="5">
        <f>DATE(2012,12,31)-417</f>
        <v>40857</v>
      </c>
      <c r="D4137" s="4" t="s">
        <v>30</v>
      </c>
      <c r="E4137" s="4">
        <v>27</v>
      </c>
      <c r="F4137" s="4">
        <v>1154.8900000000001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2"/>
        <v>40858</v>
      </c>
    </row>
    <row r="4138" spans="1:21" ht="12" customHeight="1">
      <c r="A4138" s="4">
        <v>4268</v>
      </c>
      <c r="B4138" s="4">
        <v>30374</v>
      </c>
      <c r="C4138" s="5">
        <f t="shared" ref="C4138:C4139" si="1723">DATE(2012,12,31)-1016</f>
        <v>40258</v>
      </c>
      <c r="D4138" s="4" t="s">
        <v>78</v>
      </c>
      <c r="E4138" s="4">
        <v>12</v>
      </c>
      <c r="F4138" s="4">
        <v>709.54</v>
      </c>
      <c r="G4138" s="4">
        <v>7.0000000000000007E-2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0.56999999999999995</v>
      </c>
      <c r="U4138" s="5">
        <f t="shared" si="1722"/>
        <v>40259</v>
      </c>
    </row>
    <row r="4139" spans="1:21" ht="12" customHeight="1">
      <c r="A4139" s="4">
        <v>4269</v>
      </c>
      <c r="B4139" s="4">
        <v>30374</v>
      </c>
      <c r="C4139" s="5">
        <f t="shared" si="1723"/>
        <v>40258</v>
      </c>
      <c r="D4139" s="4" t="s">
        <v>78</v>
      </c>
      <c r="E4139" s="4">
        <v>42</v>
      </c>
      <c r="F4139" s="4">
        <v>1220.08</v>
      </c>
      <c r="G4139" s="4">
        <v>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2"/>
        <v>40259</v>
      </c>
    </row>
    <row r="4140" spans="1:21" ht="12" customHeight="1">
      <c r="A4140" s="4">
        <v>4440</v>
      </c>
      <c r="B4140" s="4">
        <v>31620</v>
      </c>
      <c r="C4140" s="5">
        <f>DATE(2012,12,31)-508</f>
        <v>40766</v>
      </c>
      <c r="D4140" s="4" t="s">
        <v>78</v>
      </c>
      <c r="E4140" s="4">
        <v>20</v>
      </c>
      <c r="F4140" s="4">
        <v>1108.366</v>
      </c>
      <c r="G4140" s="4">
        <v>0.05</v>
      </c>
      <c r="H4140" s="4" t="s">
        <v>22</v>
      </c>
      <c r="I4140" s="6">
        <v>178.30799999999999</v>
      </c>
      <c r="J4140" s="4">
        <v>65.989999999999995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0.55000000000000004</v>
      </c>
      <c r="U4140" s="5">
        <f t="shared" ref="U4140:U4141" si="1724">C4140+2</f>
        <v>40768</v>
      </c>
    </row>
    <row r="4141" spans="1:21" ht="12" customHeight="1">
      <c r="A4141" s="4">
        <v>4458</v>
      </c>
      <c r="B4141" s="4">
        <v>31780</v>
      </c>
      <c r="C4141" s="5">
        <f>DATE(2012,12,31)-1067</f>
        <v>40207</v>
      </c>
      <c r="D4141" s="4" t="s">
        <v>63</v>
      </c>
      <c r="E4141" s="4">
        <v>17</v>
      </c>
      <c r="F4141" s="4">
        <v>734.25</v>
      </c>
      <c r="G4141" s="4">
        <v>0.08</v>
      </c>
      <c r="H4141" s="4" t="s">
        <v>56</v>
      </c>
      <c r="I4141" s="6">
        <v>160.58000000000001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0.56000000000000005</v>
      </c>
      <c r="U4141" s="5">
        <f t="shared" si="1724"/>
        <v>40209</v>
      </c>
    </row>
    <row r="4142" spans="1:21" ht="12" customHeight="1">
      <c r="A4142" s="4">
        <v>4479</v>
      </c>
      <c r="B4142" s="4">
        <v>31876</v>
      </c>
      <c r="C4142" s="5">
        <f>DATE(2012,12,31)-604</f>
        <v>40670</v>
      </c>
      <c r="D4142" s="4" t="s">
        <v>30</v>
      </c>
      <c r="E4142" s="4">
        <v>8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5">C4142+1</f>
        <v>40671</v>
      </c>
    </row>
    <row r="4143" spans="1:21" ht="12" customHeight="1">
      <c r="A4143" s="4">
        <v>4549</v>
      </c>
      <c r="B4143" s="4">
        <v>32356</v>
      </c>
      <c r="C4143" s="5">
        <f t="shared" ref="C4143:C4144" si="1726">DATE(2012,12,31)-82</f>
        <v>41192</v>
      </c>
      <c r="D4143" s="4" t="s">
        <v>45</v>
      </c>
      <c r="E4143" s="4">
        <v>12</v>
      </c>
      <c r="F4143" s="4">
        <v>768.41</v>
      </c>
      <c r="G4143" s="4">
        <v>0.1</v>
      </c>
      <c r="H4143" s="4" t="s">
        <v>22</v>
      </c>
      <c r="I4143" s="6">
        <v>60.375500000000002</v>
      </c>
      <c r="J4143" s="4">
        <v>67.28</v>
      </c>
      <c r="K4143" s="4">
        <v>19.989999999999998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5"/>
        <v>41193</v>
      </c>
    </row>
    <row r="4144" spans="1:21" ht="12" customHeight="1">
      <c r="A4144" s="4">
        <v>4550</v>
      </c>
      <c r="B4144" s="4">
        <v>32356</v>
      </c>
      <c r="C4144" s="5">
        <f t="shared" si="1726"/>
        <v>41192</v>
      </c>
      <c r="D4144" s="4" t="s">
        <v>45</v>
      </c>
      <c r="E4144" s="4">
        <v>47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145.97999999999999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spans="1:21" ht="12" customHeight="1">
      <c r="A4145" s="4">
        <v>4696</v>
      </c>
      <c r="B4145" s="4">
        <v>33473</v>
      </c>
      <c r="C4145" s="5">
        <f>DATE(2012,12,31)-727</f>
        <v>40547</v>
      </c>
      <c r="D4145" s="4" t="s">
        <v>21</v>
      </c>
      <c r="E4145" s="4">
        <v>50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spans="1:21" ht="12" customHeight="1">
      <c r="A4146" s="4">
        <v>4923</v>
      </c>
      <c r="B4146" s="4">
        <v>35043</v>
      </c>
      <c r="C4146" s="5">
        <f t="shared" ref="C4146:C4147" si="1727">DATE(2012,12,31)-896</f>
        <v>40378</v>
      </c>
      <c r="D4146" s="4" t="s">
        <v>45</v>
      </c>
      <c r="E4146" s="4">
        <v>45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8">C4146+1</f>
        <v>40379</v>
      </c>
    </row>
    <row r="4147" spans="1:21" ht="12" customHeight="1">
      <c r="A4147" s="4">
        <v>4924</v>
      </c>
      <c r="B4147" s="4">
        <v>35043</v>
      </c>
      <c r="C4147" s="5">
        <f t="shared" si="1727"/>
        <v>40378</v>
      </c>
      <c r="D4147" s="4" t="s">
        <v>45</v>
      </c>
      <c r="E4147" s="4">
        <v>9</v>
      </c>
      <c r="F4147" s="4">
        <v>924.11149999999998</v>
      </c>
      <c r="G4147" s="4">
        <v>0.06</v>
      </c>
      <c r="H4147" s="4" t="s">
        <v>22</v>
      </c>
      <c r="I4147" s="6">
        <v>-287.99099999999999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0.56999999999999995</v>
      </c>
      <c r="U4147" s="5">
        <f t="shared" si="1728"/>
        <v>40379</v>
      </c>
    </row>
    <row r="4148" spans="1:21" ht="12" customHeight="1">
      <c r="A4148" s="4">
        <v>5281</v>
      </c>
      <c r="B4148" s="4">
        <v>37603</v>
      </c>
      <c r="C4148" s="5">
        <f t="shared" ref="C4148:C4149" si="1729">DATE(2012,12,31)-768</f>
        <v>40506</v>
      </c>
      <c r="D4148" s="4" t="s">
        <v>63</v>
      </c>
      <c r="E4148" s="4">
        <v>50</v>
      </c>
      <c r="F4148" s="4">
        <v>2440.2600000000002</v>
      </c>
      <c r="G4148" s="4">
        <v>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0.55000000000000004</v>
      </c>
      <c r="U4148" s="5">
        <f t="shared" ref="U4148:U4154" si="1730">C4148+2</f>
        <v>40508</v>
      </c>
    </row>
    <row r="4149" spans="1:21" ht="12" customHeight="1">
      <c r="A4149" s="4">
        <v>5282</v>
      </c>
      <c r="B4149" s="4">
        <v>37603</v>
      </c>
      <c r="C4149" s="5">
        <f t="shared" si="1729"/>
        <v>40506</v>
      </c>
      <c r="D4149" s="4" t="s">
        <v>63</v>
      </c>
      <c r="E4149" s="4">
        <v>23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0.55000000000000004</v>
      </c>
      <c r="U4149" s="5">
        <f t="shared" si="1730"/>
        <v>40508</v>
      </c>
    </row>
    <row r="4150" spans="1:21" ht="12" customHeight="1">
      <c r="A4150" s="4">
        <v>5426</v>
      </c>
      <c r="B4150" s="4">
        <v>38561</v>
      </c>
      <c r="C4150" s="5">
        <f>DATE(2012,12,31)-489</f>
        <v>40785</v>
      </c>
      <c r="D4150" s="4" t="s">
        <v>78</v>
      </c>
      <c r="E4150" s="4">
        <v>19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0"/>
        <v>40787</v>
      </c>
    </row>
    <row r="4151" spans="1:21" ht="12" customHeight="1">
      <c r="A4151" s="4">
        <v>5725</v>
      </c>
      <c r="B4151" s="4">
        <v>40611</v>
      </c>
      <c r="C4151" s="5">
        <f t="shared" ref="C4151:C4152" si="1731">DATE(2012,12,31)-278</f>
        <v>40996</v>
      </c>
      <c r="D4151" s="4" t="s">
        <v>45</v>
      </c>
      <c r="E4151" s="4">
        <v>12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0"/>
        <v>40998</v>
      </c>
    </row>
    <row r="4152" spans="1:21" ht="12" customHeight="1">
      <c r="A4152" s="4">
        <v>5726</v>
      </c>
      <c r="B4152" s="4">
        <v>40611</v>
      </c>
      <c r="C4152" s="5">
        <f t="shared" si="1731"/>
        <v>40996</v>
      </c>
      <c r="D4152" s="4" t="s">
        <v>45</v>
      </c>
      <c r="E4152" s="4">
        <v>43</v>
      </c>
      <c r="F4152" s="4">
        <v>1407.5150000000001</v>
      </c>
      <c r="G4152" s="4">
        <v>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0"/>
        <v>40998</v>
      </c>
    </row>
    <row r="4153" spans="1:21" ht="12" customHeight="1">
      <c r="A4153" s="4">
        <v>5762</v>
      </c>
      <c r="B4153" s="4">
        <v>40901</v>
      </c>
      <c r="C4153" s="5">
        <f t="shared" ref="C4153:C4154" si="1732">DATE(2012,12,31)-155</f>
        <v>41119</v>
      </c>
      <c r="D4153" s="4" t="s">
        <v>63</v>
      </c>
      <c r="E4153" s="4">
        <v>40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0"/>
        <v>41121</v>
      </c>
    </row>
    <row r="4154" spans="1:21" ht="12" customHeight="1">
      <c r="A4154" s="4">
        <v>5763</v>
      </c>
      <c r="B4154" s="4">
        <v>40901</v>
      </c>
      <c r="C4154" s="5">
        <f t="shared" si="1732"/>
        <v>41119</v>
      </c>
      <c r="D4154" s="4" t="s">
        <v>63</v>
      </c>
      <c r="E4154" s="4">
        <v>22</v>
      </c>
      <c r="F4154" s="4">
        <v>3100.1115</v>
      </c>
      <c r="G4154" s="4">
        <v>0.02</v>
      </c>
      <c r="H4154" s="4" t="s">
        <v>56</v>
      </c>
      <c r="I4154" s="6">
        <v>567.36899999999991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0"/>
        <v>41121</v>
      </c>
    </row>
    <row r="4155" spans="1:21" ht="12" customHeight="1">
      <c r="A4155" s="4">
        <v>5867</v>
      </c>
      <c r="B4155" s="4">
        <v>41634</v>
      </c>
      <c r="C4155" s="5">
        <f t="shared" ref="C4155:C4156" si="1733">DATE(2012,12,31)-23</f>
        <v>41251</v>
      </c>
      <c r="D4155" s="4" t="s">
        <v>45</v>
      </c>
      <c r="E4155" s="4">
        <v>7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spans="1:21" ht="12" customHeight="1">
      <c r="A4156" s="4">
        <v>5868</v>
      </c>
      <c r="B4156" s="4">
        <v>41634</v>
      </c>
      <c r="C4156" s="5">
        <f t="shared" si="1733"/>
        <v>41251</v>
      </c>
      <c r="D4156" s="4" t="s">
        <v>45</v>
      </c>
      <c r="E4156" s="4">
        <v>10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spans="1:21" ht="12" customHeight="1">
      <c r="A4157" s="4">
        <v>5889</v>
      </c>
      <c r="B4157" s="4">
        <v>41766</v>
      </c>
      <c r="C4157" s="5">
        <f>DATE(2012,12,31)-111</f>
        <v>41163</v>
      </c>
      <c r="D4157" s="4" t="s">
        <v>78</v>
      </c>
      <c r="E4157" s="4">
        <v>10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4">C4157+1</f>
        <v>41164</v>
      </c>
    </row>
    <row r="4158" spans="1:21" ht="12" customHeight="1">
      <c r="A4158" s="4">
        <v>5916</v>
      </c>
      <c r="B4158" s="4">
        <v>41956</v>
      </c>
      <c r="C4158" s="5">
        <f t="shared" ref="C4158:C4159" si="1735">DATE(2012,12,31)-385</f>
        <v>40889</v>
      </c>
      <c r="D4158" s="4" t="s">
        <v>63</v>
      </c>
      <c r="E4158" s="4">
        <v>22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0.57999999999999996</v>
      </c>
      <c r="U4158" s="5">
        <f t="shared" si="1734"/>
        <v>40890</v>
      </c>
    </row>
    <row r="4159" spans="1:21" ht="12" customHeight="1">
      <c r="A4159" s="4">
        <v>5917</v>
      </c>
      <c r="B4159" s="4">
        <v>41956</v>
      </c>
      <c r="C4159" s="5">
        <f t="shared" si="1735"/>
        <v>40889</v>
      </c>
      <c r="D4159" s="4" t="s">
        <v>63</v>
      </c>
      <c r="E4159" s="4">
        <v>16</v>
      </c>
      <c r="F4159" s="4">
        <v>86.3</v>
      </c>
      <c r="G4159" s="4">
        <v>0</v>
      </c>
      <c r="H4159" s="4" t="s">
        <v>22</v>
      </c>
      <c r="I4159" s="6">
        <v>-68.67</v>
      </c>
      <c r="J4159" s="4">
        <v>4.8899999999999997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spans="1:21" ht="12" customHeight="1">
      <c r="A4160" s="4">
        <v>6310</v>
      </c>
      <c r="B4160" s="4">
        <v>44646</v>
      </c>
      <c r="C4160" s="5">
        <f>DATE(2012,12,31)-362</f>
        <v>40912</v>
      </c>
      <c r="D4160" s="4" t="s">
        <v>21</v>
      </c>
      <c r="E4160" s="4">
        <v>47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spans="1:21" ht="12" customHeight="1">
      <c r="A4161" s="4">
        <v>6444</v>
      </c>
      <c r="B4161" s="4">
        <v>45825</v>
      </c>
      <c r="C4161" s="5">
        <f>DATE(2012,12,31)-85</f>
        <v>41189</v>
      </c>
      <c r="D4161" s="4" t="s">
        <v>63</v>
      </c>
      <c r="E4161" s="4">
        <v>43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spans="1:21" ht="12" customHeight="1">
      <c r="A4162" s="4">
        <v>6641</v>
      </c>
      <c r="B4162" s="4">
        <v>47232</v>
      </c>
      <c r="C4162" s="5">
        <f>DATE(2012,12,31)-867</f>
        <v>40407</v>
      </c>
      <c r="D4162" s="4" t="s">
        <v>45</v>
      </c>
      <c r="E4162" s="4">
        <v>39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spans="1:21" ht="12" customHeight="1">
      <c r="A4163" s="4">
        <v>6915</v>
      </c>
      <c r="B4163" s="4">
        <v>49344</v>
      </c>
      <c r="C4163" s="5">
        <f t="shared" ref="C4163:C4164" si="1736">DATE(2012,12,31)-1</f>
        <v>41273</v>
      </c>
      <c r="D4163" s="4" t="s">
        <v>21</v>
      </c>
      <c r="E4163" s="4">
        <v>31</v>
      </c>
      <c r="F4163" s="4">
        <v>672.93</v>
      </c>
      <c r="G4163" s="4">
        <v>0</v>
      </c>
      <c r="H4163" s="4" t="s">
        <v>22</v>
      </c>
      <c r="I4163" s="6">
        <v>27.85</v>
      </c>
      <c r="J4163" s="4">
        <v>19.98</v>
      </c>
      <c r="K4163" s="4">
        <v>4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7">C4163+0</f>
        <v>41273</v>
      </c>
    </row>
    <row r="4164" spans="1:21" ht="12" customHeight="1">
      <c r="A4164" s="4">
        <v>6916</v>
      </c>
      <c r="B4164" s="4">
        <v>49344</v>
      </c>
      <c r="C4164" s="5">
        <f t="shared" si="1736"/>
        <v>41273</v>
      </c>
      <c r="D4164" s="4" t="s">
        <v>21</v>
      </c>
      <c r="E4164" s="4">
        <v>1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7"/>
        <v>41273</v>
      </c>
    </row>
    <row r="4165" spans="1:21" ht="12" customHeight="1">
      <c r="A4165" s="4">
        <v>6922</v>
      </c>
      <c r="B4165" s="4">
        <v>49351</v>
      </c>
      <c r="C4165" s="5">
        <f>DATE(2012,12,31)-276</f>
        <v>40998</v>
      </c>
      <c r="D4165" s="4" t="s">
        <v>21</v>
      </c>
      <c r="E4165" s="4">
        <v>27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spans="1:21" ht="12" customHeight="1">
      <c r="A4166" s="4">
        <v>7358</v>
      </c>
      <c r="B4166" s="4">
        <v>52419</v>
      </c>
      <c r="C4166" s="5">
        <f>DATE(2012,12,31)-104</f>
        <v>41170</v>
      </c>
      <c r="D4166" s="4" t="s">
        <v>30</v>
      </c>
      <c r="E4166" s="4">
        <v>32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spans="1:21" ht="12" customHeight="1">
      <c r="A4167" s="4">
        <v>7644</v>
      </c>
      <c r="B4167" s="4">
        <v>54786</v>
      </c>
      <c r="C4167" s="5">
        <f>DATE(2012,12,31)-355</f>
        <v>40919</v>
      </c>
      <c r="D4167" s="4" t="s">
        <v>45</v>
      </c>
      <c r="E4167" s="4">
        <v>30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8">C4167+2</f>
        <v>40921</v>
      </c>
    </row>
    <row r="4168" spans="1:21" ht="12" customHeight="1">
      <c r="A4168" s="4">
        <v>7728</v>
      </c>
      <c r="B4168" s="4">
        <v>55362</v>
      </c>
      <c r="C4168" s="5">
        <f>DATE(2012,12,31)-621</f>
        <v>40653</v>
      </c>
      <c r="D4168" s="4" t="s">
        <v>30</v>
      </c>
      <c r="E4168" s="4">
        <v>24</v>
      </c>
      <c r="F4168" s="4">
        <v>67.84</v>
      </c>
      <c r="G4168" s="4">
        <v>7.0000000000000007E-2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8"/>
        <v>40655</v>
      </c>
    </row>
    <row r="4169" spans="1:21" ht="12" customHeight="1">
      <c r="A4169" s="4">
        <v>7844</v>
      </c>
      <c r="B4169" s="4">
        <v>56099</v>
      </c>
      <c r="C4169" s="5">
        <f>DATE(2012,12,31)-818</f>
        <v>40456</v>
      </c>
      <c r="D4169" s="4" t="s">
        <v>21</v>
      </c>
      <c r="E4169" s="4">
        <v>11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0.57999999999999996</v>
      </c>
      <c r="U4169" s="5">
        <f>C4169+7</f>
        <v>40463</v>
      </c>
    </row>
    <row r="4170" spans="1:21" ht="12" customHeight="1">
      <c r="A4170" s="4">
        <v>183</v>
      </c>
      <c r="B4170" s="4">
        <v>1217</v>
      </c>
      <c r="C4170" s="5">
        <f>DATE(2012,12,31)-250</f>
        <v>41024</v>
      </c>
      <c r="D4170" s="4" t="s">
        <v>45</v>
      </c>
      <c r="E4170" s="4">
        <v>25</v>
      </c>
      <c r="F4170" s="4">
        <v>662.16</v>
      </c>
      <c r="G4170" s="4">
        <v>7.0000000000000007E-2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spans="1:21" ht="12" customHeight="1">
      <c r="A4171" s="4">
        <v>245</v>
      </c>
      <c r="B4171" s="4">
        <v>1666</v>
      </c>
      <c r="C4171" s="5">
        <f>DATE(2012,12,31)-441</f>
        <v>40833</v>
      </c>
      <c r="D4171" s="4" t="s">
        <v>78</v>
      </c>
      <c r="E4171" s="4">
        <v>19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19.989999999999998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spans="1:21" ht="12" customHeight="1">
      <c r="A4172" s="4">
        <v>468</v>
      </c>
      <c r="B4172" s="4">
        <v>3202</v>
      </c>
      <c r="C4172" s="5">
        <f>DATE(2012,12,31)-8</f>
        <v>41266</v>
      </c>
      <c r="D4172" s="4" t="s">
        <v>21</v>
      </c>
      <c r="E4172" s="4">
        <v>10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spans="1:21" ht="12" customHeight="1">
      <c r="A4173" s="4">
        <v>697</v>
      </c>
      <c r="B4173" s="4">
        <v>4871</v>
      </c>
      <c r="C4173" s="5">
        <f t="shared" ref="C4173:C4174" si="1739">DATE(2012,12,31)-569</f>
        <v>40705</v>
      </c>
      <c r="D4173" s="4" t="s">
        <v>78</v>
      </c>
      <c r="E4173" s="4">
        <v>8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spans="1:21" ht="12" customHeight="1">
      <c r="A4174" s="4">
        <v>698</v>
      </c>
      <c r="B4174" s="4">
        <v>4871</v>
      </c>
      <c r="C4174" s="5">
        <f t="shared" si="1739"/>
        <v>40705</v>
      </c>
      <c r="D4174" s="4" t="s">
        <v>78</v>
      </c>
      <c r="E4174" s="4">
        <v>26</v>
      </c>
      <c r="F4174" s="4">
        <v>238.34</v>
      </c>
      <c r="G4174" s="4">
        <v>0.06</v>
      </c>
      <c r="H4174" s="4" t="s">
        <v>22</v>
      </c>
      <c r="I4174" s="6">
        <v>-19.309999999999999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0.56000000000000005</v>
      </c>
      <c r="U4174" s="5">
        <f>C4174+3</f>
        <v>40708</v>
      </c>
    </row>
    <row r="4175" spans="1:21" ht="12" customHeight="1">
      <c r="A4175" s="4">
        <v>1007</v>
      </c>
      <c r="B4175" s="4">
        <v>7363</v>
      </c>
      <c r="C4175" s="5">
        <f>DATE(2012,12,31)-783</f>
        <v>40491</v>
      </c>
      <c r="D4175" s="4" t="s">
        <v>63</v>
      </c>
      <c r="E4175" s="4">
        <v>24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spans="1:21" ht="12" customHeight="1">
      <c r="A4176" s="4">
        <v>1109</v>
      </c>
      <c r="B4176" s="4">
        <v>8133</v>
      </c>
      <c r="C4176" s="5">
        <f>DATE(2012,12,31)-674</f>
        <v>40600</v>
      </c>
      <c r="D4176" s="4" t="s">
        <v>63</v>
      </c>
      <c r="E4176" s="4">
        <v>11</v>
      </c>
      <c r="F4176" s="4">
        <v>405.53</v>
      </c>
      <c r="G4176" s="4">
        <v>0.04</v>
      </c>
      <c r="H4176" s="4" t="s">
        <v>22</v>
      </c>
      <c r="I4176" s="6">
        <v>130.52000000000001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spans="1:21" ht="12" customHeight="1">
      <c r="A4177" s="4">
        <v>1155</v>
      </c>
      <c r="B4177" s="4">
        <v>8416</v>
      </c>
      <c r="C4177" s="5">
        <f>DATE(2012,12,31)-878</f>
        <v>40396</v>
      </c>
      <c r="D4177" s="4" t="s">
        <v>21</v>
      </c>
      <c r="E4177" s="4">
        <v>2</v>
      </c>
      <c r="F4177" s="4">
        <v>22.07</v>
      </c>
      <c r="G4177" s="4">
        <v>7.0000000000000007E-2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spans="1:21" ht="12" customHeight="1">
      <c r="A4178" s="4">
        <v>1199</v>
      </c>
      <c r="B4178" s="4">
        <v>8802</v>
      </c>
      <c r="C4178" s="5">
        <f>DATE(2012,12,31)-700</f>
        <v>40574</v>
      </c>
      <c r="D4178" s="4" t="s">
        <v>63</v>
      </c>
      <c r="E4178" s="4">
        <v>15</v>
      </c>
      <c r="F4178" s="4">
        <v>1866.12</v>
      </c>
      <c r="G4178" s="4">
        <v>7.0000000000000007E-2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0">C4178+2</f>
        <v>40576</v>
      </c>
    </row>
    <row r="4179" spans="1:21" ht="12" customHeight="1">
      <c r="A4179" s="4">
        <v>1327</v>
      </c>
      <c r="B4179" s="4">
        <v>9671</v>
      </c>
      <c r="C4179" s="5">
        <f>DATE(2012,12,31)-476</f>
        <v>40798</v>
      </c>
      <c r="D4179" s="4" t="s">
        <v>30</v>
      </c>
      <c r="E4179" s="4">
        <v>6</v>
      </c>
      <c r="F4179" s="4">
        <v>12.61</v>
      </c>
      <c r="G4179" s="4">
        <v>7.0000000000000007E-2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0"/>
        <v>40800</v>
      </c>
    </row>
    <row r="4180" spans="1:21" ht="12" customHeight="1">
      <c r="A4180" s="4">
        <v>1378</v>
      </c>
      <c r="B4180" s="4">
        <v>9957</v>
      </c>
      <c r="C4180" s="5">
        <f>DATE(2012,12,31)-762</f>
        <v>40512</v>
      </c>
      <c r="D4180" s="4" t="s">
        <v>45</v>
      </c>
      <c r="E4180" s="4">
        <v>31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2.2799999999999998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1">C4180+1</f>
        <v>40513</v>
      </c>
    </row>
    <row r="4181" spans="1:21" ht="12" customHeight="1">
      <c r="A4181" s="4">
        <v>1467</v>
      </c>
      <c r="B4181" s="4">
        <v>10567</v>
      </c>
      <c r="C4181" s="5">
        <f>DATE(2012,12,31)-277</f>
        <v>40997</v>
      </c>
      <c r="D4181" s="4" t="s">
        <v>30</v>
      </c>
      <c r="E4181" s="4">
        <v>10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1"/>
        <v>40998</v>
      </c>
    </row>
    <row r="4182" spans="1:21" ht="12" customHeight="1">
      <c r="A4182" s="4">
        <v>1760</v>
      </c>
      <c r="B4182" s="4">
        <v>12613</v>
      </c>
      <c r="C4182" s="5">
        <f t="shared" ref="C4182:C4184" si="1742">DATE(2012,12,31)-996</f>
        <v>40278</v>
      </c>
      <c r="D4182" s="4" t="s">
        <v>63</v>
      </c>
      <c r="E4182" s="4">
        <v>3</v>
      </c>
      <c r="F4182" s="4">
        <v>15.64</v>
      </c>
      <c r="G4182" s="4">
        <v>0.08</v>
      </c>
      <c r="H4182" s="4" t="s">
        <v>22</v>
      </c>
      <c r="I4182" s="6">
        <v>-16.007999999999999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spans="1:21" ht="12" customHeight="1">
      <c r="A4183" s="4">
        <v>1761</v>
      </c>
      <c r="B4183" s="4">
        <v>12613</v>
      </c>
      <c r="C4183" s="5">
        <f t="shared" si="1742"/>
        <v>40278</v>
      </c>
      <c r="D4183" s="4" t="s">
        <v>63</v>
      </c>
      <c r="E4183" s="4">
        <v>28</v>
      </c>
      <c r="F4183" s="4">
        <v>1751.08</v>
      </c>
      <c r="G4183" s="4">
        <v>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3">C4183+1</f>
        <v>40279</v>
      </c>
    </row>
    <row r="4184" spans="1:21" ht="12" customHeight="1">
      <c r="A4184" s="4">
        <v>1762</v>
      </c>
      <c r="B4184" s="4">
        <v>12613</v>
      </c>
      <c r="C4184" s="5">
        <f t="shared" si="1742"/>
        <v>40278</v>
      </c>
      <c r="D4184" s="4" t="s">
        <v>63</v>
      </c>
      <c r="E4184" s="4">
        <v>18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0.55000000000000004</v>
      </c>
      <c r="U4184" s="5">
        <f t="shared" si="1743"/>
        <v>40279</v>
      </c>
    </row>
    <row r="4185" spans="1:21" ht="12" customHeight="1">
      <c r="A4185" s="4">
        <v>1776</v>
      </c>
      <c r="B4185" s="4">
        <v>12711</v>
      </c>
      <c r="C4185" s="5">
        <f t="shared" ref="C4185:C4186" si="1744">DATE(2012,12,31)-316</f>
        <v>40958</v>
      </c>
      <c r="D4185" s="4" t="s">
        <v>78</v>
      </c>
      <c r="E4185" s="4">
        <v>32</v>
      </c>
      <c r="F4185" s="4">
        <v>1486.72</v>
      </c>
      <c r="G4185" s="4">
        <v>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0.57999999999999996</v>
      </c>
      <c r="U4185" s="5">
        <f t="shared" si="1743"/>
        <v>40959</v>
      </c>
    </row>
    <row r="4186" spans="1:21" ht="12" customHeight="1">
      <c r="A4186" s="4">
        <v>1777</v>
      </c>
      <c r="B4186" s="4">
        <v>12711</v>
      </c>
      <c r="C4186" s="5">
        <f t="shared" si="1744"/>
        <v>40958</v>
      </c>
      <c r="D4186" s="4" t="s">
        <v>78</v>
      </c>
      <c r="E4186" s="4">
        <v>45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3"/>
        <v>40959</v>
      </c>
    </row>
    <row r="4187" spans="1:21" ht="12" customHeight="1">
      <c r="A4187" s="4">
        <v>1886</v>
      </c>
      <c r="B4187" s="4">
        <v>13543</v>
      </c>
      <c r="C4187" s="5">
        <f>DATE(2012,12,31)-145</f>
        <v>41129</v>
      </c>
      <c r="D4187" s="4" t="s">
        <v>63</v>
      </c>
      <c r="E4187" s="4">
        <v>2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9.7100000000000009</v>
      </c>
      <c r="K4187" s="4">
        <v>9.4499999999999993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spans="1:21" ht="12" customHeight="1">
      <c r="A4188" s="4">
        <v>1924</v>
      </c>
      <c r="B4188" s="4">
        <v>13767</v>
      </c>
      <c r="C4188" s="5">
        <f t="shared" ref="C4188:C4190" si="1745">DATE(2012,12,31)-858</f>
        <v>40416</v>
      </c>
      <c r="D4188" s="4" t="s">
        <v>30</v>
      </c>
      <c r="E4188" s="4">
        <v>29</v>
      </c>
      <c r="F4188" s="4">
        <v>597.66</v>
      </c>
      <c r="G4188" s="4">
        <v>0.08</v>
      </c>
      <c r="H4188" s="4" t="s">
        <v>22</v>
      </c>
      <c r="I4188" s="6">
        <v>-178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6">C4188+2</f>
        <v>40418</v>
      </c>
    </row>
    <row r="4189" spans="1:21" ht="12" customHeight="1">
      <c r="A4189" s="4">
        <v>1925</v>
      </c>
      <c r="B4189" s="4">
        <v>13767</v>
      </c>
      <c r="C4189" s="5">
        <f t="shared" si="1745"/>
        <v>40416</v>
      </c>
      <c r="D4189" s="4" t="s">
        <v>30</v>
      </c>
      <c r="E4189" s="4">
        <v>45</v>
      </c>
      <c r="F4189" s="4">
        <v>1403.741</v>
      </c>
      <c r="G4189" s="4">
        <v>0.01</v>
      </c>
      <c r="H4189" s="4" t="s">
        <v>22</v>
      </c>
      <c r="I4189" s="6">
        <v>622.25099999999998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6"/>
        <v>40418</v>
      </c>
    </row>
    <row r="4190" spans="1:21" ht="12" customHeight="1">
      <c r="A4190" s="4">
        <v>1926</v>
      </c>
      <c r="B4190" s="4">
        <v>13767</v>
      </c>
      <c r="C4190" s="5">
        <f t="shared" si="1745"/>
        <v>40416</v>
      </c>
      <c r="D4190" s="4" t="s">
        <v>30</v>
      </c>
      <c r="E4190" s="4">
        <v>10</v>
      </c>
      <c r="F4190" s="4">
        <v>1246.3634999999999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0.57999999999999996</v>
      </c>
      <c r="U4190" s="5">
        <f>C4190+1</f>
        <v>40417</v>
      </c>
    </row>
    <row r="4191" spans="1:21" ht="12" customHeight="1">
      <c r="A4191" s="4">
        <v>2462</v>
      </c>
      <c r="B4191" s="4">
        <v>17924</v>
      </c>
      <c r="C4191" s="5">
        <f>DATE(2012,12,31)-493</f>
        <v>40781</v>
      </c>
      <c r="D4191" s="4" t="s">
        <v>78</v>
      </c>
      <c r="E4191" s="4">
        <v>42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0.56000000000000005</v>
      </c>
      <c r="U4191" s="5">
        <f>C4191+0</f>
        <v>40781</v>
      </c>
    </row>
    <row r="4192" spans="1:21" ht="12" customHeight="1">
      <c r="A4192" s="4">
        <v>2533</v>
      </c>
      <c r="B4192" s="4">
        <v>18374</v>
      </c>
      <c r="C4192" s="5">
        <f>DATE(2012,12,31)-92</f>
        <v>41182</v>
      </c>
      <c r="D4192" s="4" t="s">
        <v>21</v>
      </c>
      <c r="E4192" s="4">
        <v>21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spans="1:21" ht="12" customHeight="1">
      <c r="A4193" s="4">
        <v>2750</v>
      </c>
      <c r="B4193" s="4">
        <v>19841</v>
      </c>
      <c r="C4193" s="5">
        <f>DATE(2012,12,31)-736</f>
        <v>40538</v>
      </c>
      <c r="D4193" s="4" t="s">
        <v>21</v>
      </c>
      <c r="E4193" s="4">
        <v>43</v>
      </c>
      <c r="F4193" s="4">
        <v>4687.6734999999999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0.56999999999999995</v>
      </c>
      <c r="U4193" s="5">
        <f>C4193+19</f>
        <v>40557</v>
      </c>
    </row>
    <row r="4194" spans="1:21" ht="12" customHeight="1">
      <c r="A4194" s="4">
        <v>2953</v>
      </c>
      <c r="B4194" s="4">
        <v>21382</v>
      </c>
      <c r="C4194" s="5">
        <f t="shared" ref="C4194:C4195" si="1747">DATE(2012,12,31)-354</f>
        <v>40920</v>
      </c>
      <c r="D4194" s="4" t="s">
        <v>78</v>
      </c>
      <c r="E4194" s="4">
        <v>21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0.56000000000000005</v>
      </c>
      <c r="U4194" s="5">
        <f t="shared" ref="U4194:U4195" si="1748">C4194+2</f>
        <v>40922</v>
      </c>
    </row>
    <row r="4195" spans="1:21" ht="12" customHeight="1">
      <c r="A4195" s="4">
        <v>2954</v>
      </c>
      <c r="B4195" s="4">
        <v>21382</v>
      </c>
      <c r="C4195" s="5">
        <f t="shared" si="1747"/>
        <v>40920</v>
      </c>
      <c r="D4195" s="4" t="s">
        <v>78</v>
      </c>
      <c r="E4195" s="4">
        <v>11</v>
      </c>
      <c r="F4195" s="4">
        <v>312.02999999999997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8"/>
        <v>40922</v>
      </c>
    </row>
    <row r="4196" spans="1:21" ht="12" customHeight="1">
      <c r="A4196" s="4">
        <v>3007</v>
      </c>
      <c r="B4196" s="4">
        <v>21638</v>
      </c>
      <c r="C4196" s="5">
        <f>DATE(2012,12,31)-259</f>
        <v>41015</v>
      </c>
      <c r="D4196" s="4" t="s">
        <v>30</v>
      </c>
      <c r="E4196" s="4">
        <v>13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spans="1:21" ht="12" customHeight="1">
      <c r="A4197" s="4">
        <v>3548</v>
      </c>
      <c r="B4197" s="4">
        <v>25314</v>
      </c>
      <c r="C4197" s="5">
        <f>DATE(2012,12,31)-311</f>
        <v>40963</v>
      </c>
      <c r="D4197" s="4" t="s">
        <v>30</v>
      </c>
      <c r="E4197" s="4">
        <v>43</v>
      </c>
      <c r="F4197" s="4">
        <v>7679.5119999999988</v>
      </c>
      <c r="G4197" s="4">
        <v>0</v>
      </c>
      <c r="H4197" s="4" t="s">
        <v>22</v>
      </c>
      <c r="I4197" s="6">
        <v>2307.42</v>
      </c>
      <c r="J4197" s="4">
        <v>205.99</v>
      </c>
      <c r="K4197" s="4">
        <v>5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49">C4197+2</f>
        <v>40965</v>
      </c>
    </row>
    <row r="4198" spans="1:21" ht="12" customHeight="1">
      <c r="A4198" s="4">
        <v>3678</v>
      </c>
      <c r="B4198" s="4">
        <v>26310</v>
      </c>
      <c r="C4198" s="5">
        <f t="shared" ref="C4198:C4199" si="1750">DATE(2012,12,31)-155</f>
        <v>41119</v>
      </c>
      <c r="D4198" s="4" t="s">
        <v>45</v>
      </c>
      <c r="E4198" s="4">
        <v>5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49"/>
        <v>41121</v>
      </c>
    </row>
    <row r="4199" spans="1:21" ht="12" customHeight="1">
      <c r="A4199" s="4">
        <v>3679</v>
      </c>
      <c r="B4199" s="4">
        <v>26310</v>
      </c>
      <c r="C4199" s="5">
        <f t="shared" si="1750"/>
        <v>41119</v>
      </c>
      <c r="D4199" s="4" t="s">
        <v>45</v>
      </c>
      <c r="E4199" s="4">
        <v>19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spans="1:21" ht="12" customHeight="1">
      <c r="A4200" s="4">
        <v>3870</v>
      </c>
      <c r="B4200" s="4">
        <v>27616</v>
      </c>
      <c r="C4200" s="5">
        <f>DATE(2012,12,31)-154</f>
        <v>41120</v>
      </c>
      <c r="D4200" s="4" t="s">
        <v>21</v>
      </c>
      <c r="E4200" s="4">
        <v>3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spans="1:21" ht="12" customHeight="1">
      <c r="A4201" s="4">
        <v>4169</v>
      </c>
      <c r="B4201" s="4">
        <v>29539</v>
      </c>
      <c r="C4201" s="5">
        <f>DATE(2012,12,31)-618</f>
        <v>40656</v>
      </c>
      <c r="D4201" s="4" t="s">
        <v>30</v>
      </c>
      <c r="E4201" s="4">
        <v>24</v>
      </c>
      <c r="F4201" s="4">
        <v>223.2</v>
      </c>
      <c r="G4201" s="4">
        <v>0.1</v>
      </c>
      <c r="H4201" s="4" t="s">
        <v>22</v>
      </c>
      <c r="I4201" s="6">
        <v>78.739999999999995</v>
      </c>
      <c r="J4201" s="4">
        <v>9.7799999999999994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spans="1:21" ht="12" customHeight="1">
      <c r="A4202" s="4">
        <v>4364</v>
      </c>
      <c r="B4202" s="4">
        <v>31106</v>
      </c>
      <c r="C4202" s="5">
        <f t="shared" ref="C4202:C4205" si="1751">DATE(2012,12,31)-319</f>
        <v>40955</v>
      </c>
      <c r="D4202" s="4" t="s">
        <v>21</v>
      </c>
      <c r="E4202" s="4">
        <v>37</v>
      </c>
      <c r="F4202" s="4">
        <v>101.9</v>
      </c>
      <c r="G4202" s="4">
        <v>0</v>
      </c>
      <c r="H4202" s="4" t="s">
        <v>22</v>
      </c>
      <c r="I4202" s="6">
        <v>40.520000000000003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spans="1:21" ht="12" customHeight="1">
      <c r="A4203" s="4">
        <v>4365</v>
      </c>
      <c r="B4203" s="4">
        <v>31106</v>
      </c>
      <c r="C4203" s="5">
        <f t="shared" si="1751"/>
        <v>40955</v>
      </c>
      <c r="D4203" s="4" t="s">
        <v>21</v>
      </c>
      <c r="E4203" s="4">
        <v>7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9.8699999999999992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0.57999999999999996</v>
      </c>
      <c r="U4203" s="5">
        <f>C4203+5</f>
        <v>40960</v>
      </c>
    </row>
    <row r="4204" spans="1:21" ht="12" customHeight="1">
      <c r="A4204" s="4">
        <v>4366</v>
      </c>
      <c r="B4204" s="4">
        <v>31106</v>
      </c>
      <c r="C4204" s="5">
        <f t="shared" si="1751"/>
        <v>40955</v>
      </c>
      <c r="D4204" s="4" t="s">
        <v>21</v>
      </c>
      <c r="E4204" s="4">
        <v>45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0.56000000000000005</v>
      </c>
      <c r="U4204" s="5">
        <f>C4204+2</f>
        <v>40957</v>
      </c>
    </row>
    <row r="4205" spans="1:21" ht="12" customHeight="1">
      <c r="A4205" s="4">
        <v>4367</v>
      </c>
      <c r="B4205" s="4">
        <v>31106</v>
      </c>
      <c r="C4205" s="5">
        <f t="shared" si="1751"/>
        <v>40955</v>
      </c>
      <c r="D4205" s="4" t="s">
        <v>21</v>
      </c>
      <c r="E4205" s="4">
        <v>43</v>
      </c>
      <c r="F4205" s="4">
        <v>4697.0320000000002</v>
      </c>
      <c r="G4205" s="4">
        <v>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spans="1:21" ht="12" customHeight="1">
      <c r="A4206" s="4">
        <v>4371</v>
      </c>
      <c r="B4206" s="4">
        <v>31140</v>
      </c>
      <c r="C4206" s="5">
        <f>DATE(2012,12,31)-699</f>
        <v>40575</v>
      </c>
      <c r="D4206" s="4" t="s">
        <v>78</v>
      </c>
      <c r="E4206" s="4">
        <v>4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spans="1:21" ht="12" customHeight="1">
      <c r="A4207" s="4">
        <v>4373</v>
      </c>
      <c r="B4207" s="4">
        <v>31170</v>
      </c>
      <c r="C4207" s="5">
        <f>DATE(2012,12,31)-339</f>
        <v>40935</v>
      </c>
      <c r="D4207" s="4" t="s">
        <v>63</v>
      </c>
      <c r="E4207" s="4">
        <v>32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10.130000000000001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0.55000000000000004</v>
      </c>
      <c r="U4207" s="5">
        <f>C4207+2</f>
        <v>40937</v>
      </c>
    </row>
    <row r="4208" spans="1:21" ht="12" customHeight="1">
      <c r="A4208" s="4">
        <v>4417</v>
      </c>
      <c r="B4208" s="4">
        <v>31520</v>
      </c>
      <c r="C4208" s="5">
        <f>DATE(2012,12,31)-399</f>
        <v>40875</v>
      </c>
      <c r="D4208" s="4" t="s">
        <v>30</v>
      </c>
      <c r="E4208" s="4">
        <v>23</v>
      </c>
      <c r="F4208" s="4">
        <v>138.71</v>
      </c>
      <c r="G4208" s="4">
        <v>0.09</v>
      </c>
      <c r="H4208" s="4" t="s">
        <v>22</v>
      </c>
      <c r="I4208" s="6">
        <v>-33.159999999999997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spans="1:21" ht="12" customHeight="1">
      <c r="A4209" s="4">
        <v>4873</v>
      </c>
      <c r="B4209" s="4">
        <v>34663</v>
      </c>
      <c r="C4209" s="5">
        <f>DATE(2012,12,31)-544</f>
        <v>40730</v>
      </c>
      <c r="D4209" s="4" t="s">
        <v>45</v>
      </c>
      <c r="E4209" s="4">
        <v>38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2">C4209+2</f>
        <v>40732</v>
      </c>
    </row>
    <row r="4210" spans="1:21" ht="12" customHeight="1">
      <c r="A4210" s="4">
        <v>5029</v>
      </c>
      <c r="B4210" s="4">
        <v>35842</v>
      </c>
      <c r="C4210" s="5">
        <f>DATE(2012,12,31)-221</f>
        <v>41053</v>
      </c>
      <c r="D4210" s="4" t="s">
        <v>30</v>
      </c>
      <c r="E4210" s="4">
        <v>18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2"/>
        <v>41055</v>
      </c>
    </row>
    <row r="4211" spans="1:21" ht="12" customHeight="1">
      <c r="A4211" s="4">
        <v>5432</v>
      </c>
      <c r="B4211" s="4">
        <v>38596</v>
      </c>
      <c r="C4211" s="5">
        <f>DATE(2012,12,31)-1004</f>
        <v>40270</v>
      </c>
      <c r="D4211" s="4" t="s">
        <v>63</v>
      </c>
      <c r="E4211" s="4">
        <v>20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spans="1:21" ht="12" customHeight="1">
      <c r="A4212" s="4">
        <v>5526</v>
      </c>
      <c r="B4212" s="4">
        <v>39143</v>
      </c>
      <c r="C4212" s="5">
        <f>DATE(2012,12,31)-269</f>
        <v>41005</v>
      </c>
      <c r="D4212" s="4" t="s">
        <v>45</v>
      </c>
      <c r="E4212" s="4">
        <v>46</v>
      </c>
      <c r="F4212" s="4">
        <v>6730.07</v>
      </c>
      <c r="G4212" s="4">
        <v>0.05</v>
      </c>
      <c r="H4212" s="4" t="s">
        <v>31</v>
      </c>
      <c r="I4212" s="6">
        <v>-1134.6099999999999</v>
      </c>
      <c r="J4212" s="4">
        <v>150.97999999999999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spans="1:21" ht="12" customHeight="1">
      <c r="A4213" s="4">
        <v>5807</v>
      </c>
      <c r="B4213" s="4">
        <v>41186</v>
      </c>
      <c r="C4213" s="5">
        <f>DATE(2012,12,31)-770</f>
        <v>40504</v>
      </c>
      <c r="D4213" s="4" t="s">
        <v>30</v>
      </c>
      <c r="E4213" s="4">
        <v>33</v>
      </c>
      <c r="F4213" s="4">
        <v>553.3415</v>
      </c>
      <c r="G4213" s="4">
        <v>0.08</v>
      </c>
      <c r="H4213" s="4" t="s">
        <v>22</v>
      </c>
      <c r="I4213" s="6">
        <v>-67.704999999999998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3">C4213+1</f>
        <v>40505</v>
      </c>
    </row>
    <row r="4214" spans="1:21" ht="12" customHeight="1">
      <c r="A4214" s="4">
        <v>6143</v>
      </c>
      <c r="B4214" s="4">
        <v>43493</v>
      </c>
      <c r="C4214" s="5">
        <f t="shared" ref="C4214:C4216" si="1754">DATE(2012,12,31)-235</f>
        <v>41039</v>
      </c>
      <c r="D4214" s="4" t="s">
        <v>30</v>
      </c>
      <c r="E4214" s="4">
        <v>22</v>
      </c>
      <c r="F4214" s="4">
        <v>152.52000000000001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3"/>
        <v>41040</v>
      </c>
    </row>
    <row r="4215" spans="1:21" ht="12" customHeight="1">
      <c r="A4215" s="4">
        <v>6144</v>
      </c>
      <c r="B4215" s="4">
        <v>43493</v>
      </c>
      <c r="C4215" s="5">
        <f t="shared" si="1754"/>
        <v>41039</v>
      </c>
      <c r="D4215" s="4" t="s">
        <v>30</v>
      </c>
      <c r="E4215" s="4">
        <v>14</v>
      </c>
      <c r="F4215" s="4">
        <v>71.599999999999994</v>
      </c>
      <c r="G4215" s="4">
        <v>0.05</v>
      </c>
      <c r="H4215" s="4" t="s">
        <v>22</v>
      </c>
      <c r="I4215" s="6">
        <v>-30.65</v>
      </c>
      <c r="J4215" s="4">
        <v>4.9800000000000004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spans="1:21" ht="12" customHeight="1">
      <c r="A4216" s="4">
        <v>6145</v>
      </c>
      <c r="B4216" s="4">
        <v>43493</v>
      </c>
      <c r="C4216" s="5">
        <f t="shared" si="1754"/>
        <v>41039</v>
      </c>
      <c r="D4216" s="4" t="s">
        <v>30</v>
      </c>
      <c r="E4216" s="4">
        <v>37</v>
      </c>
      <c r="F4216" s="4">
        <v>1699.9829999999999</v>
      </c>
      <c r="G4216" s="4">
        <v>0.1</v>
      </c>
      <c r="H4216" s="4" t="s">
        <v>22</v>
      </c>
      <c r="I4216" s="6">
        <v>-202.86199999999999</v>
      </c>
      <c r="J4216" s="4">
        <v>55.99</v>
      </c>
      <c r="K4216" s="4">
        <v>5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spans="1:21" ht="12" customHeight="1">
      <c r="A4217" s="4">
        <v>6152</v>
      </c>
      <c r="B4217" s="4">
        <v>43555</v>
      </c>
      <c r="C4217" s="5">
        <f>DATE(2012,12,31)-181</f>
        <v>41093</v>
      </c>
      <c r="D4217" s="4" t="s">
        <v>63</v>
      </c>
      <c r="E4217" s="4">
        <v>34</v>
      </c>
      <c r="F4217" s="4">
        <v>43.54</v>
      </c>
      <c r="G4217" s="4">
        <v>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5">C4217+2</f>
        <v>41095</v>
      </c>
    </row>
    <row r="4218" spans="1:21" ht="12" customHeight="1">
      <c r="A4218" s="4">
        <v>6283</v>
      </c>
      <c r="B4218" s="4">
        <v>44452</v>
      </c>
      <c r="C4218" s="5">
        <f>DATE(2012,12,31)-388</f>
        <v>40886</v>
      </c>
      <c r="D4218" s="4" t="s">
        <v>45</v>
      </c>
      <c r="E4218" s="4">
        <v>50</v>
      </c>
      <c r="F4218" s="4">
        <v>330.27</v>
      </c>
      <c r="G4218" s="4">
        <v>7.0000000000000007E-2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5"/>
        <v>40888</v>
      </c>
    </row>
    <row r="4219" spans="1:21" ht="12" customHeight="1">
      <c r="A4219" s="4">
        <v>6404</v>
      </c>
      <c r="B4219" s="4">
        <v>45506</v>
      </c>
      <c r="C4219" s="5">
        <f>DATE(2012,12,31)-371</f>
        <v>40903</v>
      </c>
      <c r="D4219" s="4" t="s">
        <v>21</v>
      </c>
      <c r="E4219" s="4">
        <v>3</v>
      </c>
      <c r="F4219" s="4">
        <v>448.36649999999997</v>
      </c>
      <c r="G4219" s="4">
        <v>0.03</v>
      </c>
      <c r="H4219" s="4" t="s">
        <v>22</v>
      </c>
      <c r="I4219" s="6">
        <v>-748.40700000000004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0.56999999999999995</v>
      </c>
      <c r="U4219" s="5">
        <f>C4219+5</f>
        <v>40908</v>
      </c>
    </row>
    <row r="4220" spans="1:21" ht="12" customHeight="1">
      <c r="A4220" s="4">
        <v>6441</v>
      </c>
      <c r="B4220" s="4">
        <v>45767</v>
      </c>
      <c r="C4220" s="5">
        <f>DATE(2012,12,31)-174</f>
        <v>41100</v>
      </c>
      <c r="D4220" s="4" t="s">
        <v>30</v>
      </c>
      <c r="E4220" s="4">
        <v>49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0.57999999999999996</v>
      </c>
      <c r="U4220" s="5">
        <f t="shared" ref="U4220:U4221" si="1756">C4220+2</f>
        <v>41102</v>
      </c>
    </row>
    <row r="4221" spans="1:21" ht="12" customHeight="1">
      <c r="A4221" s="4">
        <v>6601</v>
      </c>
      <c r="B4221" s="4">
        <v>46979</v>
      </c>
      <c r="C4221" s="5">
        <f t="shared" ref="C4221:C4222" si="1757">DATE(2012,12,31)-168</f>
        <v>41106</v>
      </c>
      <c r="D4221" s="4" t="s">
        <v>21</v>
      </c>
      <c r="E4221" s="4">
        <v>30</v>
      </c>
      <c r="F4221" s="4">
        <v>8718.4599999999991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0.56000000000000005</v>
      </c>
      <c r="U4221" s="5">
        <f t="shared" si="1756"/>
        <v>41108</v>
      </c>
    </row>
    <row r="4222" spans="1:21" ht="12" customHeight="1">
      <c r="A4222" s="4">
        <v>6602</v>
      </c>
      <c r="B4222" s="4">
        <v>46979</v>
      </c>
      <c r="C4222" s="5">
        <f t="shared" si="1757"/>
        <v>41106</v>
      </c>
      <c r="D4222" s="4" t="s">
        <v>21</v>
      </c>
      <c r="E4222" s="4">
        <v>26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4.9800000000000004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spans="1:21" ht="12" customHeight="1">
      <c r="A4223" s="4">
        <v>6611</v>
      </c>
      <c r="B4223" s="4">
        <v>47040</v>
      </c>
      <c r="C4223" s="5">
        <f>DATE(2012,12,31)-868</f>
        <v>40406</v>
      </c>
      <c r="D4223" s="4" t="s">
        <v>30</v>
      </c>
      <c r="E4223" s="4">
        <v>38</v>
      </c>
      <c r="F4223" s="4">
        <v>487.98</v>
      </c>
      <c r="G4223" s="4">
        <v>0.01</v>
      </c>
      <c r="H4223" s="4" t="s">
        <v>22</v>
      </c>
      <c r="I4223" s="6">
        <v>8.1005000000000003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8">C4223+1</f>
        <v>40407</v>
      </c>
    </row>
    <row r="4224" spans="1:21" ht="12" customHeight="1">
      <c r="A4224" s="4">
        <v>6792</v>
      </c>
      <c r="B4224" s="4">
        <v>48391</v>
      </c>
      <c r="C4224" s="5">
        <f>DATE(2012,12,31)-794</f>
        <v>40480</v>
      </c>
      <c r="D4224" s="4" t="s">
        <v>45</v>
      </c>
      <c r="E4224" s="4">
        <v>45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8"/>
        <v>40481</v>
      </c>
    </row>
    <row r="4225" spans="1:21" ht="12" customHeight="1">
      <c r="A4225" s="4">
        <v>7255</v>
      </c>
      <c r="B4225" s="4">
        <v>51780</v>
      </c>
      <c r="C4225" s="5">
        <f t="shared" ref="C4225:C4227" si="1759">DATE(2012,12,31)-891</f>
        <v>40383</v>
      </c>
      <c r="D4225" s="4" t="s">
        <v>21</v>
      </c>
      <c r="E4225" s="4">
        <v>26</v>
      </c>
      <c r="F4225" s="4">
        <v>1846.2</v>
      </c>
      <c r="G4225" s="4">
        <v>0.04</v>
      </c>
      <c r="H4225" s="4" t="s">
        <v>31</v>
      </c>
      <c r="I4225" s="6">
        <v>-584.92999999999995</v>
      </c>
      <c r="J4225" s="4">
        <v>68.81</v>
      </c>
      <c r="K4225" s="4">
        <v>60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spans="1:21" ht="12" customHeight="1">
      <c r="A4226" s="4">
        <v>7256</v>
      </c>
      <c r="B4226" s="4">
        <v>51780</v>
      </c>
      <c r="C4226" s="5">
        <f t="shared" si="1759"/>
        <v>40383</v>
      </c>
      <c r="D4226" s="4" t="s">
        <v>21</v>
      </c>
      <c r="E4226" s="4">
        <v>11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spans="1:21" ht="12" customHeight="1">
      <c r="A4227" s="4">
        <v>7257</v>
      </c>
      <c r="B4227" s="4">
        <v>51780</v>
      </c>
      <c r="C4227" s="5">
        <f t="shared" si="1759"/>
        <v>40383</v>
      </c>
      <c r="D4227" s="4" t="s">
        <v>21</v>
      </c>
      <c r="E4227" s="4">
        <v>44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2.2599999999999998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spans="1:21" ht="12" customHeight="1">
      <c r="A4228" s="4">
        <v>7783</v>
      </c>
      <c r="B4228" s="4">
        <v>55686</v>
      </c>
      <c r="C4228" s="5">
        <f t="shared" ref="C4228:C4230" si="1760">DATE(2012,12,31)-647</f>
        <v>40627</v>
      </c>
      <c r="D4228" s="4" t="s">
        <v>78</v>
      </c>
      <c r="E4228" s="4">
        <v>26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1">C4228+2</f>
        <v>40629</v>
      </c>
    </row>
    <row r="4229" spans="1:21" ht="12" customHeight="1">
      <c r="A4229" s="4">
        <v>7784</v>
      </c>
      <c r="B4229" s="4">
        <v>55686</v>
      </c>
      <c r="C4229" s="5">
        <f t="shared" si="1760"/>
        <v>40627</v>
      </c>
      <c r="D4229" s="4" t="s">
        <v>78</v>
      </c>
      <c r="E4229" s="4">
        <v>22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1"/>
        <v>40629</v>
      </c>
    </row>
    <row r="4230" spans="1:21" ht="12" customHeight="1">
      <c r="A4230" s="4">
        <v>7785</v>
      </c>
      <c r="B4230" s="4">
        <v>55686</v>
      </c>
      <c r="C4230" s="5">
        <f t="shared" si="1760"/>
        <v>40627</v>
      </c>
      <c r="D4230" s="4" t="s">
        <v>78</v>
      </c>
      <c r="E4230" s="4">
        <v>2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81.319999999999993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0.56999999999999995</v>
      </c>
      <c r="U4230" s="5">
        <f>C4230+3</f>
        <v>40630</v>
      </c>
    </row>
    <row r="4231" spans="1:21" ht="12" customHeight="1">
      <c r="A4231" s="4">
        <v>7843</v>
      </c>
      <c r="B4231" s="4">
        <v>56099</v>
      </c>
      <c r="C4231" s="5">
        <f>DATE(2012,12,31)-818</f>
        <v>40456</v>
      </c>
      <c r="D4231" s="4" t="s">
        <v>21</v>
      </c>
      <c r="E4231" s="4">
        <v>6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spans="1:21" ht="12" customHeight="1">
      <c r="A4232" s="4">
        <v>7905</v>
      </c>
      <c r="B4232" s="4">
        <v>56548</v>
      </c>
      <c r="C4232" s="5">
        <f>DATE(2012,12,31)-117</f>
        <v>41157</v>
      </c>
      <c r="D4232" s="4" t="s">
        <v>63</v>
      </c>
      <c r="E4232" s="4">
        <v>7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spans="1:21" ht="12" customHeight="1">
      <c r="A4233" s="4">
        <v>8390</v>
      </c>
      <c r="B4233" s="4">
        <v>59939</v>
      </c>
      <c r="C4233" s="5">
        <f>DATE(2012,12,31)-852</f>
        <v>40422</v>
      </c>
      <c r="D4233" s="4" t="s">
        <v>63</v>
      </c>
      <c r="E4233" s="4">
        <v>42</v>
      </c>
      <c r="F4233" s="4">
        <v>130.96</v>
      </c>
      <c r="G4233" s="4">
        <v>0.05</v>
      </c>
      <c r="H4233" s="4" t="s">
        <v>22</v>
      </c>
      <c r="I4233" s="6">
        <v>-66.739999999999995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2">C4233+0</f>
        <v>40422</v>
      </c>
    </row>
    <row r="4234" spans="1:21" ht="12" customHeight="1">
      <c r="A4234" s="4">
        <v>8398</v>
      </c>
      <c r="B4234" s="4">
        <v>59973</v>
      </c>
      <c r="C4234" s="5">
        <f t="shared" ref="C4234:C4235" si="1763">DATE(2012,12,31)-412</f>
        <v>40862</v>
      </c>
      <c r="D4234" s="4" t="s">
        <v>21</v>
      </c>
      <c r="E4234" s="4">
        <v>29</v>
      </c>
      <c r="F4234" s="4">
        <v>11039.75</v>
      </c>
      <c r="G4234" s="4">
        <v>0.06</v>
      </c>
      <c r="H4234" s="4" t="s">
        <v>31</v>
      </c>
      <c r="I4234" s="6">
        <v>2148.9699999999998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2"/>
        <v>40862</v>
      </c>
    </row>
    <row r="4235" spans="1:21" ht="12" customHeight="1">
      <c r="A4235" s="4">
        <v>8399</v>
      </c>
      <c r="B4235" s="4">
        <v>59973</v>
      </c>
      <c r="C4235" s="5">
        <f t="shared" si="1763"/>
        <v>40862</v>
      </c>
      <c r="D4235" s="4" t="s">
        <v>21</v>
      </c>
      <c r="E4235" s="4">
        <v>30</v>
      </c>
      <c r="F4235" s="4">
        <v>4982.9440000000004</v>
      </c>
      <c r="G4235" s="4">
        <v>7.0000000000000007E-2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spans="1:21" ht="12" customHeight="1">
      <c r="A4236" s="4">
        <v>370</v>
      </c>
      <c r="B4236" s="4">
        <v>2563</v>
      </c>
      <c r="C4236" s="5">
        <f t="shared" ref="C4236:C4237" si="1764">DATE(2012,12,31)-774</f>
        <v>40500</v>
      </c>
      <c r="D4236" s="4" t="s">
        <v>45</v>
      </c>
      <c r="E4236" s="4">
        <v>12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5">C4236+1</f>
        <v>40501</v>
      </c>
    </row>
    <row r="4237" spans="1:21" ht="12" customHeight="1">
      <c r="A4237" s="4">
        <v>371</v>
      </c>
      <c r="B4237" s="4">
        <v>2563</v>
      </c>
      <c r="C4237" s="5">
        <f t="shared" si="1764"/>
        <v>40500</v>
      </c>
      <c r="D4237" s="4" t="s">
        <v>45</v>
      </c>
      <c r="E4237" s="4">
        <v>33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5"/>
        <v>40501</v>
      </c>
    </row>
    <row r="4238" spans="1:21" ht="12" customHeight="1">
      <c r="A4238" s="4">
        <v>408</v>
      </c>
      <c r="B4238" s="4">
        <v>2759</v>
      </c>
      <c r="C4238" s="5">
        <f>DATE(2012,12,31)-768</f>
        <v>40506</v>
      </c>
      <c r="D4238" s="4" t="s">
        <v>45</v>
      </c>
      <c r="E4238" s="4">
        <v>25</v>
      </c>
      <c r="F4238" s="4">
        <v>827.47</v>
      </c>
      <c r="G4238" s="4">
        <v>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spans="1:21" ht="12" customHeight="1">
      <c r="A4239" s="4">
        <v>748</v>
      </c>
      <c r="B4239" s="4">
        <v>5350</v>
      </c>
      <c r="C4239" s="5">
        <f>DATE(2012,12,31)-814</f>
        <v>40460</v>
      </c>
      <c r="D4239" s="4" t="s">
        <v>21</v>
      </c>
      <c r="E4239" s="4">
        <v>50</v>
      </c>
      <c r="F4239" s="4">
        <v>7017.42</v>
      </c>
      <c r="G4239" s="4">
        <v>0.08</v>
      </c>
      <c r="H4239" s="4" t="s">
        <v>22</v>
      </c>
      <c r="I4239" s="6">
        <v>595.20000000000005</v>
      </c>
      <c r="J4239" s="4">
        <v>140.85</v>
      </c>
      <c r="K4239" s="4">
        <v>19.989999999999998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spans="1:21" ht="12" customHeight="1">
      <c r="A4240" s="4">
        <v>1361</v>
      </c>
      <c r="B4240" s="4">
        <v>9922</v>
      </c>
      <c r="C4240" s="5">
        <f t="shared" ref="C4240:C4241" si="1766">DATE(2012,12,31)-638</f>
        <v>40636</v>
      </c>
      <c r="D4240" s="4" t="s">
        <v>45</v>
      </c>
      <c r="E4240" s="4">
        <v>26</v>
      </c>
      <c r="F4240" s="4">
        <v>1075.9100000000001</v>
      </c>
      <c r="G4240" s="4">
        <v>0.03</v>
      </c>
      <c r="H4240" s="4" t="s">
        <v>22</v>
      </c>
      <c r="I4240" s="6">
        <v>34.42</v>
      </c>
      <c r="J4240" s="4">
        <v>39.979999999999997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7">C4240+1</f>
        <v>40637</v>
      </c>
    </row>
    <row r="4241" spans="1:21" ht="12" customHeight="1">
      <c r="A4241" s="4">
        <v>1362</v>
      </c>
      <c r="B4241" s="4">
        <v>9922</v>
      </c>
      <c r="C4241" s="5">
        <f t="shared" si="1766"/>
        <v>40636</v>
      </c>
      <c r="D4241" s="4" t="s">
        <v>45</v>
      </c>
      <c r="E4241" s="4">
        <v>21</v>
      </c>
      <c r="F4241" s="4">
        <v>1176.8589999999999</v>
      </c>
      <c r="G4241" s="4">
        <v>0.03</v>
      </c>
      <c r="H4241" s="4" t="s">
        <v>22</v>
      </c>
      <c r="I4241" s="6">
        <v>137.86199999999999</v>
      </c>
      <c r="J4241" s="4">
        <v>65.989999999999995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7"/>
        <v>40637</v>
      </c>
    </row>
    <row r="4242" spans="1:21" ht="12" customHeight="1">
      <c r="A4242" s="4">
        <v>1728</v>
      </c>
      <c r="B4242" s="4">
        <v>12420</v>
      </c>
      <c r="C4242" s="5">
        <f t="shared" ref="C4242:C4243" si="1768">DATE(2012,12,31)-736</f>
        <v>40538</v>
      </c>
      <c r="D4242" s="4" t="s">
        <v>63</v>
      </c>
      <c r="E4242" s="4">
        <v>34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spans="1:21" ht="12" customHeight="1">
      <c r="A4243" s="4">
        <v>1729</v>
      </c>
      <c r="B4243" s="4">
        <v>12420</v>
      </c>
      <c r="C4243" s="5">
        <f t="shared" si="1768"/>
        <v>40538</v>
      </c>
      <c r="D4243" s="4" t="s">
        <v>63</v>
      </c>
      <c r="E4243" s="4">
        <v>1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4.9800000000000004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spans="1:21" ht="12" customHeight="1">
      <c r="A4244" s="4">
        <v>1757</v>
      </c>
      <c r="B4244" s="4">
        <v>12611</v>
      </c>
      <c r="C4244" s="5">
        <f>DATE(2012,12,31)-443</f>
        <v>40831</v>
      </c>
      <c r="D4244" s="4" t="s">
        <v>63</v>
      </c>
      <c r="E4244" s="4">
        <v>13</v>
      </c>
      <c r="F4244" s="4">
        <v>189.99</v>
      </c>
      <c r="G4244" s="4">
        <v>0.03</v>
      </c>
      <c r="H4244" s="4" t="s">
        <v>56</v>
      </c>
      <c r="I4244" s="6">
        <v>72.819500000000005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69">C4244+2</f>
        <v>40833</v>
      </c>
    </row>
    <row r="4245" spans="1:21" ht="12" customHeight="1">
      <c r="A4245" s="4">
        <v>1798</v>
      </c>
      <c r="B4245" s="4">
        <v>12871</v>
      </c>
      <c r="C4245" s="5">
        <f>DATE(2012,12,31)-454</f>
        <v>40820</v>
      </c>
      <c r="D4245" s="4" t="s">
        <v>45</v>
      </c>
      <c r="E4245" s="4">
        <v>46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69"/>
        <v>40822</v>
      </c>
    </row>
    <row r="4246" spans="1:21" ht="12" customHeight="1">
      <c r="A4246" s="4">
        <v>2159</v>
      </c>
      <c r="B4246" s="4">
        <v>15491</v>
      </c>
      <c r="C4246" s="5">
        <f>DATE(2012,12,31)-348</f>
        <v>40926</v>
      </c>
      <c r="D4246" s="4" t="s">
        <v>63</v>
      </c>
      <c r="E4246" s="4">
        <v>5</v>
      </c>
      <c r="F4246" s="4">
        <v>901.37400000000002</v>
      </c>
      <c r="G4246" s="4">
        <v>0.01</v>
      </c>
      <c r="H4246" s="4" t="s">
        <v>22</v>
      </c>
      <c r="I4246" s="6">
        <v>-648.64799999999991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spans="1:21" ht="12" customHeight="1">
      <c r="A4247" s="4">
        <v>2458</v>
      </c>
      <c r="B4247" s="4">
        <v>17859</v>
      </c>
      <c r="C4247" s="5">
        <f>DATE(2012,12,31)-950</f>
        <v>40324</v>
      </c>
      <c r="D4247" s="4" t="s">
        <v>78</v>
      </c>
      <c r="E4247" s="4">
        <v>7</v>
      </c>
      <c r="F4247" s="4">
        <v>182.89</v>
      </c>
      <c r="G4247" s="4">
        <v>7.0000000000000007E-2</v>
      </c>
      <c r="H4247" s="4" t="s">
        <v>22</v>
      </c>
      <c r="I4247" s="6">
        <v>-99.3</v>
      </c>
      <c r="J4247" s="4">
        <v>27.48</v>
      </c>
      <c r="K4247" s="4">
        <v>4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spans="1:21" ht="12" customHeight="1">
      <c r="A4248" s="4">
        <v>2524</v>
      </c>
      <c r="B4248" s="4">
        <v>18340</v>
      </c>
      <c r="C4248" s="5">
        <f t="shared" ref="C4248:C4249" si="1770">DATE(2012,12,31)-563</f>
        <v>40711</v>
      </c>
      <c r="D4248" s="4" t="s">
        <v>63</v>
      </c>
      <c r="E4248" s="4">
        <v>20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1">C4248+1</f>
        <v>40712</v>
      </c>
    </row>
    <row r="4249" spans="1:21" ht="12" customHeight="1">
      <c r="A4249" s="4">
        <v>2525</v>
      </c>
      <c r="B4249" s="4">
        <v>18340</v>
      </c>
      <c r="C4249" s="5">
        <f t="shared" si="1770"/>
        <v>40711</v>
      </c>
      <c r="D4249" s="4" t="s">
        <v>63</v>
      </c>
      <c r="E4249" s="4">
        <v>28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10.050000000000001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1"/>
        <v>40712</v>
      </c>
    </row>
    <row r="4250" spans="1:21" ht="12" customHeight="1">
      <c r="A4250" s="4">
        <v>2866</v>
      </c>
      <c r="B4250" s="4">
        <v>20704</v>
      </c>
      <c r="C4250" s="5">
        <f t="shared" ref="C4250:C4252" si="1772">DATE(2012,12,31)-1055</f>
        <v>40219</v>
      </c>
      <c r="D4250" s="4" t="s">
        <v>21</v>
      </c>
      <c r="E4250" s="4">
        <v>1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spans="1:21" ht="12" customHeight="1">
      <c r="A4251" s="4">
        <v>2867</v>
      </c>
      <c r="B4251" s="4">
        <v>20704</v>
      </c>
      <c r="C4251" s="5">
        <f t="shared" si="1772"/>
        <v>40219</v>
      </c>
      <c r="D4251" s="4" t="s">
        <v>21</v>
      </c>
      <c r="E4251" s="4">
        <v>5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3">C4251+5</f>
        <v>40224</v>
      </c>
    </row>
    <row r="4252" spans="1:21" ht="12" customHeight="1">
      <c r="A4252" s="4">
        <v>2868</v>
      </c>
      <c r="B4252" s="4">
        <v>20704</v>
      </c>
      <c r="C4252" s="5">
        <f t="shared" si="1772"/>
        <v>40219</v>
      </c>
      <c r="D4252" s="4" t="s">
        <v>21</v>
      </c>
      <c r="E4252" s="4">
        <v>38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19.989999999999998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0.57999999999999996</v>
      </c>
      <c r="U4252" s="5">
        <f t="shared" si="1773"/>
        <v>40224</v>
      </c>
    </row>
    <row r="4253" spans="1:21" ht="12" customHeight="1">
      <c r="A4253" s="4">
        <v>2972</v>
      </c>
      <c r="B4253" s="4">
        <v>21477</v>
      </c>
      <c r="C4253" s="5">
        <f t="shared" ref="C4253:C4254" si="1774">DATE(2012,12,31)-590</f>
        <v>40684</v>
      </c>
      <c r="D4253" s="4" t="s">
        <v>21</v>
      </c>
      <c r="E4253" s="4">
        <v>7</v>
      </c>
      <c r="F4253" s="4">
        <v>189.73</v>
      </c>
      <c r="G4253" s="4">
        <v>0.01</v>
      </c>
      <c r="H4253" s="4" t="s">
        <v>22</v>
      </c>
      <c r="I4253" s="6">
        <v>43.171500000000002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spans="1:21" ht="12" customHeight="1">
      <c r="A4254" s="4">
        <v>2973</v>
      </c>
      <c r="B4254" s="4">
        <v>21477</v>
      </c>
      <c r="C4254" s="5">
        <f t="shared" si="1774"/>
        <v>40684</v>
      </c>
      <c r="D4254" s="4" t="s">
        <v>21</v>
      </c>
      <c r="E4254" s="4">
        <v>40</v>
      </c>
      <c r="F4254" s="4">
        <v>278.8</v>
      </c>
      <c r="G4254" s="4">
        <v>0.06</v>
      </c>
      <c r="H4254" s="4" t="s">
        <v>22</v>
      </c>
      <c r="I4254" s="6">
        <v>77.709999999999994</v>
      </c>
      <c r="J4254" s="4">
        <v>6.88</v>
      </c>
      <c r="K4254" s="4">
        <v>2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spans="1:21" ht="12" customHeight="1">
      <c r="A4255" s="4">
        <v>3616</v>
      </c>
      <c r="B4255" s="4">
        <v>25828</v>
      </c>
      <c r="C4255" s="5">
        <f t="shared" ref="C4255:C4256" si="1775">DATE(2012,12,31)-769</f>
        <v>40505</v>
      </c>
      <c r="D4255" s="4" t="s">
        <v>45</v>
      </c>
      <c r="E4255" s="4">
        <v>29</v>
      </c>
      <c r="F4255" s="4">
        <v>163.04</v>
      </c>
      <c r="G4255" s="4">
        <v>0.08</v>
      </c>
      <c r="H4255" s="4" t="s">
        <v>22</v>
      </c>
      <c r="I4255" s="6">
        <v>58</v>
      </c>
      <c r="J4255" s="4">
        <v>5.84</v>
      </c>
      <c r="K4255" s="4">
        <v>1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spans="1:21" ht="12" customHeight="1">
      <c r="A4256" s="4">
        <v>3617</v>
      </c>
      <c r="B4256" s="4">
        <v>25828</v>
      </c>
      <c r="C4256" s="5">
        <f t="shared" si="1775"/>
        <v>40505</v>
      </c>
      <c r="D4256" s="4" t="s">
        <v>45</v>
      </c>
      <c r="E4256" s="4">
        <v>31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286.85000000000002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spans="1:21" ht="12" customHeight="1">
      <c r="A4257" s="4">
        <v>3986</v>
      </c>
      <c r="B4257" s="4">
        <v>28455</v>
      </c>
      <c r="C4257" s="5">
        <f t="shared" ref="C4257:C4258" si="1776">DATE(2012,12,31)-946</f>
        <v>40328</v>
      </c>
      <c r="D4257" s="4" t="s">
        <v>63</v>
      </c>
      <c r="E4257" s="4">
        <v>12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spans="1:21" ht="12" customHeight="1">
      <c r="A4258" s="4">
        <v>3987</v>
      </c>
      <c r="B4258" s="4">
        <v>28455</v>
      </c>
      <c r="C4258" s="5">
        <f t="shared" si="1776"/>
        <v>40328</v>
      </c>
      <c r="D4258" s="4" t="s">
        <v>63</v>
      </c>
      <c r="E4258" s="4">
        <v>37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spans="1:21" ht="12" customHeight="1">
      <c r="A4259" s="4">
        <v>4069</v>
      </c>
      <c r="B4259" s="4">
        <v>28963</v>
      </c>
      <c r="C4259" s="5">
        <f>DATE(2012,12,31)-393</f>
        <v>40881</v>
      </c>
      <c r="D4259" s="4" t="s">
        <v>45</v>
      </c>
      <c r="E4259" s="4">
        <v>37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spans="1:21" ht="12" customHeight="1">
      <c r="A4260" s="4">
        <v>4100</v>
      </c>
      <c r="B4260" s="4">
        <v>29216</v>
      </c>
      <c r="C4260" s="5">
        <f t="shared" ref="C4260:C4261" si="1777">DATE(2012,12,31)-2</f>
        <v>41272</v>
      </c>
      <c r="D4260" s="4" t="s">
        <v>78</v>
      </c>
      <c r="E4260" s="4">
        <v>46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8">C4260+1</f>
        <v>41273</v>
      </c>
    </row>
    <row r="4261" spans="1:21" ht="12" customHeight="1">
      <c r="A4261" s="4">
        <v>4101</v>
      </c>
      <c r="B4261" s="4">
        <v>29216</v>
      </c>
      <c r="C4261" s="5">
        <f t="shared" si="1777"/>
        <v>41272</v>
      </c>
      <c r="D4261" s="4" t="s">
        <v>78</v>
      </c>
      <c r="E4261" s="4">
        <v>17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8"/>
        <v>41273</v>
      </c>
    </row>
    <row r="4262" spans="1:21" ht="12" customHeight="1">
      <c r="A4262" s="4">
        <v>4274</v>
      </c>
      <c r="B4262" s="4">
        <v>30405</v>
      </c>
      <c r="C4262" s="5">
        <f>DATE(2012,12,31)-247</f>
        <v>41027</v>
      </c>
      <c r="D4262" s="4" t="s">
        <v>21</v>
      </c>
      <c r="E4262" s="4">
        <v>7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spans="1:21" ht="12" customHeight="1">
      <c r="A4263" s="4">
        <v>4348</v>
      </c>
      <c r="B4263" s="4">
        <v>30976</v>
      </c>
      <c r="C4263" s="5">
        <f>DATE(2012,12,31)-68</f>
        <v>41206</v>
      </c>
      <c r="D4263" s="4" t="s">
        <v>30</v>
      </c>
      <c r="E4263" s="4">
        <v>10</v>
      </c>
      <c r="F4263" s="4">
        <v>403.88</v>
      </c>
      <c r="G4263" s="4">
        <v>7.0000000000000007E-2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spans="1:21" ht="12" customHeight="1">
      <c r="A4264" s="4">
        <v>4752</v>
      </c>
      <c r="B4264" s="4">
        <v>33793</v>
      </c>
      <c r="C4264" s="5">
        <f>DATE(2012,12,31)-187</f>
        <v>41087</v>
      </c>
      <c r="D4264" s="4" t="s">
        <v>78</v>
      </c>
      <c r="E4264" s="4">
        <v>17</v>
      </c>
      <c r="F4264" s="4">
        <v>267.58</v>
      </c>
      <c r="G4264" s="4">
        <v>0.03</v>
      </c>
      <c r="H4264" s="4" t="s">
        <v>22</v>
      </c>
      <c r="I4264" s="6">
        <v>-137.74700000000001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79">C4264+1</f>
        <v>41088</v>
      </c>
    </row>
    <row r="4265" spans="1:21" ht="12" customHeight="1">
      <c r="A4265" s="4">
        <v>4850</v>
      </c>
      <c r="B4265" s="4">
        <v>34499</v>
      </c>
      <c r="C4265" s="5">
        <f>DATE(2012,12,31)-897</f>
        <v>40377</v>
      </c>
      <c r="D4265" s="4" t="s">
        <v>63</v>
      </c>
      <c r="E4265" s="4">
        <v>2</v>
      </c>
      <c r="F4265" s="4">
        <v>555.67999999999995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0.56999999999999995</v>
      </c>
      <c r="U4265" s="5">
        <f t="shared" si="1779"/>
        <v>40378</v>
      </c>
    </row>
    <row r="4266" spans="1:21" ht="12" customHeight="1">
      <c r="A4266" s="4">
        <v>4920</v>
      </c>
      <c r="B4266" s="4">
        <v>35040</v>
      </c>
      <c r="C4266" s="5">
        <f>DATE(2012,12,31)-257</f>
        <v>41017</v>
      </c>
      <c r="D4266" s="4" t="s">
        <v>45</v>
      </c>
      <c r="E4266" s="4">
        <v>44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spans="1:21" ht="12" customHeight="1">
      <c r="A4267" s="4">
        <v>4951</v>
      </c>
      <c r="B4267" s="4">
        <v>35238</v>
      </c>
      <c r="C4267" s="5">
        <f>DATE(2012,12,31)-613</f>
        <v>40661</v>
      </c>
      <c r="D4267" s="4" t="s">
        <v>21</v>
      </c>
      <c r="E4267" s="4">
        <v>27</v>
      </c>
      <c r="F4267" s="4">
        <v>1403.0269999999998</v>
      </c>
      <c r="G4267" s="4">
        <v>0.1</v>
      </c>
      <c r="H4267" s="4" t="s">
        <v>56</v>
      </c>
      <c r="I4267" s="6">
        <v>153.80099999999999</v>
      </c>
      <c r="J4267" s="4">
        <v>65.989999999999995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0.56000000000000005</v>
      </c>
      <c r="U4267" s="5">
        <f>C4267+0</f>
        <v>40661</v>
      </c>
    </row>
    <row r="4268" spans="1:21" ht="12" customHeight="1">
      <c r="A4268" s="4">
        <v>4976</v>
      </c>
      <c r="B4268" s="4">
        <v>35399</v>
      </c>
      <c r="C4268" s="5">
        <f>DATE(2012,12,31)-710</f>
        <v>40564</v>
      </c>
      <c r="D4268" s="4" t="s">
        <v>21</v>
      </c>
      <c r="E4268" s="4">
        <v>38</v>
      </c>
      <c r="F4268" s="4">
        <v>188.38</v>
      </c>
      <c r="G4268" s="4">
        <v>0.04</v>
      </c>
      <c r="H4268" s="4" t="s">
        <v>22</v>
      </c>
      <c r="I4268" s="6">
        <v>-120.11750000000001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spans="1:21" ht="12" customHeight="1">
      <c r="A4269" s="4">
        <v>5039</v>
      </c>
      <c r="B4269" s="4">
        <v>35910</v>
      </c>
      <c r="C4269" s="5">
        <f t="shared" ref="C4269:C4271" si="1780">DATE(2012,12,31)-768</f>
        <v>40506</v>
      </c>
      <c r="D4269" s="4" t="s">
        <v>30</v>
      </c>
      <c r="E4269" s="4">
        <v>28</v>
      </c>
      <c r="F4269" s="4">
        <v>881.50099999999998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spans="1:21" ht="12" customHeight="1">
      <c r="A4270" s="4">
        <v>5040</v>
      </c>
      <c r="B4270" s="4">
        <v>35910</v>
      </c>
      <c r="C4270" s="5">
        <f t="shared" si="1780"/>
        <v>40506</v>
      </c>
      <c r="D4270" s="4" t="s">
        <v>30</v>
      </c>
      <c r="E4270" s="4">
        <v>25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1">C4270+2</f>
        <v>40508</v>
      </c>
    </row>
    <row r="4271" spans="1:21" ht="12" customHeight="1">
      <c r="A4271" s="4">
        <v>5041</v>
      </c>
      <c r="B4271" s="4">
        <v>35910</v>
      </c>
      <c r="C4271" s="5">
        <f t="shared" si="1780"/>
        <v>40506</v>
      </c>
      <c r="D4271" s="4" t="s">
        <v>30</v>
      </c>
      <c r="E4271" s="4">
        <v>36</v>
      </c>
      <c r="F4271" s="4">
        <v>660.05899999999997</v>
      </c>
      <c r="G4271" s="4">
        <v>0.05</v>
      </c>
      <c r="H4271" s="4" t="s">
        <v>22</v>
      </c>
      <c r="I4271" s="6">
        <v>-0.64900000000000002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1"/>
        <v>40508</v>
      </c>
    </row>
    <row r="4272" spans="1:21" ht="12" customHeight="1">
      <c r="A4272" s="4">
        <v>5363</v>
      </c>
      <c r="B4272" s="4">
        <v>38118</v>
      </c>
      <c r="C4272" s="5">
        <f>DATE(2012,12,31)-623</f>
        <v>40651</v>
      </c>
      <c r="D4272" s="4" t="s">
        <v>45</v>
      </c>
      <c r="E4272" s="4">
        <v>7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1"/>
        <v>40653</v>
      </c>
    </row>
    <row r="4273" spans="1:21" ht="12" customHeight="1">
      <c r="A4273" s="4">
        <v>6050</v>
      </c>
      <c r="B4273" s="4">
        <v>42886</v>
      </c>
      <c r="C4273" s="5">
        <f>DATE(2012,12,31)-358</f>
        <v>40916</v>
      </c>
      <c r="D4273" s="4" t="s">
        <v>63</v>
      </c>
      <c r="E4273" s="4">
        <v>42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1"/>
        <v>40918</v>
      </c>
    </row>
    <row r="4274" spans="1:21" ht="12" customHeight="1">
      <c r="A4274" s="4">
        <v>6203</v>
      </c>
      <c r="B4274" s="4">
        <v>43936</v>
      </c>
      <c r="C4274" s="5">
        <f>DATE(2012,12,31)-1024</f>
        <v>40250</v>
      </c>
      <c r="D4274" s="4" t="s">
        <v>78</v>
      </c>
      <c r="E4274" s="4">
        <v>42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0.55000000000000004</v>
      </c>
      <c r="U4274" s="5">
        <f>C4274+1</f>
        <v>40251</v>
      </c>
    </row>
    <row r="4275" spans="1:21" ht="12" customHeight="1">
      <c r="A4275" s="4">
        <v>6796</v>
      </c>
      <c r="B4275" s="4">
        <v>48448</v>
      </c>
      <c r="C4275" s="5">
        <f>DATE(2012,12,31)-45</f>
        <v>41229</v>
      </c>
      <c r="D4275" s="4" t="s">
        <v>21</v>
      </c>
      <c r="E4275" s="4">
        <v>20</v>
      </c>
      <c r="F4275" s="4">
        <v>340.952</v>
      </c>
      <c r="G4275" s="4">
        <v>0.09</v>
      </c>
      <c r="H4275" s="4" t="s">
        <v>22</v>
      </c>
      <c r="I4275" s="6">
        <v>108.93600000000001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spans="1:21" ht="12" customHeight="1">
      <c r="A4276" s="4">
        <v>6818</v>
      </c>
      <c r="B4276" s="4">
        <v>48544</v>
      </c>
      <c r="C4276" s="5">
        <f>DATE(2012,12,31)-595</f>
        <v>40679</v>
      </c>
      <c r="D4276" s="4" t="s">
        <v>30</v>
      </c>
      <c r="E4276" s="4">
        <v>44</v>
      </c>
      <c r="F4276" s="4">
        <v>831.58050000000003</v>
      </c>
      <c r="G4276" s="4">
        <v>0.01</v>
      </c>
      <c r="H4276" s="4" t="s">
        <v>22</v>
      </c>
      <c r="I4276" s="6">
        <v>273.05099999999999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0.56999999999999995</v>
      </c>
      <c r="U4276" s="5">
        <f t="shared" ref="U4276:U4278" si="1782">C4276+2</f>
        <v>40681</v>
      </c>
    </row>
    <row r="4277" spans="1:21" ht="12" customHeight="1">
      <c r="A4277" s="4">
        <v>6913</v>
      </c>
      <c r="B4277" s="4">
        <v>49319</v>
      </c>
      <c r="C4277" s="5">
        <f t="shared" ref="C4277:C4278" si="1783">DATE(2012,12,31)-494</f>
        <v>40780</v>
      </c>
      <c r="D4277" s="4" t="s">
        <v>21</v>
      </c>
      <c r="E4277" s="4">
        <v>13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2"/>
        <v>40782</v>
      </c>
    </row>
    <row r="4278" spans="1:21" ht="12" customHeight="1">
      <c r="A4278" s="4">
        <v>6914</v>
      </c>
      <c r="B4278" s="4">
        <v>49319</v>
      </c>
      <c r="C4278" s="5">
        <f t="shared" si="1783"/>
        <v>40780</v>
      </c>
      <c r="D4278" s="4" t="s">
        <v>21</v>
      </c>
      <c r="E4278" s="4">
        <v>40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2"/>
        <v>40782</v>
      </c>
    </row>
    <row r="4279" spans="1:21" ht="12" customHeight="1">
      <c r="A4279" s="4">
        <v>6950</v>
      </c>
      <c r="B4279" s="4">
        <v>49638</v>
      </c>
      <c r="C4279" s="5">
        <f>DATE(2012,12,31)-877</f>
        <v>40397</v>
      </c>
      <c r="D4279" s="4" t="s">
        <v>63</v>
      </c>
      <c r="E4279" s="4">
        <v>17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spans="1:21" ht="12" customHeight="1">
      <c r="A4280" s="4">
        <v>7016</v>
      </c>
      <c r="B4280" s="4">
        <v>50055</v>
      </c>
      <c r="C4280" s="5">
        <f t="shared" ref="C4280:C4281" si="1784">DATE(2012,12,31)-74</f>
        <v>41200</v>
      </c>
      <c r="D4280" s="4" t="s">
        <v>63</v>
      </c>
      <c r="E4280" s="4">
        <v>1</v>
      </c>
      <c r="F4280" s="4">
        <v>13.45</v>
      </c>
      <c r="G4280" s="4">
        <v>0</v>
      </c>
      <c r="H4280" s="4" t="s">
        <v>22</v>
      </c>
      <c r="I4280" s="6">
        <v>-8.1995000000000005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5">C4280+2</f>
        <v>41202</v>
      </c>
    </row>
    <row r="4281" spans="1:21" ht="12" customHeight="1">
      <c r="A4281" s="4">
        <v>7017</v>
      </c>
      <c r="B4281" s="4">
        <v>50055</v>
      </c>
      <c r="C4281" s="5">
        <f t="shared" si="1784"/>
        <v>41200</v>
      </c>
      <c r="D4281" s="4" t="s">
        <v>63</v>
      </c>
      <c r="E4281" s="4">
        <v>11</v>
      </c>
      <c r="F4281" s="4">
        <v>75.790000000000006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5"/>
        <v>41202</v>
      </c>
    </row>
    <row r="4282" spans="1:21" ht="12" customHeight="1">
      <c r="A4282" s="4">
        <v>7197</v>
      </c>
      <c r="B4282" s="4">
        <v>51360</v>
      </c>
      <c r="C4282" s="5">
        <f>DATE(2012,12,31)-560</f>
        <v>40714</v>
      </c>
      <c r="D4282" s="4" t="s">
        <v>63</v>
      </c>
      <c r="E4282" s="4">
        <v>12</v>
      </c>
      <c r="F4282" s="4">
        <v>46.55</v>
      </c>
      <c r="G4282" s="4">
        <v>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5"/>
        <v>40716</v>
      </c>
    </row>
    <row r="4283" spans="1:21" ht="12" customHeight="1">
      <c r="A4283" s="4">
        <v>7389</v>
      </c>
      <c r="B4283" s="4">
        <v>52672</v>
      </c>
      <c r="C4283" s="5">
        <f>DATE(2012,12,31)-723</f>
        <v>40551</v>
      </c>
      <c r="D4283" s="4" t="s">
        <v>21</v>
      </c>
      <c r="E4283" s="4">
        <v>29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65.989999999999995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0.56000000000000005</v>
      </c>
      <c r="U4283" s="5">
        <f>C4283+5</f>
        <v>40556</v>
      </c>
    </row>
    <row r="4284" spans="1:21" ht="12" customHeight="1">
      <c r="A4284" s="4">
        <v>7572</v>
      </c>
      <c r="B4284" s="4">
        <v>54176</v>
      </c>
      <c r="C4284" s="5">
        <f>DATE(2012,12,31)-553</f>
        <v>40721</v>
      </c>
      <c r="D4284" s="4" t="s">
        <v>45</v>
      </c>
      <c r="E4284" s="4">
        <v>33</v>
      </c>
      <c r="F4284" s="4">
        <v>2492.9699999999998</v>
      </c>
      <c r="G4284" s="4">
        <v>0.06</v>
      </c>
      <c r="H4284" s="4" t="s">
        <v>22</v>
      </c>
      <c r="I4284" s="6">
        <v>131.02000000000001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6">C4284+1</f>
        <v>40722</v>
      </c>
    </row>
    <row r="4285" spans="1:21" ht="12" customHeight="1">
      <c r="A4285" s="4">
        <v>7695</v>
      </c>
      <c r="B4285" s="4">
        <v>55171</v>
      </c>
      <c r="C4285" s="5">
        <f t="shared" ref="C4285:C4286" si="1787">DATE(2012,12,31)-66</f>
        <v>41208</v>
      </c>
      <c r="D4285" s="4" t="s">
        <v>30</v>
      </c>
      <c r="E4285" s="4">
        <v>29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6"/>
        <v>41209</v>
      </c>
    </row>
    <row r="4286" spans="1:21" ht="12" customHeight="1">
      <c r="A4286" s="4">
        <v>7696</v>
      </c>
      <c r="B4286" s="4">
        <v>55171</v>
      </c>
      <c r="C4286" s="5">
        <f t="shared" si="1787"/>
        <v>41208</v>
      </c>
      <c r="D4286" s="4" t="s">
        <v>30</v>
      </c>
      <c r="E4286" s="4">
        <v>43</v>
      </c>
      <c r="F4286" s="4">
        <v>260.60000000000002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spans="1:21" ht="12" customHeight="1">
      <c r="A4287" s="4">
        <v>7781</v>
      </c>
      <c r="B4287" s="4">
        <v>55683</v>
      </c>
      <c r="C4287" s="5">
        <f>DATE(2012,12,31)-169</f>
        <v>41105</v>
      </c>
      <c r="D4287" s="4" t="s">
        <v>30</v>
      </c>
      <c r="E4287" s="4">
        <v>50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spans="1:21" ht="12" customHeight="1">
      <c r="A4288" s="4">
        <v>8320</v>
      </c>
      <c r="B4288" s="4">
        <v>59456</v>
      </c>
      <c r="C4288" s="5">
        <f>DATE(2012,12,31)-358</f>
        <v>40916</v>
      </c>
      <c r="D4288" s="4" t="s">
        <v>21</v>
      </c>
      <c r="E4288" s="4">
        <v>30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4.4800000000000004</v>
      </c>
      <c r="K4288" s="4">
        <v>49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spans="1:21" ht="12" customHeight="1">
      <c r="A4289" s="4">
        <v>6</v>
      </c>
      <c r="B4289" s="4">
        <v>32</v>
      </c>
      <c r="C4289" s="5">
        <f>DATE(2012,12,31)-535</f>
        <v>40739</v>
      </c>
      <c r="D4289" s="4" t="s">
        <v>30</v>
      </c>
      <c r="E4289" s="4">
        <v>15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8.4600000000000009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spans="1:21" ht="12" customHeight="1">
      <c r="A4290" s="4">
        <v>56</v>
      </c>
      <c r="B4290" s="4">
        <v>324</v>
      </c>
      <c r="C4290" s="5">
        <f>DATE(2012,12,31)-287</f>
        <v>40987</v>
      </c>
      <c r="D4290" s="4" t="s">
        <v>78</v>
      </c>
      <c r="E4290" s="4">
        <v>25</v>
      </c>
      <c r="F4290" s="4">
        <v>3872.634</v>
      </c>
      <c r="G4290" s="4">
        <v>0.02</v>
      </c>
      <c r="H4290" s="4" t="s">
        <v>22</v>
      </c>
      <c r="I4290" s="6">
        <v>667.33199999999999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0.56999999999999995</v>
      </c>
      <c r="U4290" s="5">
        <f t="shared" ref="U4290:U4291" si="1788">C4290+2</f>
        <v>40989</v>
      </c>
    </row>
    <row r="4291" spans="1:21" ht="12" customHeight="1">
      <c r="A4291" s="4">
        <v>200</v>
      </c>
      <c r="B4291" s="4">
        <v>1317</v>
      </c>
      <c r="C4291" s="5">
        <f t="shared" ref="C4291:C4293" si="1789">DATE(2012,12,31)-593</f>
        <v>40681</v>
      </c>
      <c r="D4291" s="4" t="s">
        <v>30</v>
      </c>
      <c r="E4291" s="4">
        <v>44</v>
      </c>
      <c r="F4291" s="4">
        <v>523.41999999999996</v>
      </c>
      <c r="G4291" s="4">
        <v>0.06</v>
      </c>
      <c r="H4291" s="4" t="s">
        <v>22</v>
      </c>
      <c r="I4291" s="6">
        <v>39.423000000000002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8"/>
        <v>40683</v>
      </c>
    </row>
    <row r="4292" spans="1:21" ht="12" customHeight="1">
      <c r="A4292" s="4">
        <v>201</v>
      </c>
      <c r="B4292" s="4">
        <v>1317</v>
      </c>
      <c r="C4292" s="5">
        <f t="shared" si="1789"/>
        <v>40681</v>
      </c>
      <c r="D4292" s="4" t="s">
        <v>30</v>
      </c>
      <c r="E4292" s="4">
        <v>40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4.9800000000000004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spans="1:21" ht="12" customHeight="1">
      <c r="A4293" s="4">
        <v>202</v>
      </c>
      <c r="B4293" s="4">
        <v>1317</v>
      </c>
      <c r="C4293" s="5">
        <f t="shared" si="1789"/>
        <v>40681</v>
      </c>
      <c r="D4293" s="4" t="s">
        <v>30</v>
      </c>
      <c r="E4293" s="4">
        <v>29</v>
      </c>
      <c r="F4293" s="4">
        <v>156.69999999999999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spans="1:21" ht="12" customHeight="1">
      <c r="A4294" s="4">
        <v>239</v>
      </c>
      <c r="B4294" s="4">
        <v>1604</v>
      </c>
      <c r="C4294" s="5">
        <f>DATE(2012,12,31)-899</f>
        <v>40375</v>
      </c>
      <c r="D4294" s="4" t="s">
        <v>21</v>
      </c>
      <c r="E4294" s="4">
        <v>47</v>
      </c>
      <c r="F4294" s="4">
        <v>622.82000000000005</v>
      </c>
      <c r="G4294" s="4">
        <v>0</v>
      </c>
      <c r="H4294" s="4" t="s">
        <v>22</v>
      </c>
      <c r="I4294" s="6">
        <v>128.88</v>
      </c>
      <c r="J4294" s="4">
        <v>12.64</v>
      </c>
      <c r="K4294" s="4">
        <v>4.9800000000000004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spans="1:21" ht="12" customHeight="1">
      <c r="A4295" s="4">
        <v>407</v>
      </c>
      <c r="B4295" s="4">
        <v>2757</v>
      </c>
      <c r="C4295" s="5">
        <f>DATE(2012,12,31)-531</f>
        <v>40743</v>
      </c>
      <c r="D4295" s="4" t="s">
        <v>30</v>
      </c>
      <c r="E4295" s="4">
        <v>42</v>
      </c>
      <c r="F4295" s="4">
        <v>569.32000000000005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spans="1:21" ht="12" customHeight="1">
      <c r="A4296" s="4">
        <v>445</v>
      </c>
      <c r="B4296" s="4">
        <v>3012</v>
      </c>
      <c r="C4296" s="5">
        <f>DATE(2012,12,31)-972</f>
        <v>40302</v>
      </c>
      <c r="D4296" s="4" t="s">
        <v>78</v>
      </c>
      <c r="E4296" s="4">
        <v>41</v>
      </c>
      <c r="F4296" s="4">
        <v>120.03</v>
      </c>
      <c r="G4296" s="4">
        <v>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spans="1:21" ht="12" customHeight="1">
      <c r="A4297" s="4">
        <v>465</v>
      </c>
      <c r="B4297" s="4">
        <v>3169</v>
      </c>
      <c r="C4297" s="5">
        <f>DATE(2012,12,31)-742</f>
        <v>40532</v>
      </c>
      <c r="D4297" s="4" t="s">
        <v>63</v>
      </c>
      <c r="E4297" s="4">
        <v>7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0">C4297+1</f>
        <v>40533</v>
      </c>
    </row>
    <row r="4298" spans="1:21" ht="12" customHeight="1">
      <c r="A4298" s="4">
        <v>479</v>
      </c>
      <c r="B4298" s="4">
        <v>3331</v>
      </c>
      <c r="C4298" s="5">
        <f>DATE(2012,12,31)-956</f>
        <v>40318</v>
      </c>
      <c r="D4298" s="4" t="s">
        <v>30</v>
      </c>
      <c r="E4298" s="4">
        <v>31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0"/>
        <v>40319</v>
      </c>
    </row>
    <row r="4299" spans="1:21" ht="12" customHeight="1">
      <c r="A4299" s="4">
        <v>538</v>
      </c>
      <c r="B4299" s="4">
        <v>3650</v>
      </c>
      <c r="C4299" s="5">
        <f t="shared" ref="C4299:C4300" si="1791">DATE(2012,12,31)-218</f>
        <v>41056</v>
      </c>
      <c r="D4299" s="4" t="s">
        <v>45</v>
      </c>
      <c r="E4299" s="4">
        <v>36</v>
      </c>
      <c r="F4299" s="4">
        <v>139.94999999999999</v>
      </c>
      <c r="G4299" s="4">
        <v>0.04</v>
      </c>
      <c r="H4299" s="4" t="s">
        <v>56</v>
      </c>
      <c r="I4299" s="6">
        <v>-128.59299999999999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2">C4299+2</f>
        <v>41058</v>
      </c>
    </row>
    <row r="4300" spans="1:21" ht="12" customHeight="1">
      <c r="A4300" s="4">
        <v>539</v>
      </c>
      <c r="B4300" s="4">
        <v>3650</v>
      </c>
      <c r="C4300" s="5">
        <f t="shared" si="1791"/>
        <v>41056</v>
      </c>
      <c r="D4300" s="4" t="s">
        <v>45</v>
      </c>
      <c r="E4300" s="4">
        <v>24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2"/>
        <v>41058</v>
      </c>
    </row>
    <row r="4301" spans="1:21" ht="12" customHeight="1">
      <c r="A4301" s="4">
        <v>560</v>
      </c>
      <c r="B4301" s="4">
        <v>3783</v>
      </c>
      <c r="C4301" s="5">
        <f t="shared" ref="C4301:C4302" si="1793">DATE(2012,12,31)-757</f>
        <v>40517</v>
      </c>
      <c r="D4301" s="4" t="s">
        <v>45</v>
      </c>
      <c r="E4301" s="4">
        <v>11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8.1199999999999992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spans="1:21" ht="12" customHeight="1">
      <c r="A4302" s="4">
        <v>561</v>
      </c>
      <c r="B4302" s="4">
        <v>3783</v>
      </c>
      <c r="C4302" s="5">
        <f t="shared" si="1793"/>
        <v>40517</v>
      </c>
      <c r="D4302" s="4" t="s">
        <v>45</v>
      </c>
      <c r="E4302" s="4">
        <v>40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4">C4302+2</f>
        <v>40519</v>
      </c>
    </row>
    <row r="4303" spans="1:21" ht="12" customHeight="1">
      <c r="A4303" s="4">
        <v>668</v>
      </c>
      <c r="B4303" s="4">
        <v>4675</v>
      </c>
      <c r="C4303" s="5">
        <f>DATE(2012,12,31)-768</f>
        <v>40506</v>
      </c>
      <c r="D4303" s="4" t="s">
        <v>45</v>
      </c>
      <c r="E4303" s="4">
        <v>4</v>
      </c>
      <c r="F4303" s="4">
        <v>17.89</v>
      </c>
      <c r="G4303" s="4">
        <v>0</v>
      </c>
      <c r="H4303" s="4" t="s">
        <v>22</v>
      </c>
      <c r="I4303" s="6">
        <v>-1.1499999999999999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4"/>
        <v>40508</v>
      </c>
    </row>
    <row r="4304" spans="1:21" ht="12" customHeight="1">
      <c r="A4304" s="4">
        <v>725</v>
      </c>
      <c r="B4304" s="4">
        <v>5217</v>
      </c>
      <c r="C4304" s="5">
        <f t="shared" ref="C4304:C4305" si="1795">DATE(2012,12,31)-446</f>
        <v>40828</v>
      </c>
      <c r="D4304" s="4" t="s">
        <v>30</v>
      </c>
      <c r="E4304" s="4">
        <v>8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0.56999999999999995</v>
      </c>
      <c r="U4304" s="5">
        <f>C4304+0</f>
        <v>40828</v>
      </c>
    </row>
    <row r="4305" spans="1:21" ht="12" customHeight="1">
      <c r="A4305" s="4">
        <v>726</v>
      </c>
      <c r="B4305" s="4">
        <v>5217</v>
      </c>
      <c r="C4305" s="5">
        <f t="shared" si="1795"/>
        <v>40828</v>
      </c>
      <c r="D4305" s="4" t="s">
        <v>30</v>
      </c>
      <c r="E4305" s="4">
        <v>11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spans="1:21" ht="12" customHeight="1">
      <c r="A4306" s="4">
        <v>884</v>
      </c>
      <c r="B4306" s="4">
        <v>6339</v>
      </c>
      <c r="C4306" s="5">
        <f>DATE(2012,12,31)-20</f>
        <v>41254</v>
      </c>
      <c r="D4306" s="4" t="s">
        <v>78</v>
      </c>
      <c r="E4306" s="4">
        <v>20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0.56999999999999995</v>
      </c>
      <c r="U4306" s="5">
        <f t="shared" ref="U4306:U4307" si="1796">C4306+1</f>
        <v>41255</v>
      </c>
    </row>
    <row r="4307" spans="1:21" ht="12" customHeight="1">
      <c r="A4307" s="4">
        <v>942</v>
      </c>
      <c r="B4307" s="4">
        <v>6848</v>
      </c>
      <c r="C4307" s="5">
        <f>DATE(2012,12,31)-840</f>
        <v>40434</v>
      </c>
      <c r="D4307" s="4" t="s">
        <v>30</v>
      </c>
      <c r="E4307" s="4">
        <v>22</v>
      </c>
      <c r="F4307" s="4">
        <v>116.84</v>
      </c>
      <c r="G4307" s="4">
        <v>0.1</v>
      </c>
      <c r="H4307" s="4" t="s">
        <v>22</v>
      </c>
      <c r="I4307" s="6">
        <v>-125.44199999999999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6"/>
        <v>40435</v>
      </c>
    </row>
    <row r="4308" spans="1:21" ht="12" customHeight="1">
      <c r="A4308" s="4">
        <v>1082</v>
      </c>
      <c r="B4308" s="4">
        <v>7941</v>
      </c>
      <c r="C4308" s="5">
        <f>DATE(2012,12,31)-283</f>
        <v>40991</v>
      </c>
      <c r="D4308" s="4" t="s">
        <v>21</v>
      </c>
      <c r="E4308" s="4">
        <v>50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spans="1:21" ht="12" customHeight="1">
      <c r="A4309" s="4">
        <v>1093</v>
      </c>
      <c r="B4309" s="4">
        <v>8034</v>
      </c>
      <c r="C4309" s="5">
        <f t="shared" ref="C4309:C4311" si="1797">DATE(2012,12,31)-347</f>
        <v>40927</v>
      </c>
      <c r="D4309" s="4" t="s">
        <v>30</v>
      </c>
      <c r="E4309" s="4">
        <v>31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0.57999999999999996</v>
      </c>
      <c r="U4309" s="5">
        <f>C4309+0</f>
        <v>40927</v>
      </c>
    </row>
    <row r="4310" spans="1:21" ht="12" customHeight="1">
      <c r="A4310" s="4">
        <v>1094</v>
      </c>
      <c r="B4310" s="4">
        <v>8034</v>
      </c>
      <c r="C4310" s="5">
        <f t="shared" si="1797"/>
        <v>40927</v>
      </c>
      <c r="D4310" s="4" t="s">
        <v>30</v>
      </c>
      <c r="E4310" s="4">
        <v>13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16.989999999999998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0.56000000000000005</v>
      </c>
      <c r="U4310" s="5">
        <f>C4310+1</f>
        <v>40928</v>
      </c>
    </row>
    <row r="4311" spans="1:21" ht="12" customHeight="1">
      <c r="A4311" s="4">
        <v>1095</v>
      </c>
      <c r="B4311" s="4">
        <v>8034</v>
      </c>
      <c r="C4311" s="5">
        <f t="shared" si="1797"/>
        <v>40927</v>
      </c>
      <c r="D4311" s="4" t="s">
        <v>30</v>
      </c>
      <c r="E4311" s="4">
        <v>36</v>
      </c>
      <c r="F4311" s="4">
        <v>1606.4</v>
      </c>
      <c r="G4311" s="4">
        <v>0.08</v>
      </c>
      <c r="H4311" s="4" t="s">
        <v>31</v>
      </c>
      <c r="I4311" s="6">
        <v>-1231.3499999999999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spans="1:21" ht="12" customHeight="1">
      <c r="A4312" s="4">
        <v>1110</v>
      </c>
      <c r="B4312" s="4">
        <v>8135</v>
      </c>
      <c r="C4312" s="5">
        <f>DATE(2012,12,31)-554</f>
        <v>40720</v>
      </c>
      <c r="D4312" s="4" t="s">
        <v>45</v>
      </c>
      <c r="E4312" s="4">
        <v>16</v>
      </c>
      <c r="F4312" s="4">
        <v>772.41200000000003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spans="1:21" ht="12" customHeight="1">
      <c r="A4313" s="4">
        <v>1290</v>
      </c>
      <c r="B4313" s="4">
        <v>9473</v>
      </c>
      <c r="C4313" s="5">
        <f t="shared" ref="C4313:C4315" si="1798">DATE(2012,12,31)-81</f>
        <v>41193</v>
      </c>
      <c r="D4313" s="4" t="s">
        <v>45</v>
      </c>
      <c r="E4313" s="4">
        <v>3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8.0399999999999991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spans="1:21" ht="12" customHeight="1">
      <c r="A4314" s="4">
        <v>1291</v>
      </c>
      <c r="B4314" s="4">
        <v>9473</v>
      </c>
      <c r="C4314" s="5">
        <f t="shared" si="1798"/>
        <v>41193</v>
      </c>
      <c r="D4314" s="4" t="s">
        <v>45</v>
      </c>
      <c r="E4314" s="4">
        <v>34</v>
      </c>
      <c r="F4314" s="4">
        <v>563.82000000000005</v>
      </c>
      <c r="G4314" s="4">
        <v>0.03</v>
      </c>
      <c r="H4314" s="4" t="s">
        <v>22</v>
      </c>
      <c r="I4314" s="6">
        <v>188.22399999999999</v>
      </c>
      <c r="J4314" s="4">
        <v>16.510000000000002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spans="1:21" ht="12" customHeight="1">
      <c r="A4315" s="4">
        <v>1292</v>
      </c>
      <c r="B4315" s="4">
        <v>9473</v>
      </c>
      <c r="C4315" s="5">
        <f t="shared" si="1798"/>
        <v>41193</v>
      </c>
      <c r="D4315" s="4" t="s">
        <v>45</v>
      </c>
      <c r="E4315" s="4">
        <v>31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spans="1:21" ht="12" customHeight="1">
      <c r="A4316" s="4">
        <v>1404</v>
      </c>
      <c r="B4316" s="4">
        <v>10210</v>
      </c>
      <c r="C4316" s="5">
        <f>DATE(2012,12,31)-557</f>
        <v>40717</v>
      </c>
      <c r="D4316" s="4" t="s">
        <v>45</v>
      </c>
      <c r="E4316" s="4">
        <v>10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spans="1:21" ht="12" customHeight="1">
      <c r="A4317" s="4">
        <v>1421</v>
      </c>
      <c r="B4317" s="4">
        <v>10308</v>
      </c>
      <c r="C4317" s="5">
        <f>DATE(2012,12,31)-621</f>
        <v>40653</v>
      </c>
      <c r="D4317" s="4" t="s">
        <v>30</v>
      </c>
      <c r="E4317" s="4">
        <v>40</v>
      </c>
      <c r="F4317" s="4">
        <v>5554.0360000000001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0.56999999999999995</v>
      </c>
      <c r="U4317" s="5">
        <f>C4317+2</f>
        <v>40655</v>
      </c>
    </row>
    <row r="4318" spans="1:21" ht="12" customHeight="1">
      <c r="A4318" s="4">
        <v>1516</v>
      </c>
      <c r="B4318" s="4">
        <v>10951</v>
      </c>
      <c r="C4318" s="5">
        <f>DATE(2012,12,31)-55</f>
        <v>41219</v>
      </c>
      <c r="D4318" s="4" t="s">
        <v>45</v>
      </c>
      <c r="E4318" s="4">
        <v>14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0.55000000000000004</v>
      </c>
      <c r="U4318" s="5">
        <f>C4318+0</f>
        <v>41219</v>
      </c>
    </row>
    <row r="4319" spans="1:21" ht="12" customHeight="1">
      <c r="A4319" s="4">
        <v>1687</v>
      </c>
      <c r="B4319" s="4">
        <v>12194</v>
      </c>
      <c r="C4319" s="5">
        <f>DATE(2012,12,31)-671</f>
        <v>40603</v>
      </c>
      <c r="D4319" s="4" t="s">
        <v>78</v>
      </c>
      <c r="E4319" s="4">
        <v>19</v>
      </c>
      <c r="F4319" s="4">
        <v>3355.1539999999995</v>
      </c>
      <c r="G4319" s="4">
        <v>0</v>
      </c>
      <c r="H4319" s="4" t="s">
        <v>22</v>
      </c>
      <c r="I4319" s="6">
        <v>658.50299999999993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0.57999999999999996</v>
      </c>
      <c r="U4319" s="5">
        <f t="shared" ref="U4319:U4323" si="1799">C4319+1</f>
        <v>40604</v>
      </c>
    </row>
    <row r="4320" spans="1:21" ht="12" customHeight="1">
      <c r="A4320" s="4">
        <v>1954</v>
      </c>
      <c r="B4320" s="4">
        <v>13988</v>
      </c>
      <c r="C4320" s="5">
        <f t="shared" ref="C4320:C4322" si="1800">DATE(2012,12,31)-152</f>
        <v>41122</v>
      </c>
      <c r="D4320" s="4" t="s">
        <v>45</v>
      </c>
      <c r="E4320" s="4">
        <v>34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799"/>
        <v>41123</v>
      </c>
    </row>
    <row r="4321" spans="1:21" ht="12" customHeight="1">
      <c r="A4321" s="4">
        <v>1955</v>
      </c>
      <c r="B4321" s="4">
        <v>13988</v>
      </c>
      <c r="C4321" s="5">
        <f t="shared" si="1800"/>
        <v>41122</v>
      </c>
      <c r="D4321" s="4" t="s">
        <v>45</v>
      </c>
      <c r="E4321" s="4">
        <v>39</v>
      </c>
      <c r="F4321" s="4">
        <v>626.96</v>
      </c>
      <c r="G4321" s="4">
        <v>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0.56999999999999995</v>
      </c>
      <c r="U4321" s="5">
        <f t="shared" si="1799"/>
        <v>41123</v>
      </c>
    </row>
    <row r="4322" spans="1:21" ht="12" customHeight="1">
      <c r="A4322" s="4">
        <v>1956</v>
      </c>
      <c r="B4322" s="4">
        <v>13988</v>
      </c>
      <c r="C4322" s="5">
        <f t="shared" si="1800"/>
        <v>41122</v>
      </c>
      <c r="D4322" s="4" t="s">
        <v>45</v>
      </c>
      <c r="E4322" s="4">
        <v>18</v>
      </c>
      <c r="F4322" s="4">
        <v>236.31</v>
      </c>
      <c r="G4322" s="4">
        <v>0.04</v>
      </c>
      <c r="H4322" s="4" t="s">
        <v>56</v>
      </c>
      <c r="I4322" s="6">
        <v>-2.2400000000000002</v>
      </c>
      <c r="J4322" s="4">
        <v>11.97</v>
      </c>
      <c r="K4322" s="4">
        <v>4.9800000000000004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0.57999999999999996</v>
      </c>
      <c r="U4322" s="5">
        <f t="shared" si="1799"/>
        <v>41123</v>
      </c>
    </row>
    <row r="4323" spans="1:21" ht="12" customHeight="1">
      <c r="A4323" s="4">
        <v>1996</v>
      </c>
      <c r="B4323" s="4">
        <v>14241</v>
      </c>
      <c r="C4323" s="5">
        <f>DATE(2012,12,31)-200</f>
        <v>41074</v>
      </c>
      <c r="D4323" s="4" t="s">
        <v>78</v>
      </c>
      <c r="E4323" s="4">
        <v>22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0.55000000000000004</v>
      </c>
      <c r="U4323" s="5">
        <f t="shared" si="1799"/>
        <v>41075</v>
      </c>
    </row>
    <row r="4324" spans="1:21" ht="12" customHeight="1">
      <c r="A4324" s="4">
        <v>1997</v>
      </c>
      <c r="B4324" s="4">
        <v>14242</v>
      </c>
      <c r="C4324" s="5">
        <f>DATE(2012,12,31)-603</f>
        <v>40671</v>
      </c>
      <c r="D4324" s="4" t="s">
        <v>30</v>
      </c>
      <c r="E4324" s="4">
        <v>35</v>
      </c>
      <c r="F4324" s="4">
        <v>1078.58</v>
      </c>
      <c r="G4324" s="4">
        <v>0.03</v>
      </c>
      <c r="H4324" s="4" t="s">
        <v>22</v>
      </c>
      <c r="I4324" s="6">
        <v>8.9999999999999751</v>
      </c>
      <c r="J4324" s="4">
        <v>30.73</v>
      </c>
      <c r="K4324" s="4">
        <v>4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1">C4324+2</f>
        <v>40673</v>
      </c>
    </row>
    <row r="4325" spans="1:21" ht="12" customHeight="1">
      <c r="A4325" s="4">
        <v>2089</v>
      </c>
      <c r="B4325" s="4">
        <v>14951</v>
      </c>
      <c r="C4325" s="5">
        <f t="shared" ref="C4325:C4326" si="1802">DATE(2012,12,31)-594</f>
        <v>40680</v>
      </c>
      <c r="D4325" s="4" t="s">
        <v>63</v>
      </c>
      <c r="E4325" s="4">
        <v>34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1"/>
        <v>40682</v>
      </c>
    </row>
    <row r="4326" spans="1:21" ht="12" customHeight="1">
      <c r="A4326" s="4">
        <v>2090</v>
      </c>
      <c r="B4326" s="4">
        <v>14951</v>
      </c>
      <c r="C4326" s="5">
        <f t="shared" si="1802"/>
        <v>40680</v>
      </c>
      <c r="D4326" s="4" t="s">
        <v>63</v>
      </c>
      <c r="E4326" s="4">
        <v>26</v>
      </c>
      <c r="F4326" s="4">
        <v>65.209999999999994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0.57999999999999996</v>
      </c>
      <c r="U4326" s="5">
        <f>C4326+0</f>
        <v>40680</v>
      </c>
    </row>
    <row r="4327" spans="1:21" ht="12" customHeight="1">
      <c r="A4327" s="4">
        <v>2160</v>
      </c>
      <c r="B4327" s="4">
        <v>15524</v>
      </c>
      <c r="C4327" s="5">
        <f>DATE(2012,12,31)-234</f>
        <v>41040</v>
      </c>
      <c r="D4327" s="4" t="s">
        <v>63</v>
      </c>
      <c r="E4327" s="4">
        <v>27</v>
      </c>
      <c r="F4327" s="4">
        <v>156.82</v>
      </c>
      <c r="G4327" s="4">
        <v>0.03</v>
      </c>
      <c r="H4327" s="4" t="s">
        <v>22</v>
      </c>
      <c r="I4327" s="6">
        <v>-37.619999999999997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0.56000000000000005</v>
      </c>
      <c r="U4327" s="5">
        <f>C4327+1</f>
        <v>41041</v>
      </c>
    </row>
    <row r="4328" spans="1:21" ht="12" customHeight="1">
      <c r="A4328" s="4">
        <v>2180</v>
      </c>
      <c r="B4328" s="4">
        <v>15714</v>
      </c>
      <c r="C4328" s="5">
        <f>DATE(2012,12,31)-545</f>
        <v>40729</v>
      </c>
      <c r="D4328" s="4" t="s">
        <v>30</v>
      </c>
      <c r="E4328" s="4">
        <v>50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19.989999999999998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0.56999999999999995</v>
      </c>
      <c r="U4328" s="5">
        <f>C4328+2</f>
        <v>40731</v>
      </c>
    </row>
    <row r="4329" spans="1:21" ht="12" customHeight="1">
      <c r="A4329" s="4">
        <v>2398</v>
      </c>
      <c r="B4329" s="4">
        <v>17381</v>
      </c>
      <c r="C4329" s="5">
        <f>DATE(2012,12,31)-870</f>
        <v>40404</v>
      </c>
      <c r="D4329" s="4" t="s">
        <v>30</v>
      </c>
      <c r="E4329" s="4">
        <v>28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3">C4329+1</f>
        <v>40405</v>
      </c>
    </row>
    <row r="4330" spans="1:21" ht="12" customHeight="1">
      <c r="A4330" s="4">
        <v>2460</v>
      </c>
      <c r="B4330" s="4">
        <v>17862</v>
      </c>
      <c r="C4330" s="5">
        <f t="shared" ref="C4330:C4331" si="1804">DATE(2012,12,31)-238</f>
        <v>41036</v>
      </c>
      <c r="D4330" s="4" t="s">
        <v>45</v>
      </c>
      <c r="E4330" s="4">
        <v>1</v>
      </c>
      <c r="F4330" s="4">
        <v>28.73</v>
      </c>
      <c r="G4330" s="4">
        <v>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3"/>
        <v>41037</v>
      </c>
    </row>
    <row r="4331" spans="1:21" ht="12" customHeight="1">
      <c r="A4331" s="4">
        <v>2461</v>
      </c>
      <c r="B4331" s="4">
        <v>17862</v>
      </c>
      <c r="C4331" s="5">
        <f t="shared" si="1804"/>
        <v>41036</v>
      </c>
      <c r="D4331" s="4" t="s">
        <v>45</v>
      </c>
      <c r="E4331" s="4">
        <v>31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0.56999999999999995</v>
      </c>
      <c r="U4331" s="5">
        <f t="shared" ref="U4331:U4332" si="1805">C4331+2</f>
        <v>41038</v>
      </c>
    </row>
    <row r="4332" spans="1:21" ht="12" customHeight="1">
      <c r="A4332" s="4">
        <v>2477</v>
      </c>
      <c r="B4332" s="4">
        <v>17988</v>
      </c>
      <c r="C4332" s="5">
        <f>DATE(2012,12,31)-831</f>
        <v>40443</v>
      </c>
      <c r="D4332" s="4" t="s">
        <v>21</v>
      </c>
      <c r="E4332" s="4">
        <v>46</v>
      </c>
      <c r="F4332" s="4">
        <v>2660.6105000000002</v>
      </c>
      <c r="G4332" s="4">
        <v>0.03</v>
      </c>
      <c r="H4332" s="4" t="s">
        <v>22</v>
      </c>
      <c r="I4332" s="6">
        <v>618.06600000000003</v>
      </c>
      <c r="J4332" s="4">
        <v>65.989999999999995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0.56000000000000005</v>
      </c>
      <c r="U4332" s="5">
        <f t="shared" si="1805"/>
        <v>40445</v>
      </c>
    </row>
    <row r="4333" spans="1:21" ht="12" customHeight="1">
      <c r="A4333" s="4">
        <v>2518</v>
      </c>
      <c r="B4333" s="4">
        <v>18307</v>
      </c>
      <c r="C4333" s="5">
        <f t="shared" ref="C4333:C4334" si="1806">DATE(2012,12,31)-1063</f>
        <v>40211</v>
      </c>
      <c r="D4333" s="4" t="s">
        <v>21</v>
      </c>
      <c r="E4333" s="4">
        <v>23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spans="1:21" ht="12" customHeight="1">
      <c r="A4334" s="4">
        <v>2519</v>
      </c>
      <c r="B4334" s="4">
        <v>18307</v>
      </c>
      <c r="C4334" s="5">
        <f t="shared" si="1806"/>
        <v>40211</v>
      </c>
      <c r="D4334" s="4" t="s">
        <v>21</v>
      </c>
      <c r="E4334" s="4">
        <v>34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spans="1:21" ht="12" customHeight="1">
      <c r="A4335" s="4">
        <v>2530</v>
      </c>
      <c r="B4335" s="4">
        <v>18370</v>
      </c>
      <c r="C4335" s="5">
        <f>DATE(2012,12,31)-718</f>
        <v>40556</v>
      </c>
      <c r="D4335" s="4" t="s">
        <v>21</v>
      </c>
      <c r="E4335" s="4">
        <v>41</v>
      </c>
      <c r="F4335" s="4">
        <v>1271.0474999999999</v>
      </c>
      <c r="G4335" s="4">
        <v>0</v>
      </c>
      <c r="H4335" s="4" t="s">
        <v>22</v>
      </c>
      <c r="I4335" s="6">
        <v>-158.23500000000001</v>
      </c>
      <c r="J4335" s="4">
        <v>35.99</v>
      </c>
      <c r="K4335" s="4">
        <v>5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spans="1:21" ht="12" customHeight="1">
      <c r="A4336" s="4">
        <v>2720</v>
      </c>
      <c r="B4336" s="4">
        <v>19649</v>
      </c>
      <c r="C4336" s="5">
        <f t="shared" ref="C4336:C4337" si="1807">DATE(2012,12,31)-607</f>
        <v>40667</v>
      </c>
      <c r="D4336" s="4" t="s">
        <v>30</v>
      </c>
      <c r="E4336" s="4">
        <v>25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spans="1:21" ht="12" customHeight="1">
      <c r="A4337" s="4">
        <v>2721</v>
      </c>
      <c r="B4337" s="4">
        <v>19649</v>
      </c>
      <c r="C4337" s="5">
        <f t="shared" si="1807"/>
        <v>40667</v>
      </c>
      <c r="D4337" s="4" t="s">
        <v>30</v>
      </c>
      <c r="E4337" s="4">
        <v>36</v>
      </c>
      <c r="F4337" s="4">
        <v>1095.1099999999999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8">C4337+1</f>
        <v>40668</v>
      </c>
    </row>
    <row r="4338" spans="1:21" ht="12" customHeight="1">
      <c r="A4338" s="4">
        <v>2738</v>
      </c>
      <c r="B4338" s="4">
        <v>19748</v>
      </c>
      <c r="C4338" s="5">
        <f>DATE(2012,12,31)-880</f>
        <v>40394</v>
      </c>
      <c r="D4338" s="4" t="s">
        <v>45</v>
      </c>
      <c r="E4338" s="4">
        <v>6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8"/>
        <v>40395</v>
      </c>
    </row>
    <row r="4339" spans="1:21" ht="12" customHeight="1">
      <c r="A4339" s="4">
        <v>2762</v>
      </c>
      <c r="B4339" s="4">
        <v>19974</v>
      </c>
      <c r="C4339" s="5">
        <f t="shared" ref="C4339:C4340" si="1809">DATE(2012,12,31)-789</f>
        <v>40485</v>
      </c>
      <c r="D4339" s="4" t="s">
        <v>30</v>
      </c>
      <c r="E4339" s="4">
        <v>14</v>
      </c>
      <c r="F4339" s="4">
        <v>3830.84</v>
      </c>
      <c r="G4339" s="4">
        <v>0.1</v>
      </c>
      <c r="H4339" s="4" t="s">
        <v>31</v>
      </c>
      <c r="I4339" s="6">
        <v>635.33000000000004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0">C4339+2</f>
        <v>40487</v>
      </c>
    </row>
    <row r="4340" spans="1:21" ht="12" customHeight="1">
      <c r="A4340" s="4">
        <v>2763</v>
      </c>
      <c r="B4340" s="4">
        <v>19974</v>
      </c>
      <c r="C4340" s="5">
        <f t="shared" si="1809"/>
        <v>40485</v>
      </c>
      <c r="D4340" s="4" t="s">
        <v>30</v>
      </c>
      <c r="E4340" s="4">
        <v>22</v>
      </c>
      <c r="F4340" s="4">
        <v>267.43</v>
      </c>
      <c r="G4340" s="4">
        <v>7.0000000000000007E-2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0.56999999999999995</v>
      </c>
      <c r="U4340" s="5">
        <f t="shared" si="1810"/>
        <v>40487</v>
      </c>
    </row>
    <row r="4341" spans="1:21" ht="12" customHeight="1">
      <c r="A4341" s="4">
        <v>2769</v>
      </c>
      <c r="B4341" s="4">
        <v>20032</v>
      </c>
      <c r="C4341" s="5">
        <f>DATE(2012,12,31)-56</f>
        <v>41218</v>
      </c>
      <c r="D4341" s="4" t="s">
        <v>63</v>
      </c>
      <c r="E4341" s="4">
        <v>8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0"/>
        <v>41220</v>
      </c>
    </row>
    <row r="4342" spans="1:21" ht="12" customHeight="1">
      <c r="A4342" s="4">
        <v>3164</v>
      </c>
      <c r="B4342" s="4">
        <v>22727</v>
      </c>
      <c r="C4342" s="5">
        <f>DATE(2012,12,31)-547</f>
        <v>40727</v>
      </c>
      <c r="D4342" s="4" t="s">
        <v>45</v>
      </c>
      <c r="E4342" s="4">
        <v>45</v>
      </c>
      <c r="F4342" s="4">
        <v>296.82</v>
      </c>
      <c r="G4342" s="4">
        <v>7.0000000000000007E-2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spans="1:21" ht="12" customHeight="1">
      <c r="A4343" s="4">
        <v>3224</v>
      </c>
      <c r="B4343" s="4">
        <v>23140</v>
      </c>
      <c r="C4343" s="5">
        <f t="shared" ref="C4343:C4344" si="1811">DATE(2012,12,31)-327</f>
        <v>40947</v>
      </c>
      <c r="D4343" s="4" t="s">
        <v>30</v>
      </c>
      <c r="E4343" s="4">
        <v>18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spans="1:21" ht="12" customHeight="1">
      <c r="A4344" s="4">
        <v>3225</v>
      </c>
      <c r="B4344" s="4">
        <v>23140</v>
      </c>
      <c r="C4344" s="5">
        <f t="shared" si="1811"/>
        <v>40947</v>
      </c>
      <c r="D4344" s="4" t="s">
        <v>30</v>
      </c>
      <c r="E4344" s="4">
        <v>16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spans="1:21" ht="12" customHeight="1">
      <c r="A4345" s="4">
        <v>3302</v>
      </c>
      <c r="B4345" s="4">
        <v>23586</v>
      </c>
      <c r="C4345" s="5">
        <f>DATE(2012,12,31)-1082</f>
        <v>40192</v>
      </c>
      <c r="D4345" s="4" t="s">
        <v>63</v>
      </c>
      <c r="E4345" s="4">
        <v>32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spans="1:21" ht="12" customHeight="1">
      <c r="A4346" s="4">
        <v>3309</v>
      </c>
      <c r="B4346" s="4">
        <v>23648</v>
      </c>
      <c r="C4346" s="5">
        <f t="shared" ref="C4346:C4347" si="1812">DATE(2012,12,31)-98</f>
        <v>41176</v>
      </c>
      <c r="D4346" s="4" t="s">
        <v>78</v>
      </c>
      <c r="E4346" s="4">
        <v>44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152.47999999999999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3">C4346+1</f>
        <v>41177</v>
      </c>
    </row>
    <row r="4347" spans="1:21" ht="12" customHeight="1">
      <c r="A4347" s="4">
        <v>3310</v>
      </c>
      <c r="B4347" s="4">
        <v>23648</v>
      </c>
      <c r="C4347" s="5">
        <f t="shared" si="1812"/>
        <v>41176</v>
      </c>
      <c r="D4347" s="4" t="s">
        <v>78</v>
      </c>
      <c r="E4347" s="4">
        <v>4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3"/>
        <v>41177</v>
      </c>
    </row>
    <row r="4348" spans="1:21" ht="12" customHeight="1">
      <c r="A4348" s="4">
        <v>3497</v>
      </c>
      <c r="B4348" s="4">
        <v>24931</v>
      </c>
      <c r="C4348" s="5">
        <f>DATE(2012,12,31)-420</f>
        <v>40854</v>
      </c>
      <c r="D4348" s="4" t="s">
        <v>21</v>
      </c>
      <c r="E4348" s="4">
        <v>9</v>
      </c>
      <c r="F4348" s="4">
        <v>149.63999999999999</v>
      </c>
      <c r="G4348" s="4">
        <v>0.05</v>
      </c>
      <c r="H4348" s="4" t="s">
        <v>22</v>
      </c>
      <c r="I4348" s="6">
        <v>13.77</v>
      </c>
      <c r="J4348" s="4">
        <v>16.739999999999998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spans="1:21" ht="12" customHeight="1">
      <c r="A4349" s="4">
        <v>3566</v>
      </c>
      <c r="B4349" s="4">
        <v>25443</v>
      </c>
      <c r="C4349" s="5">
        <f>DATE(2012,12,31)-100</f>
        <v>41174</v>
      </c>
      <c r="D4349" s="4" t="s">
        <v>63</v>
      </c>
      <c r="E4349" s="4">
        <v>33</v>
      </c>
      <c r="F4349" s="4">
        <v>570.24</v>
      </c>
      <c r="G4349" s="4">
        <v>0.01</v>
      </c>
      <c r="H4349" s="4" t="s">
        <v>22</v>
      </c>
      <c r="I4349" s="6">
        <v>-57.828899999999997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spans="1:21" ht="12" customHeight="1">
      <c r="A4350" s="4">
        <v>3650</v>
      </c>
      <c r="B4350" s="4">
        <v>26144</v>
      </c>
      <c r="C4350" s="5">
        <f>DATE(2012,12,31)-432</f>
        <v>40842</v>
      </c>
      <c r="D4350" s="4" t="s">
        <v>30</v>
      </c>
      <c r="E4350" s="4">
        <v>28</v>
      </c>
      <c r="F4350" s="4">
        <v>75.739999999999995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4">C4350+1</f>
        <v>40843</v>
      </c>
    </row>
    <row r="4351" spans="1:21" ht="12" customHeight="1">
      <c r="A4351" s="4">
        <v>3702</v>
      </c>
      <c r="B4351" s="4">
        <v>26439</v>
      </c>
      <c r="C4351" s="5">
        <f t="shared" ref="C4351:C4353" si="1815">DATE(2012,12,31)-473</f>
        <v>40801</v>
      </c>
      <c r="D4351" s="4" t="s">
        <v>63</v>
      </c>
      <c r="E4351" s="4">
        <v>38</v>
      </c>
      <c r="F4351" s="4">
        <v>1230.83</v>
      </c>
      <c r="G4351" s="4">
        <v>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4"/>
        <v>40802</v>
      </c>
    </row>
    <row r="4352" spans="1:21" ht="12" customHeight="1">
      <c r="A4352" s="4">
        <v>3703</v>
      </c>
      <c r="B4352" s="4">
        <v>26439</v>
      </c>
      <c r="C4352" s="5">
        <f t="shared" si="1815"/>
        <v>40801</v>
      </c>
      <c r="D4352" s="4" t="s">
        <v>63</v>
      </c>
      <c r="E4352" s="4">
        <v>37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spans="1:21" ht="12" customHeight="1">
      <c r="A4353" s="4">
        <v>3704</v>
      </c>
      <c r="B4353" s="4">
        <v>26439</v>
      </c>
      <c r="C4353" s="5">
        <f t="shared" si="1815"/>
        <v>40801</v>
      </c>
      <c r="D4353" s="4" t="s">
        <v>63</v>
      </c>
      <c r="E4353" s="4">
        <v>23</v>
      </c>
      <c r="F4353" s="4">
        <v>1176.944</v>
      </c>
      <c r="G4353" s="4">
        <v>0.1</v>
      </c>
      <c r="H4353" s="4" t="s">
        <v>22</v>
      </c>
      <c r="I4353" s="6">
        <v>53.649000000000001</v>
      </c>
      <c r="J4353" s="4">
        <v>65.989999999999995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0.57999999999999996</v>
      </c>
      <c r="U4353" s="5">
        <f>C4353+2</f>
        <v>40803</v>
      </c>
    </row>
    <row r="4354" spans="1:21" ht="12" customHeight="1">
      <c r="A4354" s="4">
        <v>3967</v>
      </c>
      <c r="B4354" s="4">
        <v>28294</v>
      </c>
      <c r="C4354" s="5">
        <f>DATE(2012,12,31)-223</f>
        <v>41051</v>
      </c>
      <c r="D4354" s="4" t="s">
        <v>30</v>
      </c>
      <c r="E4354" s="4">
        <v>47</v>
      </c>
      <c r="F4354" s="4">
        <v>63.47</v>
      </c>
      <c r="G4354" s="4">
        <v>0</v>
      </c>
      <c r="H4354" s="4" t="s">
        <v>22</v>
      </c>
      <c r="I4354" s="6">
        <v>-19.920000000000002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spans="1:21" ht="12" customHeight="1">
      <c r="A4355" s="4">
        <v>3984</v>
      </c>
      <c r="B4355" s="4">
        <v>28453</v>
      </c>
      <c r="C4355" s="5">
        <f>DATE(2012,12,31)-3</f>
        <v>41271</v>
      </c>
      <c r="D4355" s="4" t="s">
        <v>78</v>
      </c>
      <c r="E4355" s="4">
        <v>26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spans="1:21" ht="12" customHeight="1">
      <c r="A4356" s="4">
        <v>3993</v>
      </c>
      <c r="B4356" s="4">
        <v>28512</v>
      </c>
      <c r="C4356" s="5">
        <f t="shared" ref="C4356:C4358" si="1816">DATE(2012,12,31)-979</f>
        <v>40295</v>
      </c>
      <c r="D4356" s="4" t="s">
        <v>63</v>
      </c>
      <c r="E4356" s="4">
        <v>11</v>
      </c>
      <c r="F4356" s="4">
        <v>323.91000000000003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spans="1:21" ht="12" customHeight="1">
      <c r="A4357" s="4">
        <v>3994</v>
      </c>
      <c r="B4357" s="4">
        <v>28512</v>
      </c>
      <c r="C4357" s="5">
        <f t="shared" si="1816"/>
        <v>40295</v>
      </c>
      <c r="D4357" s="4" t="s">
        <v>63</v>
      </c>
      <c r="E4357" s="4">
        <v>10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7">C4357+2</f>
        <v>40297</v>
      </c>
    </row>
    <row r="4358" spans="1:21" ht="12" customHeight="1">
      <c r="A4358" s="4">
        <v>3995</v>
      </c>
      <c r="B4358" s="4">
        <v>28512</v>
      </c>
      <c r="C4358" s="5">
        <f t="shared" si="1816"/>
        <v>40295</v>
      </c>
      <c r="D4358" s="4" t="s">
        <v>63</v>
      </c>
      <c r="E4358" s="4">
        <v>18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19.989999999999998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0.57999999999999996</v>
      </c>
      <c r="U4358" s="5">
        <f t="shared" si="1817"/>
        <v>40297</v>
      </c>
    </row>
    <row r="4359" spans="1:21" ht="12" customHeight="1">
      <c r="A4359" s="4">
        <v>4011</v>
      </c>
      <c r="B4359" s="4">
        <v>28641</v>
      </c>
      <c r="C4359" s="5">
        <f>DATE(2012,12,31)-446</f>
        <v>40828</v>
      </c>
      <c r="D4359" s="4" t="s">
        <v>45</v>
      </c>
      <c r="E4359" s="4">
        <v>33</v>
      </c>
      <c r="F4359" s="4">
        <v>278.64999999999998</v>
      </c>
      <c r="G4359" s="4">
        <v>0.05</v>
      </c>
      <c r="H4359" s="4" t="s">
        <v>56</v>
      </c>
      <c r="I4359" s="6">
        <v>-36.340000000000003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8">C4359+1</f>
        <v>40829</v>
      </c>
    </row>
    <row r="4360" spans="1:21" ht="12" customHeight="1">
      <c r="A4360" s="4">
        <v>4045</v>
      </c>
      <c r="B4360" s="4">
        <v>28867</v>
      </c>
      <c r="C4360" s="5">
        <f t="shared" ref="C4360:C4362" si="1819">DATE(2012,12,31)-528</f>
        <v>40746</v>
      </c>
      <c r="D4360" s="4" t="s">
        <v>63</v>
      </c>
      <c r="E4360" s="4">
        <v>43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8"/>
        <v>40747</v>
      </c>
    </row>
    <row r="4361" spans="1:21" ht="12" customHeight="1">
      <c r="A4361" s="4">
        <v>4046</v>
      </c>
      <c r="B4361" s="4">
        <v>28867</v>
      </c>
      <c r="C4361" s="5">
        <f t="shared" si="1819"/>
        <v>40746</v>
      </c>
      <c r="D4361" s="4" t="s">
        <v>63</v>
      </c>
      <c r="E4361" s="4">
        <v>6</v>
      </c>
      <c r="F4361" s="4">
        <v>642.41999999999996</v>
      </c>
      <c r="G4361" s="4">
        <v>0.03</v>
      </c>
      <c r="H4361" s="4" t="s">
        <v>22</v>
      </c>
      <c r="I4361" s="6">
        <v>80.010000000000005</v>
      </c>
      <c r="J4361" s="4">
        <v>104.85</v>
      </c>
      <c r="K4361" s="4">
        <v>19.989999999999998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8"/>
        <v>40747</v>
      </c>
    </row>
    <row r="4362" spans="1:21" ht="12" customHeight="1">
      <c r="A4362" s="4">
        <v>4047</v>
      </c>
      <c r="B4362" s="4">
        <v>28867</v>
      </c>
      <c r="C4362" s="5">
        <f t="shared" si="1819"/>
        <v>40746</v>
      </c>
      <c r="D4362" s="4" t="s">
        <v>63</v>
      </c>
      <c r="E4362" s="4">
        <v>26</v>
      </c>
      <c r="F4362" s="4">
        <v>2169.7525000000001</v>
      </c>
      <c r="G4362" s="4">
        <v>0.02</v>
      </c>
      <c r="H4362" s="4" t="s">
        <v>22</v>
      </c>
      <c r="I4362" s="6">
        <v>374.75099999999998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0.56999999999999995</v>
      </c>
      <c r="U4362" s="5">
        <f t="shared" ref="U4362:U4364" si="1820">C4362+2</f>
        <v>40748</v>
      </c>
    </row>
    <row r="4363" spans="1:21" ht="12" customHeight="1">
      <c r="A4363" s="4">
        <v>4055</v>
      </c>
      <c r="B4363" s="4">
        <v>28899</v>
      </c>
      <c r="C4363" s="5">
        <f>DATE(2012,12,31)-200</f>
        <v>41074</v>
      </c>
      <c r="D4363" s="4" t="s">
        <v>21</v>
      </c>
      <c r="E4363" s="4">
        <v>27</v>
      </c>
      <c r="F4363" s="4">
        <v>4488.2635</v>
      </c>
      <c r="G4363" s="4">
        <v>0.06</v>
      </c>
      <c r="H4363" s="4" t="s">
        <v>22</v>
      </c>
      <c r="I4363" s="6">
        <v>750.54600000000005</v>
      </c>
      <c r="J4363" s="4">
        <v>205.99</v>
      </c>
      <c r="K4363" s="4">
        <v>5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0"/>
        <v>41076</v>
      </c>
    </row>
    <row r="4364" spans="1:21" ht="12" customHeight="1">
      <c r="A4364" s="4">
        <v>4264</v>
      </c>
      <c r="B4364" s="4">
        <v>30343</v>
      </c>
      <c r="C4364" s="5">
        <f>DATE(2012,12,31)-224</f>
        <v>41050</v>
      </c>
      <c r="D4364" s="4" t="s">
        <v>78</v>
      </c>
      <c r="E4364" s="4">
        <v>8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0"/>
        <v>41052</v>
      </c>
    </row>
    <row r="4365" spans="1:21" ht="12" customHeight="1">
      <c r="A4365" s="4">
        <v>4303</v>
      </c>
      <c r="B4365" s="4">
        <v>30657</v>
      </c>
      <c r="C4365" s="5">
        <f t="shared" ref="C4365:C4366" si="1821">DATE(2012,12,31)-601</f>
        <v>40673</v>
      </c>
      <c r="D4365" s="4" t="s">
        <v>30</v>
      </c>
      <c r="E4365" s="4">
        <v>6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spans="1:21" ht="12" customHeight="1">
      <c r="A4366" s="4">
        <v>4304</v>
      </c>
      <c r="B4366" s="4">
        <v>30657</v>
      </c>
      <c r="C4366" s="5">
        <f t="shared" si="1821"/>
        <v>40673</v>
      </c>
      <c r="D4366" s="4" t="s">
        <v>30</v>
      </c>
      <c r="E4366" s="4">
        <v>8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spans="1:21" ht="12" customHeight="1">
      <c r="A4367" s="4">
        <v>4399</v>
      </c>
      <c r="B4367" s="4">
        <v>31330</v>
      </c>
      <c r="C4367" s="5">
        <f t="shared" ref="C4367:C4368" si="1822">DATE(2012,12,31)-944</f>
        <v>40330</v>
      </c>
      <c r="D4367" s="4" t="s">
        <v>30</v>
      </c>
      <c r="E4367" s="4">
        <v>2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3">C4367+1</f>
        <v>40331</v>
      </c>
    </row>
    <row r="4368" spans="1:21" ht="12" customHeight="1">
      <c r="A4368" s="4">
        <v>4400</v>
      </c>
      <c r="B4368" s="4">
        <v>31330</v>
      </c>
      <c r="C4368" s="5">
        <f t="shared" si="1822"/>
        <v>40330</v>
      </c>
      <c r="D4368" s="4" t="s">
        <v>30</v>
      </c>
      <c r="E4368" s="4">
        <v>38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0.56999999999999995</v>
      </c>
      <c r="U4368" s="5">
        <f t="shared" si="1823"/>
        <v>40331</v>
      </c>
    </row>
    <row r="4369" spans="1:21" ht="12" customHeight="1">
      <c r="A4369" s="4">
        <v>4428</v>
      </c>
      <c r="B4369" s="4">
        <v>31556</v>
      </c>
      <c r="C4369" s="5">
        <f>DATE(2012,12,31)-523</f>
        <v>40751</v>
      </c>
      <c r="D4369" s="4" t="s">
        <v>78</v>
      </c>
      <c r="E4369" s="4">
        <v>35</v>
      </c>
      <c r="F4369" s="4">
        <v>269.35000000000002</v>
      </c>
      <c r="G4369" s="4">
        <v>7.0000000000000007E-2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3"/>
        <v>40752</v>
      </c>
    </row>
    <row r="4370" spans="1:21" ht="12" customHeight="1">
      <c r="A4370" s="4">
        <v>4441</v>
      </c>
      <c r="B4370" s="4">
        <v>31648</v>
      </c>
      <c r="C4370" s="5">
        <f t="shared" ref="C4370:C4371" si="1824">DATE(2012,12,31)-499</f>
        <v>40775</v>
      </c>
      <c r="D4370" s="4" t="s">
        <v>30</v>
      </c>
      <c r="E4370" s="4">
        <v>8</v>
      </c>
      <c r="F4370" s="4">
        <v>68.94</v>
      </c>
      <c r="G4370" s="4">
        <v>0</v>
      </c>
      <c r="H4370" s="4" t="s">
        <v>22</v>
      </c>
      <c r="I4370" s="6">
        <v>-32.630000000000003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spans="1:21" ht="12" customHeight="1">
      <c r="A4371" s="4">
        <v>4442</v>
      </c>
      <c r="B4371" s="4">
        <v>31648</v>
      </c>
      <c r="C4371" s="5">
        <f t="shared" si="1824"/>
        <v>40775</v>
      </c>
      <c r="D4371" s="4" t="s">
        <v>30</v>
      </c>
      <c r="E4371" s="4">
        <v>10</v>
      </c>
      <c r="F4371" s="4">
        <v>74.040000000000006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5">C4371+2</f>
        <v>40777</v>
      </c>
    </row>
    <row r="4372" spans="1:21" ht="12" customHeight="1">
      <c r="A4372" s="4">
        <v>4510</v>
      </c>
      <c r="B4372" s="4">
        <v>32100</v>
      </c>
      <c r="C4372" s="5">
        <f>DATE(2012,12,31)-222</f>
        <v>41052</v>
      </c>
      <c r="D4372" s="4" t="s">
        <v>63</v>
      </c>
      <c r="E4372" s="4">
        <v>29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5"/>
        <v>41054</v>
      </c>
    </row>
    <row r="4373" spans="1:21" ht="12" customHeight="1">
      <c r="A4373" s="4">
        <v>4605</v>
      </c>
      <c r="B4373" s="4">
        <v>32804</v>
      </c>
      <c r="C4373" s="5">
        <f t="shared" ref="C4373:C4374" si="1826">DATE(2012,12,31)-113</f>
        <v>41161</v>
      </c>
      <c r="D4373" s="4" t="s">
        <v>63</v>
      </c>
      <c r="E4373" s="4">
        <v>49</v>
      </c>
      <c r="F4373" s="4">
        <v>174.81</v>
      </c>
      <c r="G4373" s="4">
        <v>7.0000000000000007E-2</v>
      </c>
      <c r="H4373" s="4" t="s">
        <v>22</v>
      </c>
      <c r="I4373" s="6">
        <v>74.819999999999993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spans="1:21" ht="12" customHeight="1">
      <c r="A4374" s="4">
        <v>4606</v>
      </c>
      <c r="B4374" s="4">
        <v>32804</v>
      </c>
      <c r="C4374" s="5">
        <f t="shared" si="1826"/>
        <v>41161</v>
      </c>
      <c r="D4374" s="4" t="s">
        <v>63</v>
      </c>
      <c r="E4374" s="4">
        <v>20</v>
      </c>
      <c r="F4374" s="4">
        <v>89.51</v>
      </c>
      <c r="G4374" s="4">
        <v>0.02</v>
      </c>
      <c r="H4374" s="4" t="s">
        <v>22</v>
      </c>
      <c r="I4374" s="6">
        <v>-61.984999999999999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spans="1:21" ht="12" customHeight="1">
      <c r="A4375" s="4">
        <v>4608</v>
      </c>
      <c r="B4375" s="4">
        <v>32806</v>
      </c>
      <c r="C4375" s="5">
        <f t="shared" ref="C4375:C4376" si="1827">DATE(2012,12,31)-559</f>
        <v>40715</v>
      </c>
      <c r="D4375" s="4" t="s">
        <v>30</v>
      </c>
      <c r="E4375" s="4">
        <v>48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spans="1:21" ht="12" customHeight="1">
      <c r="A4376" s="4">
        <v>4609</v>
      </c>
      <c r="B4376" s="4">
        <v>32806</v>
      </c>
      <c r="C4376" s="5">
        <f t="shared" si="1827"/>
        <v>40715</v>
      </c>
      <c r="D4376" s="4" t="s">
        <v>30</v>
      </c>
      <c r="E4376" s="4">
        <v>33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spans="1:21" ht="12" customHeight="1">
      <c r="A4377" s="4">
        <v>4635</v>
      </c>
      <c r="B4377" s="4">
        <v>32996</v>
      </c>
      <c r="C4377" s="5">
        <f t="shared" ref="C4377:C4378" si="1828">DATE(2012,12,31)-745</f>
        <v>40529</v>
      </c>
      <c r="D4377" s="4" t="s">
        <v>78</v>
      </c>
      <c r="E4377" s="4">
        <v>15</v>
      </c>
      <c r="F4377" s="4">
        <v>262.29000000000002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spans="1:21" ht="12" customHeight="1">
      <c r="A4378" s="4">
        <v>4636</v>
      </c>
      <c r="B4378" s="4">
        <v>32996</v>
      </c>
      <c r="C4378" s="5">
        <f t="shared" si="1828"/>
        <v>40529</v>
      </c>
      <c r="D4378" s="4" t="s">
        <v>78</v>
      </c>
      <c r="E4378" s="4">
        <v>2</v>
      </c>
      <c r="F4378" s="4">
        <v>116.31399999999999</v>
      </c>
      <c r="G4378" s="4">
        <v>0.04</v>
      </c>
      <c r="H4378" s="4" t="s">
        <v>22</v>
      </c>
      <c r="I4378" s="6">
        <v>-300.85000000000002</v>
      </c>
      <c r="J4378" s="4">
        <v>65.989999999999995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0.55000000000000004</v>
      </c>
      <c r="U4378" s="5">
        <f t="shared" ref="U4378:U4380" si="1829">C4378+2</f>
        <v>40531</v>
      </c>
    </row>
    <row r="4379" spans="1:21" ht="12" customHeight="1">
      <c r="A4379" s="4">
        <v>4657</v>
      </c>
      <c r="B4379" s="4">
        <v>33184</v>
      </c>
      <c r="C4379" s="5">
        <f t="shared" ref="C4379:C4380" si="1830">DATE(2012,12,31)-322</f>
        <v>40952</v>
      </c>
      <c r="D4379" s="4" t="s">
        <v>45</v>
      </c>
      <c r="E4379" s="4">
        <v>32</v>
      </c>
      <c r="F4379" s="4">
        <v>402.49</v>
      </c>
      <c r="G4379" s="4">
        <v>0</v>
      </c>
      <c r="H4379" s="4" t="s">
        <v>22</v>
      </c>
      <c r="I4379" s="6">
        <v>41.794499999999999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29"/>
        <v>40954</v>
      </c>
    </row>
    <row r="4380" spans="1:21" ht="12" customHeight="1">
      <c r="A4380" s="4">
        <v>4658</v>
      </c>
      <c r="B4380" s="4">
        <v>33184</v>
      </c>
      <c r="C4380" s="5">
        <f t="shared" si="1830"/>
        <v>40952</v>
      </c>
      <c r="D4380" s="4" t="s">
        <v>45</v>
      </c>
      <c r="E4380" s="4">
        <v>1</v>
      </c>
      <c r="F4380" s="4">
        <v>1754.29</v>
      </c>
      <c r="G4380" s="4">
        <v>0.09</v>
      </c>
      <c r="H4380" s="4" t="s">
        <v>22</v>
      </c>
      <c r="I4380" s="6">
        <v>-961.50350000000003</v>
      </c>
      <c r="J4380" s="4">
        <v>1889.99</v>
      </c>
      <c r="K4380" s="4">
        <v>19.989999999999998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29"/>
        <v>40954</v>
      </c>
    </row>
    <row r="4381" spans="1:21" ht="12" customHeight="1">
      <c r="A4381" s="4">
        <v>4742</v>
      </c>
      <c r="B4381" s="4">
        <v>33731</v>
      </c>
      <c r="C4381" s="5">
        <f t="shared" ref="C4381:C4383" si="1831">DATE(2012,12,31)-84</f>
        <v>41190</v>
      </c>
      <c r="D4381" s="4" t="s">
        <v>30</v>
      </c>
      <c r="E4381" s="4">
        <v>27</v>
      </c>
      <c r="F4381" s="4">
        <v>8213.3700000000008</v>
      </c>
      <c r="G4381" s="4">
        <v>0.02</v>
      </c>
      <c r="H4381" s="4" t="s">
        <v>31</v>
      </c>
      <c r="I4381" s="6">
        <v>1148.8800000000001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spans="1:21" ht="12" customHeight="1">
      <c r="A4382" s="4">
        <v>4743</v>
      </c>
      <c r="B4382" s="4">
        <v>33731</v>
      </c>
      <c r="C4382" s="5">
        <f t="shared" si="1831"/>
        <v>41190</v>
      </c>
      <c r="D4382" s="4" t="s">
        <v>30</v>
      </c>
      <c r="E4382" s="4">
        <v>32</v>
      </c>
      <c r="F4382" s="4">
        <v>109.01</v>
      </c>
      <c r="G4382" s="4">
        <v>0.09</v>
      </c>
      <c r="H4382" s="4" t="s">
        <v>22</v>
      </c>
      <c r="I4382" s="6">
        <v>8.4499999999999993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spans="1:21" ht="12" customHeight="1">
      <c r="A4383" s="4">
        <v>4744</v>
      </c>
      <c r="B4383" s="4">
        <v>33731</v>
      </c>
      <c r="C4383" s="5">
        <f t="shared" si="1831"/>
        <v>41190</v>
      </c>
      <c r="D4383" s="4" t="s">
        <v>30</v>
      </c>
      <c r="E4383" s="4">
        <v>12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2">C4383+2</f>
        <v>41192</v>
      </c>
    </row>
    <row r="4384" spans="1:21" ht="12" customHeight="1">
      <c r="A4384" s="4">
        <v>4799</v>
      </c>
      <c r="B4384" s="4">
        <v>34112</v>
      </c>
      <c r="C4384" s="5">
        <f>DATE(2012,12,31)-487</f>
        <v>40787</v>
      </c>
      <c r="D4384" s="4" t="s">
        <v>78</v>
      </c>
      <c r="E4384" s="4">
        <v>13</v>
      </c>
      <c r="F4384" s="4">
        <v>315.79199999999997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0.56000000000000005</v>
      </c>
      <c r="U4384" s="5">
        <f t="shared" si="1832"/>
        <v>40789</v>
      </c>
    </row>
    <row r="4385" spans="1:21" ht="12" customHeight="1">
      <c r="A4385" s="4">
        <v>4896</v>
      </c>
      <c r="B4385" s="4">
        <v>34849</v>
      </c>
      <c r="C4385" s="5">
        <f t="shared" ref="C4385:C4387" si="1833">DATE(2012,12,31)-811</f>
        <v>40463</v>
      </c>
      <c r="D4385" s="4" t="s">
        <v>78</v>
      </c>
      <c r="E4385" s="4">
        <v>3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2"/>
        <v>40465</v>
      </c>
    </row>
    <row r="4386" spans="1:21" ht="12" customHeight="1">
      <c r="A4386" s="4">
        <v>4897</v>
      </c>
      <c r="B4386" s="4">
        <v>34849</v>
      </c>
      <c r="C4386" s="5">
        <f t="shared" si="1833"/>
        <v>40463</v>
      </c>
      <c r="D4386" s="4" t="s">
        <v>78</v>
      </c>
      <c r="E4386" s="4">
        <v>22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4.7300000000000004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4">C4386+1</f>
        <v>40464</v>
      </c>
    </row>
    <row r="4387" spans="1:21" ht="12" customHeight="1">
      <c r="A4387" s="4">
        <v>4898</v>
      </c>
      <c r="B4387" s="4">
        <v>34849</v>
      </c>
      <c r="C4387" s="5">
        <f t="shared" si="1833"/>
        <v>40463</v>
      </c>
      <c r="D4387" s="4" t="s">
        <v>78</v>
      </c>
      <c r="E4387" s="4">
        <v>3</v>
      </c>
      <c r="F4387" s="4">
        <v>1192.93</v>
      </c>
      <c r="G4387" s="4">
        <v>7.0000000000000007E-2</v>
      </c>
      <c r="H4387" s="4" t="s">
        <v>22</v>
      </c>
      <c r="I4387" s="6">
        <v>-434.81</v>
      </c>
      <c r="J4387" s="4">
        <v>419.19</v>
      </c>
      <c r="K4387" s="4">
        <v>19.989999999999998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0.57999999999999996</v>
      </c>
      <c r="U4387" s="5">
        <f t="shared" si="1834"/>
        <v>40464</v>
      </c>
    </row>
    <row r="4388" spans="1:21" ht="12" customHeight="1">
      <c r="A4388" s="4">
        <v>5337</v>
      </c>
      <c r="B4388" s="4">
        <v>37923</v>
      </c>
      <c r="C4388" s="5">
        <f>DATE(2012,12,31)-1010</f>
        <v>40264</v>
      </c>
      <c r="D4388" s="4" t="s">
        <v>45</v>
      </c>
      <c r="E4388" s="4">
        <v>29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4"/>
        <v>40265</v>
      </c>
    </row>
    <row r="4389" spans="1:21" ht="12" customHeight="1">
      <c r="A4389" s="4">
        <v>5376</v>
      </c>
      <c r="B4389" s="4">
        <v>38215</v>
      </c>
      <c r="C4389" s="5">
        <f t="shared" ref="C4389:C4390" si="1835">DATE(2012,12,31)-1094</f>
        <v>40180</v>
      </c>
      <c r="D4389" s="4" t="s">
        <v>78</v>
      </c>
      <c r="E4389" s="4">
        <v>42</v>
      </c>
      <c r="F4389" s="4">
        <v>756.72949999999992</v>
      </c>
      <c r="G4389" s="4">
        <v>7.0000000000000007E-2</v>
      </c>
      <c r="H4389" s="4" t="s">
        <v>22</v>
      </c>
      <c r="I4389" s="6">
        <v>64.782000000000011</v>
      </c>
      <c r="J4389" s="4">
        <v>20.99</v>
      </c>
      <c r="K4389" s="4">
        <v>4.8099999999999996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0.57999999999999996</v>
      </c>
      <c r="U4389" s="5">
        <f t="shared" si="1834"/>
        <v>40181</v>
      </c>
    </row>
    <row r="4390" spans="1:21" ht="12" customHeight="1">
      <c r="A4390" s="4">
        <v>5377</v>
      </c>
      <c r="B4390" s="4">
        <v>38215</v>
      </c>
      <c r="C4390" s="5">
        <f t="shared" si="1835"/>
        <v>40180</v>
      </c>
      <c r="D4390" s="4" t="s">
        <v>78</v>
      </c>
      <c r="E4390" s="4">
        <v>38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19.989999999999998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spans="1:21" ht="12" customHeight="1">
      <c r="A4391" s="4">
        <v>5445</v>
      </c>
      <c r="B4391" s="4">
        <v>38659</v>
      </c>
      <c r="C4391" s="5">
        <f t="shared" ref="C4391:C4392" si="1836">DATE(2012,12,31)-1007</f>
        <v>40267</v>
      </c>
      <c r="D4391" s="4" t="s">
        <v>21</v>
      </c>
      <c r="E4391" s="4">
        <v>48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spans="1:21" ht="12" customHeight="1">
      <c r="A4392" s="4">
        <v>5446</v>
      </c>
      <c r="B4392" s="4">
        <v>38659</v>
      </c>
      <c r="C4392" s="5">
        <f t="shared" si="1836"/>
        <v>40267</v>
      </c>
      <c r="D4392" s="4" t="s">
        <v>21</v>
      </c>
      <c r="E4392" s="4">
        <v>32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7">C4392+7</f>
        <v>40274</v>
      </c>
    </row>
    <row r="4393" spans="1:21" ht="12" customHeight="1">
      <c r="A4393" s="4">
        <v>5690</v>
      </c>
      <c r="B4393" s="4">
        <v>40225</v>
      </c>
      <c r="C4393" s="5">
        <f t="shared" ref="C4393:C4394" si="1838">DATE(2012,12,31)-722</f>
        <v>40552</v>
      </c>
      <c r="D4393" s="4" t="s">
        <v>21</v>
      </c>
      <c r="E4393" s="4">
        <v>50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16.739999999999998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7"/>
        <v>40559</v>
      </c>
    </row>
    <row r="4394" spans="1:21" ht="12" customHeight="1">
      <c r="A4394" s="4">
        <v>5691</v>
      </c>
      <c r="B4394" s="4">
        <v>40225</v>
      </c>
      <c r="C4394" s="5">
        <f t="shared" si="1838"/>
        <v>40552</v>
      </c>
      <c r="D4394" s="4" t="s">
        <v>21</v>
      </c>
      <c r="E4394" s="4">
        <v>45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spans="1:21" ht="12" customHeight="1">
      <c r="A4395" s="4">
        <v>5718</v>
      </c>
      <c r="B4395" s="4">
        <v>40512</v>
      </c>
      <c r="C4395" s="5">
        <f>DATE(2012,12,31)-836</f>
        <v>40438</v>
      </c>
      <c r="D4395" s="4" t="s">
        <v>63</v>
      </c>
      <c r="E4395" s="4">
        <v>41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spans="1:21" ht="12" customHeight="1">
      <c r="A4396" s="4">
        <v>5904</v>
      </c>
      <c r="B4396" s="4">
        <v>41857</v>
      </c>
      <c r="C4396" s="5">
        <f>DATE(2012,12,31)-605</f>
        <v>40669</v>
      </c>
      <c r="D4396" s="4" t="s">
        <v>21</v>
      </c>
      <c r="E4396" s="4">
        <v>45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0.55000000000000004</v>
      </c>
      <c r="U4396" s="5">
        <f>C4396+5</f>
        <v>40674</v>
      </c>
    </row>
    <row r="4397" spans="1:21" ht="12" customHeight="1">
      <c r="A4397" s="4">
        <v>5977</v>
      </c>
      <c r="B4397" s="4">
        <v>42374</v>
      </c>
      <c r="C4397" s="5">
        <f t="shared" ref="C4397:C4399" si="1839">DATE(2012,12,31)-167</f>
        <v>41107</v>
      </c>
      <c r="D4397" s="4" t="s">
        <v>78</v>
      </c>
      <c r="E4397" s="4">
        <v>21</v>
      </c>
      <c r="F4397" s="4">
        <v>205.32</v>
      </c>
      <c r="G4397" s="4">
        <v>0.08</v>
      </c>
      <c r="H4397" s="4" t="s">
        <v>56</v>
      </c>
      <c r="I4397" s="6">
        <v>37.299999999999997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spans="1:21" ht="12" customHeight="1">
      <c r="A4398" s="4">
        <v>5978</v>
      </c>
      <c r="B4398" s="4">
        <v>42374</v>
      </c>
      <c r="C4398" s="5">
        <f t="shared" si="1839"/>
        <v>41107</v>
      </c>
      <c r="D4398" s="4" t="s">
        <v>78</v>
      </c>
      <c r="E4398" s="4">
        <v>47</v>
      </c>
      <c r="F4398" s="4">
        <v>807.6</v>
      </c>
      <c r="G4398" s="4">
        <v>0</v>
      </c>
      <c r="H4398" s="4" t="s">
        <v>22</v>
      </c>
      <c r="I4398" s="6">
        <v>214.30200000000002</v>
      </c>
      <c r="J4398" s="4">
        <v>16.739999999999998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spans="1:21" ht="12" customHeight="1">
      <c r="A4399" s="4">
        <v>5979</v>
      </c>
      <c r="B4399" s="4">
        <v>42374</v>
      </c>
      <c r="C4399" s="5">
        <f t="shared" si="1839"/>
        <v>41107</v>
      </c>
      <c r="D4399" s="4" t="s">
        <v>78</v>
      </c>
      <c r="E4399" s="4">
        <v>11</v>
      </c>
      <c r="F4399" s="4">
        <v>694.17</v>
      </c>
      <c r="G4399" s="4">
        <v>0</v>
      </c>
      <c r="H4399" s="4" t="s">
        <v>22</v>
      </c>
      <c r="I4399" s="6">
        <v>174.21600000000001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0">C4399+2</f>
        <v>41109</v>
      </c>
    </row>
    <row r="4400" spans="1:21" ht="12" customHeight="1">
      <c r="A4400" s="4">
        <v>6066</v>
      </c>
      <c r="B4400" s="4">
        <v>42979</v>
      </c>
      <c r="C4400" s="5">
        <f>DATE(2012,12,31)-610</f>
        <v>40664</v>
      </c>
      <c r="D4400" s="4" t="s">
        <v>45</v>
      </c>
      <c r="E4400" s="4">
        <v>29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0"/>
        <v>40666</v>
      </c>
    </row>
    <row r="4401" spans="1:21" ht="12" customHeight="1">
      <c r="A4401" s="4">
        <v>6077</v>
      </c>
      <c r="B4401" s="4">
        <v>43045</v>
      </c>
      <c r="C4401" s="5">
        <f t="shared" ref="C4401:C4402" si="1841">DATE(2012,12,31)-200</f>
        <v>41074</v>
      </c>
      <c r="D4401" s="4" t="s">
        <v>63</v>
      </c>
      <c r="E4401" s="4">
        <v>47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10.119999999999999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0"/>
        <v>41076</v>
      </c>
    </row>
    <row r="4402" spans="1:21" ht="12" customHeight="1">
      <c r="A4402" s="4">
        <v>6078</v>
      </c>
      <c r="B4402" s="4">
        <v>43045</v>
      </c>
      <c r="C4402" s="5">
        <f t="shared" si="1841"/>
        <v>41074</v>
      </c>
      <c r="D4402" s="4" t="s">
        <v>63</v>
      </c>
      <c r="E4402" s="4">
        <v>12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2">C4402+0</f>
        <v>41074</v>
      </c>
    </row>
    <row r="4403" spans="1:21" ht="12" customHeight="1">
      <c r="A4403" s="4">
        <v>6085</v>
      </c>
      <c r="B4403" s="4">
        <v>43110</v>
      </c>
      <c r="C4403" s="5">
        <f t="shared" ref="C4403:C4404" si="1843">DATE(2012,12,31)-694</f>
        <v>40580</v>
      </c>
      <c r="D4403" s="4" t="s">
        <v>30</v>
      </c>
      <c r="E4403" s="4">
        <v>3</v>
      </c>
      <c r="F4403" s="4">
        <v>21.01</v>
      </c>
      <c r="G4403" s="4">
        <v>0</v>
      </c>
      <c r="H4403" s="4" t="s">
        <v>22</v>
      </c>
      <c r="I4403" s="6">
        <v>-9.69</v>
      </c>
      <c r="J4403" s="4">
        <v>4.9800000000000004</v>
      </c>
      <c r="K4403" s="4">
        <v>5.0199999999999996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2"/>
        <v>40580</v>
      </c>
    </row>
    <row r="4404" spans="1:21" ht="12" customHeight="1">
      <c r="A4404" s="4">
        <v>6086</v>
      </c>
      <c r="B4404" s="4">
        <v>43110</v>
      </c>
      <c r="C4404" s="5">
        <f t="shared" si="1843"/>
        <v>40580</v>
      </c>
      <c r="D4404" s="4" t="s">
        <v>30</v>
      </c>
      <c r="E4404" s="4">
        <v>1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4">C4404+2</f>
        <v>40582</v>
      </c>
    </row>
    <row r="4405" spans="1:21" ht="12" customHeight="1">
      <c r="A4405" s="4">
        <v>6104</v>
      </c>
      <c r="B4405" s="4">
        <v>43239</v>
      </c>
      <c r="C4405" s="5">
        <f>DATE(2012,12,31)-656</f>
        <v>40618</v>
      </c>
      <c r="D4405" s="4" t="s">
        <v>45</v>
      </c>
      <c r="E4405" s="4">
        <v>14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18.940000000000001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4"/>
        <v>40620</v>
      </c>
    </row>
    <row r="4406" spans="1:21" ht="12" customHeight="1">
      <c r="A4406" s="4">
        <v>6313</v>
      </c>
      <c r="B4406" s="4">
        <v>44678</v>
      </c>
      <c r="C4406" s="5">
        <f t="shared" ref="C4406:C4407" si="1845">DATE(2012,12,31)-79</f>
        <v>41195</v>
      </c>
      <c r="D4406" s="4" t="s">
        <v>21</v>
      </c>
      <c r="E4406" s="4">
        <v>36</v>
      </c>
      <c r="F4406" s="4">
        <v>1152.6300000000001</v>
      </c>
      <c r="G4406" s="4">
        <v>0.03</v>
      </c>
      <c r="H4406" s="4" t="s">
        <v>22</v>
      </c>
      <c r="I4406" s="6">
        <v>389.4</v>
      </c>
      <c r="J4406" s="4">
        <v>32.479999999999997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spans="1:21" ht="12" customHeight="1">
      <c r="A4407" s="4">
        <v>6314</v>
      </c>
      <c r="B4407" s="4">
        <v>44678</v>
      </c>
      <c r="C4407" s="5">
        <f t="shared" si="1845"/>
        <v>41195</v>
      </c>
      <c r="D4407" s="4" t="s">
        <v>21</v>
      </c>
      <c r="E4407" s="4">
        <v>4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spans="1:21" ht="12" customHeight="1">
      <c r="A4408" s="4">
        <v>6326</v>
      </c>
      <c r="B4408" s="4">
        <v>44805</v>
      </c>
      <c r="C4408" s="5">
        <f>DATE(2012,12,31)-108</f>
        <v>41166</v>
      </c>
      <c r="D4408" s="4" t="s">
        <v>30</v>
      </c>
      <c r="E4408" s="4">
        <v>40</v>
      </c>
      <c r="F4408" s="4">
        <v>1710.65</v>
      </c>
      <c r="G4408" s="4">
        <v>0.01</v>
      </c>
      <c r="H4408" s="4" t="s">
        <v>22</v>
      </c>
      <c r="I4408" s="6">
        <v>782.00850000000003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spans="1:21" ht="12" customHeight="1">
      <c r="A4409" s="4">
        <v>6335</v>
      </c>
      <c r="B4409" s="4">
        <v>44897</v>
      </c>
      <c r="C4409" s="5">
        <f>DATE(2012,12,31)-1028</f>
        <v>40246</v>
      </c>
      <c r="D4409" s="4" t="s">
        <v>30</v>
      </c>
      <c r="E4409" s="4">
        <v>11</v>
      </c>
      <c r="F4409" s="4">
        <v>85.62</v>
      </c>
      <c r="G4409" s="4">
        <v>7.0000000000000007E-2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spans="1:21" ht="12" customHeight="1">
      <c r="A4410" s="4">
        <v>6610</v>
      </c>
      <c r="B4410" s="4">
        <v>47015</v>
      </c>
      <c r="C4410" s="5">
        <f>DATE(2012,12,31)-687</f>
        <v>40587</v>
      </c>
      <c r="D4410" s="4" t="s">
        <v>45</v>
      </c>
      <c r="E4410" s="4">
        <v>19</v>
      </c>
      <c r="F4410" s="4">
        <v>5441.06</v>
      </c>
      <c r="G4410" s="4">
        <v>0.06</v>
      </c>
      <c r="H4410" s="4" t="s">
        <v>31</v>
      </c>
      <c r="I4410" s="6">
        <v>-557.20000000000005</v>
      </c>
      <c r="J4410" s="4">
        <v>286.85000000000002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6">C4410+1</f>
        <v>40588</v>
      </c>
    </row>
    <row r="4411" spans="1:21" ht="12" customHeight="1">
      <c r="A4411" s="4">
        <v>6636</v>
      </c>
      <c r="B4411" s="4">
        <v>47175</v>
      </c>
      <c r="C4411" s="5">
        <f>DATE(2012,12,31)-981</f>
        <v>40293</v>
      </c>
      <c r="D4411" s="4" t="s">
        <v>45</v>
      </c>
      <c r="E4411" s="4">
        <v>40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6"/>
        <v>40294</v>
      </c>
    </row>
    <row r="4412" spans="1:21" ht="12" customHeight="1">
      <c r="A4412" s="4">
        <v>6646</v>
      </c>
      <c r="B4412" s="4">
        <v>47270</v>
      </c>
      <c r="C4412" s="5">
        <f t="shared" ref="C4412:C4414" si="1847">DATE(2012,12,31)-882</f>
        <v>40392</v>
      </c>
      <c r="D4412" s="4" t="s">
        <v>78</v>
      </c>
      <c r="E4412" s="4">
        <v>40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4.3899999999999997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spans="1:21" ht="12" customHeight="1">
      <c r="A4413" s="4">
        <v>6647</v>
      </c>
      <c r="B4413" s="4">
        <v>47270</v>
      </c>
      <c r="C4413" s="5">
        <f t="shared" si="1847"/>
        <v>40392</v>
      </c>
      <c r="D4413" s="4" t="s">
        <v>78</v>
      </c>
      <c r="E4413" s="4">
        <v>9</v>
      </c>
      <c r="F4413" s="4">
        <v>61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8">C4413+2</f>
        <v>40394</v>
      </c>
    </row>
    <row r="4414" spans="1:21" ht="12" customHeight="1">
      <c r="A4414" s="4">
        <v>6648</v>
      </c>
      <c r="B4414" s="4">
        <v>47270</v>
      </c>
      <c r="C4414" s="5">
        <f t="shared" si="1847"/>
        <v>40392</v>
      </c>
      <c r="D4414" s="4" t="s">
        <v>78</v>
      </c>
      <c r="E4414" s="4">
        <v>19</v>
      </c>
      <c r="F4414" s="4">
        <v>3559.6129999999998</v>
      </c>
      <c r="G4414" s="4">
        <v>0</v>
      </c>
      <c r="H4414" s="4" t="s">
        <v>22</v>
      </c>
      <c r="I4414" s="6">
        <v>747.73800000000006</v>
      </c>
      <c r="J4414" s="4">
        <v>205.99</v>
      </c>
      <c r="K4414" s="4">
        <v>3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0.57999999999999996</v>
      </c>
      <c r="U4414" s="5">
        <f t="shared" si="1848"/>
        <v>40394</v>
      </c>
    </row>
    <row r="4415" spans="1:21" ht="12" customHeight="1">
      <c r="A4415" s="4">
        <v>6680</v>
      </c>
      <c r="B4415" s="4">
        <v>47524</v>
      </c>
      <c r="C4415" s="5">
        <f>DATE(2012,12,31)-991</f>
        <v>40283</v>
      </c>
      <c r="D4415" s="4" t="s">
        <v>63</v>
      </c>
      <c r="E4415" s="4">
        <v>40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spans="1:21" ht="12" customHeight="1">
      <c r="A4416" s="4">
        <v>6859</v>
      </c>
      <c r="B4416" s="4">
        <v>48868</v>
      </c>
      <c r="C4416" s="5">
        <f t="shared" ref="C4416:C4417" si="1849">DATE(2012,12,31)-201</f>
        <v>41073</v>
      </c>
      <c r="D4416" s="4" t="s">
        <v>45</v>
      </c>
      <c r="E4416" s="4">
        <v>47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spans="1:21" ht="12" customHeight="1">
      <c r="A4417" s="4">
        <v>6860</v>
      </c>
      <c r="B4417" s="4">
        <v>48868</v>
      </c>
      <c r="C4417" s="5">
        <f t="shared" si="1849"/>
        <v>41073</v>
      </c>
      <c r="D4417" s="4" t="s">
        <v>45</v>
      </c>
      <c r="E4417" s="4">
        <v>43</v>
      </c>
      <c r="F4417" s="4">
        <v>6861.8545000000004</v>
      </c>
      <c r="G4417" s="4">
        <v>7.0000000000000007E-2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0">C4417+1</f>
        <v>41074</v>
      </c>
    </row>
    <row r="4418" spans="1:21" ht="12" customHeight="1">
      <c r="A4418" s="4">
        <v>6955</v>
      </c>
      <c r="B4418" s="4">
        <v>49760</v>
      </c>
      <c r="C4418" s="5">
        <f t="shared" ref="C4418:C4420" si="1851">DATE(2012,12,31)-457</f>
        <v>40817</v>
      </c>
      <c r="D4418" s="4" t="s">
        <v>63</v>
      </c>
      <c r="E4418" s="4">
        <v>3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0"/>
        <v>40818</v>
      </c>
    </row>
    <row r="4419" spans="1:21" ht="12" customHeight="1">
      <c r="A4419" s="4">
        <v>6956</v>
      </c>
      <c r="B4419" s="4">
        <v>49760</v>
      </c>
      <c r="C4419" s="5">
        <f t="shared" si="1851"/>
        <v>40817</v>
      </c>
      <c r="D4419" s="4" t="s">
        <v>63</v>
      </c>
      <c r="E4419" s="4">
        <v>13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0.57999999999999996</v>
      </c>
      <c r="U4419" s="5">
        <f t="shared" ref="U4419:U4422" si="1852">C4419+2</f>
        <v>40819</v>
      </c>
    </row>
    <row r="4420" spans="1:21" ht="12" customHeight="1">
      <c r="A4420" s="4">
        <v>6957</v>
      </c>
      <c r="B4420" s="4">
        <v>49760</v>
      </c>
      <c r="C4420" s="5">
        <f t="shared" si="1851"/>
        <v>40817</v>
      </c>
      <c r="D4420" s="4" t="s">
        <v>63</v>
      </c>
      <c r="E4420" s="4">
        <v>38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9.0299999999999994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2"/>
        <v>40819</v>
      </c>
    </row>
    <row r="4421" spans="1:21" ht="12" customHeight="1">
      <c r="A4421" s="4">
        <v>7044</v>
      </c>
      <c r="B4421" s="4">
        <v>50304</v>
      </c>
      <c r="C4421" s="5">
        <f t="shared" ref="C4421:C4422" si="1853">DATE(2012,12,31)-1065</f>
        <v>40209</v>
      </c>
      <c r="D4421" s="4" t="s">
        <v>78</v>
      </c>
      <c r="E4421" s="4">
        <v>22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39.979999999999997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2"/>
        <v>40211</v>
      </c>
    </row>
    <row r="4422" spans="1:21" ht="12" customHeight="1">
      <c r="A4422" s="4">
        <v>7045</v>
      </c>
      <c r="B4422" s="4">
        <v>50304</v>
      </c>
      <c r="C4422" s="5">
        <f t="shared" si="1853"/>
        <v>40209</v>
      </c>
      <c r="D4422" s="4" t="s">
        <v>78</v>
      </c>
      <c r="E4422" s="4">
        <v>3</v>
      </c>
      <c r="F4422" s="4">
        <v>72.459999999999994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2"/>
        <v>40211</v>
      </c>
    </row>
    <row r="4423" spans="1:21" ht="12" customHeight="1">
      <c r="A4423" s="4">
        <v>7112</v>
      </c>
      <c r="B4423" s="4">
        <v>50756</v>
      </c>
      <c r="C4423" s="5">
        <f t="shared" ref="C4423:C4424" si="1854">DATE(2012,12,31)-844</f>
        <v>40430</v>
      </c>
      <c r="D4423" s="4" t="s">
        <v>45</v>
      </c>
      <c r="E4423" s="4">
        <v>19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spans="1:21" ht="12" customHeight="1">
      <c r="A4424" s="4">
        <v>7113</v>
      </c>
      <c r="B4424" s="4">
        <v>50756</v>
      </c>
      <c r="C4424" s="5">
        <f t="shared" si="1854"/>
        <v>40430</v>
      </c>
      <c r="D4424" s="4" t="s">
        <v>45</v>
      </c>
      <c r="E4424" s="4">
        <v>2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5">C4424+0</f>
        <v>40430</v>
      </c>
    </row>
    <row r="4425" spans="1:21" ht="12" customHeight="1">
      <c r="A4425" s="4">
        <v>7173</v>
      </c>
      <c r="B4425" s="4">
        <v>51201</v>
      </c>
      <c r="C4425" s="5">
        <f>DATE(2012,12,31)-381</f>
        <v>40893</v>
      </c>
      <c r="D4425" s="4" t="s">
        <v>30</v>
      </c>
      <c r="E4425" s="4">
        <v>42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5"/>
        <v>40893</v>
      </c>
    </row>
    <row r="4426" spans="1:21" ht="12" customHeight="1">
      <c r="A4426" s="4">
        <v>7325</v>
      </c>
      <c r="B4426" s="4">
        <v>52197</v>
      </c>
      <c r="C4426" s="5">
        <f t="shared" ref="C4426:C4427" si="1856">DATE(2012,12,31)-149</f>
        <v>41125</v>
      </c>
      <c r="D4426" s="4" t="s">
        <v>78</v>
      </c>
      <c r="E4426" s="4">
        <v>23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spans="1:21" ht="12" customHeight="1">
      <c r="A4427" s="4">
        <v>7326</v>
      </c>
      <c r="B4427" s="4">
        <v>52197</v>
      </c>
      <c r="C4427" s="5">
        <f t="shared" si="1856"/>
        <v>41125</v>
      </c>
      <c r="D4427" s="4" t="s">
        <v>78</v>
      </c>
      <c r="E4427" s="4">
        <v>6</v>
      </c>
      <c r="F4427" s="4">
        <v>377.03</v>
      </c>
      <c r="G4427" s="4">
        <v>0.06</v>
      </c>
      <c r="H4427" s="4" t="s">
        <v>22</v>
      </c>
      <c r="I4427" s="6">
        <v>-78.819999999999993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7">C4427+2</f>
        <v>41127</v>
      </c>
    </row>
    <row r="4428" spans="1:21" ht="12" customHeight="1">
      <c r="A4428" s="4">
        <v>7395</v>
      </c>
      <c r="B4428" s="4">
        <v>52678</v>
      </c>
      <c r="C4428" s="5">
        <f>DATE(2012,12,31)-155</f>
        <v>41119</v>
      </c>
      <c r="D4428" s="4" t="s">
        <v>30</v>
      </c>
      <c r="E4428" s="4">
        <v>3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7"/>
        <v>41121</v>
      </c>
    </row>
    <row r="4429" spans="1:21" ht="12" customHeight="1">
      <c r="A4429" s="4">
        <v>7770</v>
      </c>
      <c r="B4429" s="4">
        <v>55621</v>
      </c>
      <c r="C4429" s="5">
        <f t="shared" ref="C4429:C4430" si="1858">DATE(2012,12,31)-657</f>
        <v>40617</v>
      </c>
      <c r="D4429" s="4" t="s">
        <v>21</v>
      </c>
      <c r="E4429" s="4">
        <v>50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7"/>
        <v>40619</v>
      </c>
    </row>
    <row r="4430" spans="1:21" ht="12" customHeight="1">
      <c r="A4430" s="4">
        <v>7771</v>
      </c>
      <c r="B4430" s="4">
        <v>55621</v>
      </c>
      <c r="C4430" s="5">
        <f t="shared" si="1858"/>
        <v>40617</v>
      </c>
      <c r="D4430" s="4" t="s">
        <v>21</v>
      </c>
      <c r="E4430" s="4">
        <v>47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0.56000000000000005</v>
      </c>
      <c r="U4430" s="5">
        <f>C4430+7</f>
        <v>40624</v>
      </c>
    </row>
    <row r="4431" spans="1:21" ht="12" customHeight="1">
      <c r="A4431" s="4">
        <v>7891</v>
      </c>
      <c r="B4431" s="4">
        <v>56423</v>
      </c>
      <c r="C4431" s="5">
        <f t="shared" ref="C4431:C4432" si="1859">DATE(2012,12,31)-372</f>
        <v>40902</v>
      </c>
      <c r="D4431" s="4" t="s">
        <v>45</v>
      </c>
      <c r="E4431" s="4">
        <v>41</v>
      </c>
      <c r="F4431" s="4">
        <v>170.82</v>
      </c>
      <c r="G4431" s="4">
        <v>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0">C4431+1</f>
        <v>40903</v>
      </c>
    </row>
    <row r="4432" spans="1:21" ht="12" customHeight="1">
      <c r="A4432" s="4">
        <v>7892</v>
      </c>
      <c r="B4432" s="4">
        <v>56423</v>
      </c>
      <c r="C4432" s="5">
        <f t="shared" si="1859"/>
        <v>40902</v>
      </c>
      <c r="D4432" s="4" t="s">
        <v>45</v>
      </c>
      <c r="E4432" s="4">
        <v>4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19.989999999999998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0.57999999999999996</v>
      </c>
      <c r="U4432" s="5">
        <f t="shared" si="1860"/>
        <v>40903</v>
      </c>
    </row>
    <row r="4433" spans="1:21" ht="12" customHeight="1">
      <c r="A4433" s="4">
        <v>7923</v>
      </c>
      <c r="B4433" s="4">
        <v>56644</v>
      </c>
      <c r="C4433" s="5">
        <f>DATE(2012,12,31)-33</f>
        <v>41241</v>
      </c>
      <c r="D4433" s="4" t="s">
        <v>45</v>
      </c>
      <c r="E4433" s="4">
        <v>36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spans="1:21" ht="12" customHeight="1">
      <c r="A4434" s="4">
        <v>8016</v>
      </c>
      <c r="B4434" s="4">
        <v>57280</v>
      </c>
      <c r="C4434" s="5">
        <f>DATE(2012,12,31)-335</f>
        <v>40939</v>
      </c>
      <c r="D4434" s="4" t="s">
        <v>63</v>
      </c>
      <c r="E4434" s="4">
        <v>44</v>
      </c>
      <c r="F4434" s="4">
        <v>299.85000000000002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10.050000000000001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1">C4434+1</f>
        <v>40940</v>
      </c>
    </row>
    <row r="4435" spans="1:21" ht="12" customHeight="1">
      <c r="A4435" s="4">
        <v>8052</v>
      </c>
      <c r="B4435" s="4">
        <v>57478</v>
      </c>
      <c r="C4435" s="5">
        <f>DATE(2012,12,31)-820</f>
        <v>40454</v>
      </c>
      <c r="D4435" s="4" t="s">
        <v>78</v>
      </c>
      <c r="E4435" s="4">
        <v>36</v>
      </c>
      <c r="F4435" s="4">
        <v>63.53</v>
      </c>
      <c r="G4435" s="4">
        <v>0.1</v>
      </c>
      <c r="H4435" s="4" t="s">
        <v>22</v>
      </c>
      <c r="I4435" s="6">
        <v>-2.5099999999999998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1"/>
        <v>40455</v>
      </c>
    </row>
    <row r="4436" spans="1:21" ht="12" customHeight="1">
      <c r="A4436" s="4">
        <v>8059</v>
      </c>
      <c r="B4436" s="4">
        <v>57510</v>
      </c>
      <c r="C4436" s="5">
        <f>DATE(2012,12,31)-387</f>
        <v>40887</v>
      </c>
      <c r="D4436" s="4" t="s">
        <v>45</v>
      </c>
      <c r="E4436" s="4">
        <v>6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spans="1:21" ht="12" customHeight="1">
      <c r="A4437" s="4">
        <v>8098</v>
      </c>
      <c r="B4437" s="4">
        <v>57767</v>
      </c>
      <c r="C4437" s="5">
        <f>DATE(2012,12,31)-264</f>
        <v>41010</v>
      </c>
      <c r="D4437" s="4" t="s">
        <v>78</v>
      </c>
      <c r="E4437" s="4">
        <v>34</v>
      </c>
      <c r="F4437" s="4">
        <v>3373.7094999999999</v>
      </c>
      <c r="G4437" s="4">
        <v>0.01</v>
      </c>
      <c r="H4437" s="4" t="s">
        <v>22</v>
      </c>
      <c r="I4437" s="6">
        <v>861.72299999999996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0.56999999999999995</v>
      </c>
      <c r="U4437" s="5">
        <f t="shared" ref="U4437:U4438" si="1862">C4437+2</f>
        <v>41012</v>
      </c>
    </row>
    <row r="4438" spans="1:21" ht="12" customHeight="1">
      <c r="A4438" s="4">
        <v>8101</v>
      </c>
      <c r="B4438" s="4">
        <v>57799</v>
      </c>
      <c r="C4438" s="5">
        <f>DATE(2012,12,31)-488</f>
        <v>40786</v>
      </c>
      <c r="D4438" s="4" t="s">
        <v>30</v>
      </c>
      <c r="E4438" s="4">
        <v>25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2"/>
        <v>40788</v>
      </c>
    </row>
    <row r="4439" spans="1:21" ht="12" customHeight="1">
      <c r="A4439" s="4">
        <v>8192</v>
      </c>
      <c r="B4439" s="4">
        <v>58595</v>
      </c>
      <c r="C4439" s="5">
        <f>DATE(2012,12,31)-855</f>
        <v>40419</v>
      </c>
      <c r="D4439" s="4" t="s">
        <v>30</v>
      </c>
      <c r="E4439" s="4">
        <v>41</v>
      </c>
      <c r="F4439" s="4">
        <v>812.21</v>
      </c>
      <c r="G4439" s="4">
        <v>0.06</v>
      </c>
      <c r="H4439" s="4" t="s">
        <v>56</v>
      </c>
      <c r="I4439" s="6">
        <v>-128.02000000000001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spans="1:21" ht="12" customHeight="1">
      <c r="A4440" s="4">
        <v>8217</v>
      </c>
      <c r="B4440" s="4">
        <v>58755</v>
      </c>
      <c r="C4440" s="5">
        <f t="shared" ref="C4440:C4441" si="1863">DATE(2012,12,31)-394</f>
        <v>40880</v>
      </c>
      <c r="D4440" s="4" t="s">
        <v>21</v>
      </c>
      <c r="E4440" s="4">
        <v>7</v>
      </c>
      <c r="F4440" s="4">
        <v>15.61</v>
      </c>
      <c r="G4440" s="4">
        <v>0.03</v>
      </c>
      <c r="H4440" s="4" t="s">
        <v>22</v>
      </c>
      <c r="I4440" s="6">
        <v>-5.1864999999999997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spans="1:21" ht="12" customHeight="1">
      <c r="A4441" s="4">
        <v>8218</v>
      </c>
      <c r="B4441" s="4">
        <v>58755</v>
      </c>
      <c r="C4441" s="5">
        <f t="shared" si="1863"/>
        <v>40880</v>
      </c>
      <c r="D4441" s="4" t="s">
        <v>21</v>
      </c>
      <c r="E4441" s="4">
        <v>18</v>
      </c>
      <c r="F4441" s="4">
        <v>47.11</v>
      </c>
      <c r="G4441" s="4">
        <v>0</v>
      </c>
      <c r="H4441" s="4" t="s">
        <v>22</v>
      </c>
      <c r="I4441" s="6">
        <v>-95.42</v>
      </c>
      <c r="J4441" s="4">
        <v>2.1800000000000002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spans="1:21" ht="12" customHeight="1">
      <c r="A4442" s="4">
        <v>8250</v>
      </c>
      <c r="B4442" s="4">
        <v>59008</v>
      </c>
      <c r="C4442" s="5">
        <f>DATE(2012,12,31)-824</f>
        <v>40450</v>
      </c>
      <c r="D4442" s="4" t="s">
        <v>78</v>
      </c>
      <c r="E4442" s="4">
        <v>39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spans="1:21" ht="12" customHeight="1">
      <c r="A4443" s="4">
        <v>8287</v>
      </c>
      <c r="B4443" s="4">
        <v>59205</v>
      </c>
      <c r="C4443" s="5">
        <f t="shared" ref="C4443:C4444" si="1864">DATE(2012,12,31)-427</f>
        <v>40847</v>
      </c>
      <c r="D4443" s="4" t="s">
        <v>78</v>
      </c>
      <c r="E4443" s="4">
        <v>11</v>
      </c>
      <c r="F4443" s="4">
        <v>54.59</v>
      </c>
      <c r="G4443" s="4">
        <v>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5">C4443+2</f>
        <v>40849</v>
      </c>
    </row>
    <row r="4444" spans="1:21" ht="12" customHeight="1">
      <c r="A4444" s="4">
        <v>8288</v>
      </c>
      <c r="B4444" s="4">
        <v>59205</v>
      </c>
      <c r="C4444" s="5">
        <f t="shared" si="1864"/>
        <v>40847</v>
      </c>
      <c r="D4444" s="4" t="s">
        <v>78</v>
      </c>
      <c r="E4444" s="4">
        <v>35</v>
      </c>
      <c r="F4444" s="4">
        <v>597.04</v>
      </c>
      <c r="G4444" s="4">
        <v>0.05</v>
      </c>
      <c r="H4444" s="4" t="s">
        <v>22</v>
      </c>
      <c r="I4444" s="6">
        <v>-157.41999999999999</v>
      </c>
      <c r="J4444" s="4">
        <v>16.739999999999998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5"/>
        <v>40849</v>
      </c>
    </row>
    <row r="4445" spans="1:21" ht="12" customHeight="1">
      <c r="A4445" s="4">
        <v>8322</v>
      </c>
      <c r="B4445" s="4">
        <v>59491</v>
      </c>
      <c r="C4445" s="5">
        <f t="shared" ref="C4445:C4447" si="1866">DATE(2012,12,31)-282</f>
        <v>40992</v>
      </c>
      <c r="D4445" s="4" t="s">
        <v>30</v>
      </c>
      <c r="E4445" s="4">
        <v>8</v>
      </c>
      <c r="F4445" s="4">
        <v>32.31</v>
      </c>
      <c r="G4445" s="4">
        <v>0.09</v>
      </c>
      <c r="H4445" s="4" t="s">
        <v>22</v>
      </c>
      <c r="I4445" s="6">
        <v>-33.591500000000003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spans="1:21" ht="12" customHeight="1">
      <c r="A4446" s="4">
        <v>8323</v>
      </c>
      <c r="B4446" s="4">
        <v>59491</v>
      </c>
      <c r="C4446" s="5">
        <f t="shared" si="1866"/>
        <v>40992</v>
      </c>
      <c r="D4446" s="4" t="s">
        <v>30</v>
      </c>
      <c r="E4446" s="4">
        <v>6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spans="1:21" ht="12" customHeight="1">
      <c r="A4447" s="4">
        <v>8324</v>
      </c>
      <c r="B4447" s="4">
        <v>59491</v>
      </c>
      <c r="C4447" s="5">
        <f t="shared" si="1866"/>
        <v>40992</v>
      </c>
      <c r="D4447" s="4" t="s">
        <v>30</v>
      </c>
      <c r="E4447" s="4">
        <v>46</v>
      </c>
      <c r="F4447" s="4">
        <v>562.95000000000005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0.55000000000000004</v>
      </c>
      <c r="U4447" s="5">
        <f t="shared" ref="U4447:U4448" si="1867">C4447+2</f>
        <v>40994</v>
      </c>
    </row>
    <row r="4448" spans="1:21" ht="12" customHeight="1">
      <c r="A4448" s="4">
        <v>8372</v>
      </c>
      <c r="B4448" s="4">
        <v>59809</v>
      </c>
      <c r="C4448" s="5">
        <f t="shared" ref="C4448:C4449" si="1868">DATE(2012,12,31)-664</f>
        <v>40610</v>
      </c>
      <c r="D4448" s="4" t="s">
        <v>45</v>
      </c>
      <c r="E4448" s="4">
        <v>12</v>
      </c>
      <c r="F4448" s="4">
        <v>138.66999999999999</v>
      </c>
      <c r="G4448" s="4">
        <v>0.08</v>
      </c>
      <c r="H4448" s="4" t="s">
        <v>22</v>
      </c>
      <c r="I4448" s="6">
        <v>-9.7174999999999994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7"/>
        <v>40612</v>
      </c>
    </row>
    <row r="4449" spans="1:21" ht="12" customHeight="1">
      <c r="A4449" s="4">
        <v>8373</v>
      </c>
      <c r="B4449" s="4">
        <v>59809</v>
      </c>
      <c r="C4449" s="5">
        <f t="shared" si="1868"/>
        <v>40610</v>
      </c>
      <c r="D4449" s="4" t="s">
        <v>45</v>
      </c>
      <c r="E4449" s="4">
        <v>16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69">C4449+1</f>
        <v>40611</v>
      </c>
    </row>
    <row r="4450" spans="1:21" ht="12" customHeight="1">
      <c r="A4450" s="4">
        <v>8392</v>
      </c>
      <c r="B4450" s="4">
        <v>59943</v>
      </c>
      <c r="C4450" s="5">
        <f>DATE(2012,12,31)-936</f>
        <v>40338</v>
      </c>
      <c r="D4450" s="4" t="s">
        <v>78</v>
      </c>
      <c r="E4450" s="4">
        <v>43</v>
      </c>
      <c r="F4450" s="4">
        <v>679.65</v>
      </c>
      <c r="G4450" s="4">
        <v>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69"/>
        <v>40339</v>
      </c>
    </row>
    <row r="4451" spans="1:21" ht="12" customHeight="1">
      <c r="A4451" s="4">
        <v>48</v>
      </c>
      <c r="B4451" s="4">
        <v>292</v>
      </c>
      <c r="C4451" s="5">
        <f>DATE(2012,12,31)-354</f>
        <v>40920</v>
      </c>
      <c r="D4451" s="4" t="s">
        <v>30</v>
      </c>
      <c r="E4451" s="4">
        <v>43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69"/>
        <v>40921</v>
      </c>
    </row>
    <row r="4452" spans="1:21" ht="12" customHeight="1">
      <c r="A4452" s="4">
        <v>426</v>
      </c>
      <c r="B4452" s="4">
        <v>2852</v>
      </c>
      <c r="C4452" s="5">
        <f t="shared" ref="C4452:C4453" si="1870">DATE(2012,12,31)-1081</f>
        <v>40193</v>
      </c>
      <c r="D4452" s="4" t="s">
        <v>78</v>
      </c>
      <c r="E4452" s="4">
        <v>10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spans="1:21" ht="12" customHeight="1">
      <c r="A4453" s="4">
        <v>427</v>
      </c>
      <c r="B4453" s="4">
        <v>2852</v>
      </c>
      <c r="C4453" s="5">
        <f t="shared" si="1870"/>
        <v>40193</v>
      </c>
      <c r="D4453" s="4" t="s">
        <v>78</v>
      </c>
      <c r="E4453" s="4">
        <v>42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4.2300000000000004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0.56000000000000005</v>
      </c>
      <c r="U4453" s="5">
        <f>C4453+1</f>
        <v>40194</v>
      </c>
    </row>
    <row r="4454" spans="1:21" ht="12" customHeight="1">
      <c r="A4454" s="4">
        <v>626</v>
      </c>
      <c r="B4454" s="4">
        <v>4359</v>
      </c>
      <c r="C4454" s="5">
        <f>DATE(2012,12,31)-1035</f>
        <v>40239</v>
      </c>
      <c r="D4454" s="4" t="s">
        <v>78</v>
      </c>
      <c r="E4454" s="4">
        <v>21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spans="1:21" ht="12" customHeight="1">
      <c r="A4455" s="4">
        <v>1136</v>
      </c>
      <c r="B4455" s="4">
        <v>8293</v>
      </c>
      <c r="C4455" s="5">
        <f>DATE(2012,12,31)-143</f>
        <v>41131</v>
      </c>
      <c r="D4455" s="4" t="s">
        <v>21</v>
      </c>
      <c r="E4455" s="4">
        <v>22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spans="1:21" ht="12" customHeight="1">
      <c r="A4456" s="4">
        <v>1254</v>
      </c>
      <c r="B4456" s="4">
        <v>9095</v>
      </c>
      <c r="C4456" s="5">
        <f>DATE(2012,12,31)-570</f>
        <v>40704</v>
      </c>
      <c r="D4456" s="4" t="s">
        <v>30</v>
      </c>
      <c r="E4456" s="4">
        <v>23</v>
      </c>
      <c r="F4456" s="4">
        <v>294.91000000000003</v>
      </c>
      <c r="G4456" s="4">
        <v>0.03</v>
      </c>
      <c r="H4456" s="4" t="s">
        <v>22</v>
      </c>
      <c r="I4456" s="6">
        <v>-37.270000000000003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0.56999999999999995</v>
      </c>
      <c r="U4456" s="5">
        <f t="shared" ref="U4456:U4457" si="1871">C4456+2</f>
        <v>40706</v>
      </c>
    </row>
    <row r="4457" spans="1:21" ht="12" customHeight="1">
      <c r="A4457" s="4">
        <v>1276</v>
      </c>
      <c r="B4457" s="4">
        <v>9254</v>
      </c>
      <c r="C4457" s="5">
        <f>DATE(2012,12,31)-962</f>
        <v>40312</v>
      </c>
      <c r="D4457" s="4" t="s">
        <v>63</v>
      </c>
      <c r="E4457" s="4">
        <v>24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1"/>
        <v>40314</v>
      </c>
    </row>
    <row r="4458" spans="1:21" ht="12" customHeight="1">
      <c r="A4458" s="4">
        <v>1346</v>
      </c>
      <c r="B4458" s="4">
        <v>9829</v>
      </c>
      <c r="C4458" s="5">
        <f t="shared" ref="C4458:C4459" si="1872">DATE(2012,12,31)-389</f>
        <v>40885</v>
      </c>
      <c r="D4458" s="4" t="s">
        <v>78</v>
      </c>
      <c r="E4458" s="4">
        <v>23</v>
      </c>
      <c r="F4458" s="4">
        <v>750.39</v>
      </c>
      <c r="G4458" s="4">
        <v>0.04</v>
      </c>
      <c r="H4458" s="4" t="s">
        <v>22</v>
      </c>
      <c r="I4458" s="6">
        <v>133.70500000000001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spans="1:21" ht="12" customHeight="1">
      <c r="A4459" s="4">
        <v>1347</v>
      </c>
      <c r="B4459" s="4">
        <v>9829</v>
      </c>
      <c r="C4459" s="5">
        <f t="shared" si="1872"/>
        <v>40885</v>
      </c>
      <c r="D4459" s="4" t="s">
        <v>78</v>
      </c>
      <c r="E4459" s="4">
        <v>4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3">C4459+2</f>
        <v>40887</v>
      </c>
    </row>
    <row r="4460" spans="1:21" ht="12" customHeight="1">
      <c r="A4460" s="4">
        <v>1492</v>
      </c>
      <c r="B4460" s="4">
        <v>10754</v>
      </c>
      <c r="C4460" s="5">
        <f>DATE(2012,12,31)-1020</f>
        <v>40254</v>
      </c>
      <c r="D4460" s="4" t="s">
        <v>21</v>
      </c>
      <c r="E4460" s="4">
        <v>7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3"/>
        <v>40256</v>
      </c>
    </row>
    <row r="4461" spans="1:21" ht="12" customHeight="1">
      <c r="A4461" s="4">
        <v>1541</v>
      </c>
      <c r="B4461" s="4">
        <v>11109</v>
      </c>
      <c r="C4461" s="5">
        <f>DATE(2012,12,31)-657</f>
        <v>40617</v>
      </c>
      <c r="D4461" s="4" t="s">
        <v>63</v>
      </c>
      <c r="E4461" s="4">
        <v>18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4">C4461+1</f>
        <v>40618</v>
      </c>
    </row>
    <row r="4462" spans="1:21" ht="12" customHeight="1">
      <c r="A4462" s="4">
        <v>1825</v>
      </c>
      <c r="B4462" s="4">
        <v>13094</v>
      </c>
      <c r="C4462" s="5">
        <f>DATE(2012,12,31)-866</f>
        <v>40408</v>
      </c>
      <c r="D4462" s="4" t="s">
        <v>45</v>
      </c>
      <c r="E4462" s="4">
        <v>7</v>
      </c>
      <c r="F4462" s="4">
        <v>283.57</v>
      </c>
      <c r="G4462" s="4">
        <v>0.02</v>
      </c>
      <c r="H4462" s="4" t="s">
        <v>22</v>
      </c>
      <c r="I4462" s="6">
        <v>71.209999999999994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4"/>
        <v>40409</v>
      </c>
    </row>
    <row r="4463" spans="1:21" ht="12" customHeight="1">
      <c r="A4463" s="4">
        <v>2157</v>
      </c>
      <c r="B4463" s="4">
        <v>15462</v>
      </c>
      <c r="C4463" s="5">
        <f>DATE(2012,12,31)-674</f>
        <v>40600</v>
      </c>
      <c r="D4463" s="4" t="s">
        <v>78</v>
      </c>
      <c r="E4463" s="4">
        <v>20</v>
      </c>
      <c r="F4463" s="4">
        <v>862.64</v>
      </c>
      <c r="G4463" s="4">
        <v>0.08</v>
      </c>
      <c r="H4463" s="4" t="s">
        <v>22</v>
      </c>
      <c r="I4463" s="6">
        <v>320.80700000000002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4"/>
        <v>40601</v>
      </c>
    </row>
    <row r="4464" spans="1:21" ht="12" customHeight="1">
      <c r="A4464" s="4">
        <v>2181</v>
      </c>
      <c r="B4464" s="4">
        <v>15715</v>
      </c>
      <c r="C4464" s="5">
        <f>DATE(2012,12,31)-77</f>
        <v>41197</v>
      </c>
      <c r="D4464" s="4" t="s">
        <v>78</v>
      </c>
      <c r="E4464" s="4">
        <v>43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spans="1:21" ht="12" customHeight="1">
      <c r="A4465" s="4">
        <v>2231</v>
      </c>
      <c r="B4465" s="4">
        <v>16128</v>
      </c>
      <c r="C4465" s="5">
        <f>DATE(2012,12,31)-603</f>
        <v>40671</v>
      </c>
      <c r="D4465" s="4" t="s">
        <v>30</v>
      </c>
      <c r="E4465" s="4">
        <v>46</v>
      </c>
      <c r="F4465" s="4">
        <v>2968.66</v>
      </c>
      <c r="G4465" s="4">
        <v>7.0000000000000007E-2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spans="1:21" ht="12" customHeight="1">
      <c r="A4466" s="4">
        <v>2300</v>
      </c>
      <c r="B4466" s="4">
        <v>16579</v>
      </c>
      <c r="C4466" s="5">
        <f t="shared" ref="C4466:C4467" si="1875">DATE(2012,12,31)-750</f>
        <v>40524</v>
      </c>
      <c r="D4466" s="4" t="s">
        <v>45</v>
      </c>
      <c r="E4466" s="4">
        <v>33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6">C4466+1</f>
        <v>40525</v>
      </c>
    </row>
    <row r="4467" spans="1:21" ht="12" customHeight="1">
      <c r="A4467" s="4">
        <v>2301</v>
      </c>
      <c r="B4467" s="4">
        <v>16579</v>
      </c>
      <c r="C4467" s="5">
        <f t="shared" si="1875"/>
        <v>40524</v>
      </c>
      <c r="D4467" s="4" t="s">
        <v>45</v>
      </c>
      <c r="E4467" s="4">
        <v>23</v>
      </c>
      <c r="F4467" s="4">
        <v>177.23</v>
      </c>
      <c r="G4467" s="4">
        <v>7.0000000000000007E-2</v>
      </c>
      <c r="H4467" s="4" t="s">
        <v>22</v>
      </c>
      <c r="I4467" s="6">
        <v>4.9400000000000004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6"/>
        <v>40525</v>
      </c>
    </row>
    <row r="4468" spans="1:21" ht="12" customHeight="1">
      <c r="A4468" s="4">
        <v>2348</v>
      </c>
      <c r="B4468" s="4">
        <v>16935</v>
      </c>
      <c r="C4468" s="5">
        <f t="shared" ref="C4468:C4469" si="1877">DATE(2012,12,31)-16</f>
        <v>41258</v>
      </c>
      <c r="D4468" s="4" t="s">
        <v>45</v>
      </c>
      <c r="E4468" s="4">
        <v>3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4.4800000000000004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6"/>
        <v>41259</v>
      </c>
    </row>
    <row r="4469" spans="1:21" ht="12" customHeight="1">
      <c r="A4469" s="4">
        <v>2349</v>
      </c>
      <c r="B4469" s="4">
        <v>16935</v>
      </c>
      <c r="C4469" s="5">
        <f t="shared" si="1877"/>
        <v>41258</v>
      </c>
      <c r="D4469" s="4" t="s">
        <v>45</v>
      </c>
      <c r="E4469" s="4">
        <v>43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0.56000000000000005</v>
      </c>
      <c r="U4469" s="5">
        <f>C4469+2</f>
        <v>41260</v>
      </c>
    </row>
    <row r="4470" spans="1:21" ht="12" customHeight="1">
      <c r="A4470" s="4">
        <v>2620</v>
      </c>
      <c r="B4470" s="4">
        <v>18946</v>
      </c>
      <c r="C4470" s="5">
        <f>DATE(2012,12,31)-972</f>
        <v>40302</v>
      </c>
      <c r="D4470" s="4" t="s">
        <v>78</v>
      </c>
      <c r="E4470" s="4">
        <v>32</v>
      </c>
      <c r="F4470" s="4">
        <v>202.89</v>
      </c>
      <c r="G4470" s="4">
        <v>7.0000000000000007E-2</v>
      </c>
      <c r="H4470" s="4" t="s">
        <v>22</v>
      </c>
      <c r="I4470" s="6">
        <v>-201.91</v>
      </c>
      <c r="J4470" s="4">
        <v>6.48</v>
      </c>
      <c r="K4470" s="4">
        <v>10.050000000000001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spans="1:21" ht="12" customHeight="1">
      <c r="A4471" s="4">
        <v>2675</v>
      </c>
      <c r="B4471" s="4">
        <v>19361</v>
      </c>
      <c r="C4471" s="5">
        <f>DATE(2012,12,31)-99</f>
        <v>41175</v>
      </c>
      <c r="D4471" s="4" t="s">
        <v>21</v>
      </c>
      <c r="E4471" s="4">
        <v>21</v>
      </c>
      <c r="F4471" s="4">
        <v>535.57000000000005</v>
      </c>
      <c r="G4471" s="4">
        <v>0.05</v>
      </c>
      <c r="H4471" s="4" t="s">
        <v>22</v>
      </c>
      <c r="I4471" s="6">
        <v>131.05000000000001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spans="1:21" ht="12" customHeight="1">
      <c r="A4472" s="4">
        <v>2813</v>
      </c>
      <c r="B4472" s="4">
        <v>20292</v>
      </c>
      <c r="C4472" s="5">
        <f t="shared" ref="C4472:C4473" si="1878">DATE(2012,12,31)-53</f>
        <v>41221</v>
      </c>
      <c r="D4472" s="4" t="s">
        <v>63</v>
      </c>
      <c r="E4472" s="4">
        <v>26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spans="1:21" ht="12" customHeight="1">
      <c r="A4473" s="4">
        <v>2814</v>
      </c>
      <c r="B4473" s="4">
        <v>20292</v>
      </c>
      <c r="C4473" s="5">
        <f t="shared" si="1878"/>
        <v>41221</v>
      </c>
      <c r="D4473" s="4" t="s">
        <v>63</v>
      </c>
      <c r="E4473" s="4">
        <v>5</v>
      </c>
      <c r="F4473" s="4">
        <v>117.13</v>
      </c>
      <c r="G4473" s="4">
        <v>0</v>
      </c>
      <c r="H4473" s="4" t="s">
        <v>22</v>
      </c>
      <c r="I4473" s="6">
        <v>-70.47</v>
      </c>
      <c r="J4473" s="4">
        <v>20.95</v>
      </c>
      <c r="K4473" s="4">
        <v>4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79">C4473+1</f>
        <v>41222</v>
      </c>
    </row>
    <row r="4474" spans="1:21" ht="12" customHeight="1">
      <c r="A4474" s="4">
        <v>3045</v>
      </c>
      <c r="B4474" s="4">
        <v>21860</v>
      </c>
      <c r="C4474" s="5">
        <f>DATE(2012,12,31)-247</f>
        <v>41027</v>
      </c>
      <c r="D4474" s="4" t="s">
        <v>78</v>
      </c>
      <c r="E4474" s="4">
        <v>9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79"/>
        <v>41028</v>
      </c>
    </row>
    <row r="4475" spans="1:21" ht="12" customHeight="1">
      <c r="A4475" s="4">
        <v>3189</v>
      </c>
      <c r="B4475" s="4">
        <v>22882</v>
      </c>
      <c r="C4475" s="5">
        <f>DATE(2012,12,31)-840</f>
        <v>40434</v>
      </c>
      <c r="D4475" s="4" t="s">
        <v>78</v>
      </c>
      <c r="E4475" s="4">
        <v>10</v>
      </c>
      <c r="F4475" s="4">
        <v>71.239999999999995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0">C4475+2</f>
        <v>40436</v>
      </c>
    </row>
    <row r="4476" spans="1:21" ht="12" customHeight="1">
      <c r="A4476" s="4">
        <v>3480</v>
      </c>
      <c r="B4476" s="4">
        <v>24775</v>
      </c>
      <c r="C4476" s="5">
        <f t="shared" ref="C4476:C4477" si="1881">DATE(2012,12,31)-318</f>
        <v>40956</v>
      </c>
      <c r="D4476" s="4" t="s">
        <v>78</v>
      </c>
      <c r="E4476" s="4">
        <v>15</v>
      </c>
      <c r="F4476" s="4">
        <v>1616.66</v>
      </c>
      <c r="G4476" s="4">
        <v>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0"/>
        <v>40958</v>
      </c>
    </row>
    <row r="4477" spans="1:21" ht="12" customHeight="1">
      <c r="A4477" s="4">
        <v>3481</v>
      </c>
      <c r="B4477" s="4">
        <v>24775</v>
      </c>
      <c r="C4477" s="5">
        <f t="shared" si="1881"/>
        <v>40956</v>
      </c>
      <c r="D4477" s="4" t="s">
        <v>78</v>
      </c>
      <c r="E4477" s="4">
        <v>6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spans="1:21" ht="12" customHeight="1">
      <c r="A4478" s="4">
        <v>3608</v>
      </c>
      <c r="B4478" s="4">
        <v>25799</v>
      </c>
      <c r="C4478" s="5">
        <f>DATE(2012,12,31)-676</f>
        <v>40598</v>
      </c>
      <c r="D4478" s="4" t="s">
        <v>21</v>
      </c>
      <c r="E4478" s="4">
        <v>38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spans="1:21" ht="12" customHeight="1">
      <c r="A4479" s="4">
        <v>4000</v>
      </c>
      <c r="B4479" s="4">
        <v>28545</v>
      </c>
      <c r="C4479" s="5">
        <f>DATE(2012,12,31)-496</f>
        <v>40778</v>
      </c>
      <c r="D4479" s="4" t="s">
        <v>30</v>
      </c>
      <c r="E4479" s="4">
        <v>15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19.989999999999998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0.56999999999999995</v>
      </c>
      <c r="U4479" s="5">
        <f t="shared" ref="U4479:U4480" si="1882">C4479+1</f>
        <v>40779</v>
      </c>
    </row>
    <row r="4480" spans="1:21" ht="12" customHeight="1">
      <c r="A4480" s="4">
        <v>4060</v>
      </c>
      <c r="B4480" s="4">
        <v>28929</v>
      </c>
      <c r="C4480" s="5">
        <f t="shared" ref="C4480:C4481" si="1883">DATE(2012,12,31)-83</f>
        <v>41191</v>
      </c>
      <c r="D4480" s="4" t="s">
        <v>63</v>
      </c>
      <c r="E4480" s="4">
        <v>37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2"/>
        <v>41192</v>
      </c>
    </row>
    <row r="4481" spans="1:21" ht="12" customHeight="1">
      <c r="A4481" s="4">
        <v>4061</v>
      </c>
      <c r="B4481" s="4">
        <v>28929</v>
      </c>
      <c r="C4481" s="5">
        <f t="shared" si="1883"/>
        <v>41191</v>
      </c>
      <c r="D4481" s="4" t="s">
        <v>63</v>
      </c>
      <c r="E4481" s="4">
        <v>46</v>
      </c>
      <c r="F4481" s="4">
        <v>723.17</v>
      </c>
      <c r="G4481" s="4">
        <v>0.09</v>
      </c>
      <c r="H4481" s="4" t="s">
        <v>22</v>
      </c>
      <c r="I4481" s="6">
        <v>-154.11000000000001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spans="1:21" ht="12" customHeight="1">
      <c r="A4482" s="4">
        <v>4331</v>
      </c>
      <c r="B4482" s="4">
        <v>30853</v>
      </c>
      <c r="C4482" s="5">
        <f>DATE(2012,12,31)-523</f>
        <v>40751</v>
      </c>
      <c r="D4482" s="4" t="s">
        <v>63</v>
      </c>
      <c r="E4482" s="4">
        <v>40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spans="1:21" ht="12" customHeight="1">
      <c r="A4483" s="4">
        <v>4345</v>
      </c>
      <c r="B4483" s="4">
        <v>30944</v>
      </c>
      <c r="C4483" s="5">
        <f>DATE(2012,12,31)-558</f>
        <v>40716</v>
      </c>
      <c r="D4483" s="4" t="s">
        <v>78</v>
      </c>
      <c r="E4483" s="4">
        <v>32</v>
      </c>
      <c r="F4483" s="4">
        <v>546.01</v>
      </c>
      <c r="G4483" s="4">
        <v>0.01</v>
      </c>
      <c r="H4483" s="4" t="s">
        <v>22</v>
      </c>
      <c r="I4483" s="6">
        <v>133.56049999999999</v>
      </c>
      <c r="J4483" s="4">
        <v>16.739999999999998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4">C4483+1</f>
        <v>40717</v>
      </c>
    </row>
    <row r="4484" spans="1:21" ht="12" customHeight="1">
      <c r="A4484" s="4">
        <v>4869</v>
      </c>
      <c r="B4484" s="4">
        <v>34660</v>
      </c>
      <c r="C4484" s="5">
        <f t="shared" ref="C4484:C4485" si="1885">DATE(2012,12,31)-485</f>
        <v>40789</v>
      </c>
      <c r="D4484" s="4" t="s">
        <v>45</v>
      </c>
      <c r="E4484" s="4">
        <v>4</v>
      </c>
      <c r="F4484" s="4">
        <v>24.77</v>
      </c>
      <c r="G4484" s="4">
        <v>0.1</v>
      </c>
      <c r="H4484" s="4" t="s">
        <v>22</v>
      </c>
      <c r="I4484" s="6">
        <v>-17.065999999999999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4"/>
        <v>40790</v>
      </c>
    </row>
    <row r="4485" spans="1:21" ht="12" customHeight="1">
      <c r="A4485" s="4">
        <v>4870</v>
      </c>
      <c r="B4485" s="4">
        <v>34660</v>
      </c>
      <c r="C4485" s="5">
        <f t="shared" si="1885"/>
        <v>40789</v>
      </c>
      <c r="D4485" s="4" t="s">
        <v>45</v>
      </c>
      <c r="E4485" s="4">
        <v>36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6">C4485+2</f>
        <v>40791</v>
      </c>
    </row>
    <row r="4486" spans="1:21" ht="12" customHeight="1">
      <c r="A4486" s="4">
        <v>4977</v>
      </c>
      <c r="B4486" s="4">
        <v>35425</v>
      </c>
      <c r="C4486" s="5">
        <f t="shared" ref="C4486:C4487" si="1887">DATE(2012,12,31)-1009</f>
        <v>40265</v>
      </c>
      <c r="D4486" s="4" t="s">
        <v>45</v>
      </c>
      <c r="E4486" s="4">
        <v>25</v>
      </c>
      <c r="F4486" s="4">
        <v>100.34</v>
      </c>
      <c r="G4486" s="4">
        <v>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6"/>
        <v>40267</v>
      </c>
    </row>
    <row r="4487" spans="1:21" ht="12" customHeight="1">
      <c r="A4487" s="4">
        <v>4978</v>
      </c>
      <c r="B4487" s="4">
        <v>35425</v>
      </c>
      <c r="C4487" s="5">
        <f t="shared" si="1887"/>
        <v>40265</v>
      </c>
      <c r="D4487" s="4" t="s">
        <v>45</v>
      </c>
      <c r="E4487" s="4">
        <v>45</v>
      </c>
      <c r="F4487" s="4">
        <v>75.680000000000007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6"/>
        <v>40267</v>
      </c>
    </row>
    <row r="4488" spans="1:21" ht="12" customHeight="1">
      <c r="A4488" s="4">
        <v>5251</v>
      </c>
      <c r="B4488" s="4">
        <v>37350</v>
      </c>
      <c r="C4488" s="5">
        <f>DATE(2012,12,31)-225</f>
        <v>41049</v>
      </c>
      <c r="D4488" s="4" t="s">
        <v>78</v>
      </c>
      <c r="E4488" s="4">
        <v>7</v>
      </c>
      <c r="F4488" s="4">
        <v>163.13999999999999</v>
      </c>
      <c r="G4488" s="4">
        <v>7.0000000000000007E-2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0.56999999999999995</v>
      </c>
      <c r="U4488" s="5">
        <f>C4488+1</f>
        <v>41050</v>
      </c>
    </row>
    <row r="4489" spans="1:21" ht="12" customHeight="1">
      <c r="A4489" s="4">
        <v>5307</v>
      </c>
      <c r="B4489" s="4">
        <v>37765</v>
      </c>
      <c r="C4489" s="5">
        <f t="shared" ref="C4489:C4491" si="1888">DATE(2012,12,31)-37</f>
        <v>41237</v>
      </c>
      <c r="D4489" s="4" t="s">
        <v>21</v>
      </c>
      <c r="E4489" s="4">
        <v>7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4.0599999999999996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spans="1:21" ht="12" customHeight="1">
      <c r="A4490" s="4">
        <v>5308</v>
      </c>
      <c r="B4490" s="4">
        <v>37765</v>
      </c>
      <c r="C4490" s="5">
        <f t="shared" si="1888"/>
        <v>41237</v>
      </c>
      <c r="D4490" s="4" t="s">
        <v>21</v>
      </c>
      <c r="E4490" s="4">
        <v>18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spans="1:21" ht="12" customHeight="1">
      <c r="A4491" s="4">
        <v>5309</v>
      </c>
      <c r="B4491" s="4">
        <v>37765</v>
      </c>
      <c r="C4491" s="5">
        <f t="shared" si="1888"/>
        <v>41237</v>
      </c>
      <c r="D4491" s="4" t="s">
        <v>21</v>
      </c>
      <c r="E4491" s="4">
        <v>12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spans="1:21" ht="12" customHeight="1">
      <c r="A4492" s="4">
        <v>5354</v>
      </c>
      <c r="B4492" s="4">
        <v>38050</v>
      </c>
      <c r="C4492" s="5">
        <f t="shared" ref="C4492:C4494" si="1889">DATE(2012,12,31)-797</f>
        <v>40477</v>
      </c>
      <c r="D4492" s="4" t="s">
        <v>45</v>
      </c>
      <c r="E4492" s="4">
        <v>31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spans="1:21" ht="12" customHeight="1">
      <c r="A4493" s="4">
        <v>5355</v>
      </c>
      <c r="B4493" s="4">
        <v>38050</v>
      </c>
      <c r="C4493" s="5">
        <f t="shared" si="1889"/>
        <v>40477</v>
      </c>
      <c r="D4493" s="4" t="s">
        <v>45</v>
      </c>
      <c r="E4493" s="4">
        <v>36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0.56000000000000005</v>
      </c>
      <c r="U4493" s="5">
        <f t="shared" ref="U4493:U4494" si="1890">C4493+2</f>
        <v>40479</v>
      </c>
    </row>
    <row r="4494" spans="1:21" ht="12" customHeight="1">
      <c r="A4494" s="4">
        <v>5356</v>
      </c>
      <c r="B4494" s="4">
        <v>38050</v>
      </c>
      <c r="C4494" s="5">
        <f t="shared" si="1889"/>
        <v>40477</v>
      </c>
      <c r="D4494" s="4" t="s">
        <v>45</v>
      </c>
      <c r="E4494" s="4">
        <v>14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0"/>
        <v>40479</v>
      </c>
    </row>
    <row r="4495" spans="1:21" ht="12" customHeight="1">
      <c r="A4495" s="4">
        <v>5507</v>
      </c>
      <c r="B4495" s="4">
        <v>39043</v>
      </c>
      <c r="C4495" s="5">
        <f t="shared" ref="C4495:C4496" si="1891">DATE(2012,12,31)-740</f>
        <v>40534</v>
      </c>
      <c r="D4495" s="4" t="s">
        <v>45</v>
      </c>
      <c r="E4495" s="4">
        <v>14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2">C4495+1</f>
        <v>40535</v>
      </c>
    </row>
    <row r="4496" spans="1:21" ht="12" customHeight="1">
      <c r="A4496" s="4">
        <v>5508</v>
      </c>
      <c r="B4496" s="4">
        <v>39043</v>
      </c>
      <c r="C4496" s="5">
        <f t="shared" si="1891"/>
        <v>40534</v>
      </c>
      <c r="D4496" s="4" t="s">
        <v>45</v>
      </c>
      <c r="E4496" s="4">
        <v>37</v>
      </c>
      <c r="F4496" s="4">
        <v>750.89</v>
      </c>
      <c r="G4496" s="4">
        <v>7.0000000000000007E-2</v>
      </c>
      <c r="H4496" s="4" t="s">
        <v>56</v>
      </c>
      <c r="I4496" s="6">
        <v>-1176.28</v>
      </c>
      <c r="J4496" s="4">
        <v>20.34</v>
      </c>
      <c r="K4496" s="4">
        <v>35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2"/>
        <v>40535</v>
      </c>
    </row>
    <row r="4497" spans="1:21" ht="12" customHeight="1">
      <c r="A4497" s="4">
        <v>5709</v>
      </c>
      <c r="B4497" s="4">
        <v>40388</v>
      </c>
      <c r="C4497" s="5">
        <f>DATE(2012,12,31)-160</f>
        <v>41114</v>
      </c>
      <c r="D4497" s="4" t="s">
        <v>78</v>
      </c>
      <c r="E4497" s="4">
        <v>17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0.56000000000000005</v>
      </c>
      <c r="U4497" s="5">
        <f>C4497+2</f>
        <v>41116</v>
      </c>
    </row>
    <row r="4498" spans="1:21" ht="12" customHeight="1">
      <c r="A4498" s="4">
        <v>6033</v>
      </c>
      <c r="B4498" s="4">
        <v>42727</v>
      </c>
      <c r="C4498" s="5">
        <f t="shared" ref="C4498:C4499" si="1893">DATE(2012,12,31)-612</f>
        <v>40662</v>
      </c>
      <c r="D4498" s="4" t="s">
        <v>45</v>
      </c>
      <c r="E4498" s="4">
        <v>11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4">C4498+1</f>
        <v>40663</v>
      </c>
    </row>
    <row r="4499" spans="1:21" ht="12" customHeight="1">
      <c r="A4499" s="4">
        <v>6034</v>
      </c>
      <c r="B4499" s="4">
        <v>42727</v>
      </c>
      <c r="C4499" s="5">
        <f t="shared" si="1893"/>
        <v>40662</v>
      </c>
      <c r="D4499" s="4" t="s">
        <v>45</v>
      </c>
      <c r="E4499" s="4">
        <v>21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8.4499999999999993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0.55000000000000004</v>
      </c>
      <c r="U4499" s="5">
        <f t="shared" si="1894"/>
        <v>40663</v>
      </c>
    </row>
    <row r="4500" spans="1:21" ht="12" customHeight="1">
      <c r="A4500" s="4">
        <v>6124</v>
      </c>
      <c r="B4500" s="4">
        <v>43363</v>
      </c>
      <c r="C4500" s="5">
        <f>DATE(2012,12,31)-483</f>
        <v>40791</v>
      </c>
      <c r="D4500" s="4" t="s">
        <v>78</v>
      </c>
      <c r="E4500" s="4">
        <v>35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0.55000000000000004</v>
      </c>
      <c r="U4500" s="5">
        <f>C4500+2</f>
        <v>40793</v>
      </c>
    </row>
    <row r="4501" spans="1:21" ht="12" customHeight="1">
      <c r="A4501" s="4">
        <v>6153</v>
      </c>
      <c r="B4501" s="4">
        <v>43556</v>
      </c>
      <c r="C4501" s="5">
        <f>DATE(2012,12,31)-162</f>
        <v>41112</v>
      </c>
      <c r="D4501" s="4" t="s">
        <v>21</v>
      </c>
      <c r="E4501" s="4">
        <v>31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spans="1:21" ht="12" customHeight="1">
      <c r="A4502" s="4">
        <v>6364</v>
      </c>
      <c r="B4502" s="4">
        <v>45156</v>
      </c>
      <c r="C4502" s="5">
        <f t="shared" ref="C4502:C4504" si="1895">DATE(2012,12,31)-688</f>
        <v>40586</v>
      </c>
      <c r="D4502" s="4" t="s">
        <v>21</v>
      </c>
      <c r="E4502" s="4">
        <v>30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0.57999999999999996</v>
      </c>
      <c r="U4502" s="5">
        <f>C4502+0</f>
        <v>40586</v>
      </c>
    </row>
    <row r="4503" spans="1:21" ht="12" customHeight="1">
      <c r="A4503" s="4">
        <v>6365</v>
      </c>
      <c r="B4503" s="4">
        <v>45156</v>
      </c>
      <c r="C4503" s="5">
        <f t="shared" si="1895"/>
        <v>40586</v>
      </c>
      <c r="D4503" s="4" t="s">
        <v>21</v>
      </c>
      <c r="E4503" s="4">
        <v>35</v>
      </c>
      <c r="F4503" s="4">
        <v>238.08</v>
      </c>
      <c r="G4503" s="4">
        <v>7.0000000000000007E-2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spans="1:21" ht="12" customHeight="1">
      <c r="A4504" s="4">
        <v>6366</v>
      </c>
      <c r="B4504" s="4">
        <v>45156</v>
      </c>
      <c r="C4504" s="5">
        <f t="shared" si="1895"/>
        <v>40586</v>
      </c>
      <c r="D4504" s="4" t="s">
        <v>21</v>
      </c>
      <c r="E4504" s="4">
        <v>14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spans="1:21" ht="12" customHeight="1">
      <c r="A4505" s="4">
        <v>6609</v>
      </c>
      <c r="B4505" s="4">
        <v>47014</v>
      </c>
      <c r="C4505" s="5">
        <f>DATE(2012,12,31)-232</f>
        <v>41042</v>
      </c>
      <c r="D4505" s="4" t="s">
        <v>78</v>
      </c>
      <c r="E4505" s="4">
        <v>33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6">C4505+2</f>
        <v>41044</v>
      </c>
    </row>
    <row r="4506" spans="1:21" ht="12" customHeight="1">
      <c r="A4506" s="4">
        <v>6733</v>
      </c>
      <c r="B4506" s="4">
        <v>47942</v>
      </c>
      <c r="C4506" s="5">
        <f t="shared" ref="C4506:C4508" si="1897">DATE(2012,12,31)-1038</f>
        <v>40236</v>
      </c>
      <c r="D4506" s="4" t="s">
        <v>63</v>
      </c>
      <c r="E4506" s="4">
        <v>30</v>
      </c>
      <c r="F4506" s="4">
        <v>17034.919999999998</v>
      </c>
      <c r="G4506" s="4">
        <v>0.09</v>
      </c>
      <c r="H4506" s="4" t="s">
        <v>22</v>
      </c>
      <c r="I4506" s="6">
        <v>5916.3429999999998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6"/>
        <v>40238</v>
      </c>
    </row>
    <row r="4507" spans="1:21" ht="12" customHeight="1">
      <c r="A4507" s="4">
        <v>6734</v>
      </c>
      <c r="B4507" s="4">
        <v>47942</v>
      </c>
      <c r="C4507" s="5">
        <f t="shared" si="1897"/>
        <v>40236</v>
      </c>
      <c r="D4507" s="4" t="s">
        <v>63</v>
      </c>
      <c r="E4507" s="4">
        <v>3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6"/>
        <v>40238</v>
      </c>
    </row>
    <row r="4508" spans="1:21" ht="12" customHeight="1">
      <c r="A4508" s="4">
        <v>6735</v>
      </c>
      <c r="B4508" s="4">
        <v>47942</v>
      </c>
      <c r="C4508" s="5">
        <f t="shared" si="1897"/>
        <v>40236</v>
      </c>
      <c r="D4508" s="4" t="s">
        <v>63</v>
      </c>
      <c r="E4508" s="4">
        <v>9</v>
      </c>
      <c r="F4508" s="4">
        <v>918.73949999999991</v>
      </c>
      <c r="G4508" s="4">
        <v>0.06</v>
      </c>
      <c r="H4508" s="4" t="s">
        <v>56</v>
      </c>
      <c r="I4508" s="6">
        <v>-303.55599999999998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0.57999999999999996</v>
      </c>
      <c r="U4508" s="5">
        <f t="shared" ref="U4508:U4510" si="1898">C4508+1</f>
        <v>40237</v>
      </c>
    </row>
    <row r="4509" spans="1:21" ht="12" customHeight="1">
      <c r="A4509" s="4">
        <v>6755</v>
      </c>
      <c r="B4509" s="4">
        <v>48128</v>
      </c>
      <c r="C4509" s="5">
        <f>DATE(2012,12,31)-264</f>
        <v>41010</v>
      </c>
      <c r="D4509" s="4" t="s">
        <v>63</v>
      </c>
      <c r="E4509" s="4">
        <v>5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8"/>
        <v>41011</v>
      </c>
    </row>
    <row r="4510" spans="1:21" ht="12" customHeight="1">
      <c r="A4510" s="4">
        <v>6838</v>
      </c>
      <c r="B4510" s="4">
        <v>48704</v>
      </c>
      <c r="C4510" s="5">
        <f>DATE(2012,12,31)-357</f>
        <v>40917</v>
      </c>
      <c r="D4510" s="4" t="s">
        <v>30</v>
      </c>
      <c r="E4510" s="4">
        <v>11</v>
      </c>
      <c r="F4510" s="4">
        <v>1247.8595</v>
      </c>
      <c r="G4510" s="4">
        <v>0.01</v>
      </c>
      <c r="H4510" s="4" t="s">
        <v>22</v>
      </c>
      <c r="I4510" s="6">
        <v>-55.802999999999997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0.56999999999999995</v>
      </c>
      <c r="U4510" s="5">
        <f t="shared" si="1898"/>
        <v>40918</v>
      </c>
    </row>
    <row r="4511" spans="1:21" ht="12" customHeight="1">
      <c r="A4511" s="4">
        <v>6895</v>
      </c>
      <c r="B4511" s="4">
        <v>49155</v>
      </c>
      <c r="C4511" s="5">
        <f>DATE(2012,12,31)-835</f>
        <v>40439</v>
      </c>
      <c r="D4511" s="4" t="s">
        <v>21</v>
      </c>
      <c r="E4511" s="4">
        <v>22</v>
      </c>
      <c r="F4511" s="4">
        <v>3760.3065000000001</v>
      </c>
      <c r="G4511" s="4">
        <v>0.05</v>
      </c>
      <c r="H4511" s="4" t="s">
        <v>22</v>
      </c>
      <c r="I4511" s="6">
        <v>593.18100000000004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spans="1:21" ht="12" customHeight="1">
      <c r="A4512" s="4">
        <v>7024</v>
      </c>
      <c r="B4512" s="4">
        <v>50145</v>
      </c>
      <c r="C4512" s="5">
        <f t="shared" ref="C4512:C4513" si="1899">DATE(2012,12,31)-674</f>
        <v>40600</v>
      </c>
      <c r="D4512" s="4" t="s">
        <v>30</v>
      </c>
      <c r="E4512" s="4">
        <v>18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spans="1:21" ht="12" customHeight="1">
      <c r="A4513" s="4">
        <v>7025</v>
      </c>
      <c r="B4513" s="4">
        <v>50145</v>
      </c>
      <c r="C4513" s="5">
        <f t="shared" si="1899"/>
        <v>40600</v>
      </c>
      <c r="D4513" s="4" t="s">
        <v>30</v>
      </c>
      <c r="E4513" s="4">
        <v>9</v>
      </c>
      <c r="F4513" s="4">
        <v>458.8</v>
      </c>
      <c r="G4513" s="4">
        <v>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spans="1:21" ht="12" customHeight="1">
      <c r="A4514" s="4">
        <v>7080</v>
      </c>
      <c r="B4514" s="4">
        <v>50532</v>
      </c>
      <c r="C4514" s="5">
        <f t="shared" ref="C4514:C4515" si="1900">DATE(2012,12,31)-139</f>
        <v>41135</v>
      </c>
      <c r="D4514" s="4" t="s">
        <v>63</v>
      </c>
      <c r="E4514" s="4">
        <v>10</v>
      </c>
      <c r="F4514" s="4">
        <v>267.06</v>
      </c>
      <c r="G4514" s="4">
        <v>0.02</v>
      </c>
      <c r="H4514" s="4" t="s">
        <v>22</v>
      </c>
      <c r="I4514" s="6">
        <v>76.465999999999994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spans="1:21" ht="12" customHeight="1">
      <c r="A4515" s="4">
        <v>7081</v>
      </c>
      <c r="B4515" s="4">
        <v>50532</v>
      </c>
      <c r="C4515" s="5">
        <f t="shared" si="1900"/>
        <v>41135</v>
      </c>
      <c r="D4515" s="4" t="s">
        <v>63</v>
      </c>
      <c r="E4515" s="4">
        <v>22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1">C4515+1</f>
        <v>41136</v>
      </c>
    </row>
    <row r="4516" spans="1:21" ht="12" customHeight="1">
      <c r="A4516" s="4">
        <v>7208</v>
      </c>
      <c r="B4516" s="4">
        <v>51426</v>
      </c>
      <c r="C4516" s="5">
        <f>DATE(2012,12,31)-761</f>
        <v>40513</v>
      </c>
      <c r="D4516" s="4" t="s">
        <v>63</v>
      </c>
      <c r="E4516" s="4">
        <v>41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1"/>
        <v>40514</v>
      </c>
    </row>
    <row r="4517" spans="1:21" ht="12" customHeight="1">
      <c r="A4517" s="4">
        <v>7704</v>
      </c>
      <c r="B4517" s="4">
        <v>55234</v>
      </c>
      <c r="C4517" s="5">
        <f t="shared" ref="C4517:C4518" si="1902">DATE(2012,12,31)-887</f>
        <v>40387</v>
      </c>
      <c r="D4517" s="4" t="s">
        <v>21</v>
      </c>
      <c r="E4517" s="4">
        <v>12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spans="1:21" ht="12" customHeight="1">
      <c r="A4518" s="4">
        <v>7705</v>
      </c>
      <c r="B4518" s="4">
        <v>55234</v>
      </c>
      <c r="C4518" s="5">
        <f t="shared" si="1902"/>
        <v>40387</v>
      </c>
      <c r="D4518" s="4" t="s">
        <v>21</v>
      </c>
      <c r="E4518" s="4">
        <v>5</v>
      </c>
      <c r="F4518" s="4">
        <v>17.059999999999999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2.0299999999999998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0.56999999999999995</v>
      </c>
      <c r="U4518" s="5">
        <f>C4518+2</f>
        <v>40389</v>
      </c>
    </row>
    <row r="4519" spans="1:21" ht="12" customHeight="1">
      <c r="A4519" s="4">
        <v>7782</v>
      </c>
      <c r="B4519" s="4">
        <v>55683</v>
      </c>
      <c r="C4519" s="5">
        <f>DATE(2012,12,31)-169</f>
        <v>41105</v>
      </c>
      <c r="D4519" s="4" t="s">
        <v>30</v>
      </c>
      <c r="E4519" s="4">
        <v>23</v>
      </c>
      <c r="F4519" s="4">
        <v>1198.0999999999999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19.989999999999998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0.55000000000000004</v>
      </c>
      <c r="U4519" s="5">
        <f>C4519+1</f>
        <v>41106</v>
      </c>
    </row>
    <row r="4520" spans="1:21" ht="12" customHeight="1">
      <c r="A4520" s="4">
        <v>7838</v>
      </c>
      <c r="B4520" s="4">
        <v>56032</v>
      </c>
      <c r="C4520" s="5">
        <f t="shared" ref="C4520:C4521" si="1903">DATE(2012,12,31)-378</f>
        <v>40896</v>
      </c>
      <c r="D4520" s="4" t="s">
        <v>45</v>
      </c>
      <c r="E4520" s="4">
        <v>31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spans="1:21" ht="12" customHeight="1">
      <c r="A4521" s="4">
        <v>7839</v>
      </c>
      <c r="B4521" s="4">
        <v>56032</v>
      </c>
      <c r="C4521" s="5">
        <f t="shared" si="1903"/>
        <v>40896</v>
      </c>
      <c r="D4521" s="4" t="s">
        <v>45</v>
      </c>
      <c r="E4521" s="4">
        <v>25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0.55000000000000004</v>
      </c>
      <c r="U4521" s="5">
        <f t="shared" ref="U4521:U4523" si="1904">C4521+2</f>
        <v>40898</v>
      </c>
    </row>
    <row r="4522" spans="1:21" ht="12" customHeight="1">
      <c r="A4522" s="4">
        <v>7847</v>
      </c>
      <c r="B4522" s="4">
        <v>56103</v>
      </c>
      <c r="C4522" s="5">
        <f>DATE(2012,12,31)-736</f>
        <v>40538</v>
      </c>
      <c r="D4522" s="4" t="s">
        <v>30</v>
      </c>
      <c r="E4522" s="4">
        <v>24</v>
      </c>
      <c r="F4522" s="4">
        <v>2332.5954999999999</v>
      </c>
      <c r="G4522" s="4">
        <v>7.0000000000000007E-2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0.57999999999999996</v>
      </c>
      <c r="U4522" s="5">
        <f t="shared" si="1904"/>
        <v>40540</v>
      </c>
    </row>
    <row r="4523" spans="1:21" ht="12" customHeight="1">
      <c r="A4523" s="4">
        <v>19</v>
      </c>
      <c r="B4523" s="4">
        <v>130</v>
      </c>
      <c r="C4523" s="5">
        <f t="shared" ref="C4523:C4525" si="1905">DATE(2012,12,31)-238</f>
        <v>41036</v>
      </c>
      <c r="D4523" s="4" t="s">
        <v>30</v>
      </c>
      <c r="E4523" s="4">
        <v>3</v>
      </c>
      <c r="F4523" s="4">
        <v>461.89</v>
      </c>
      <c r="G4523" s="4">
        <v>0.05</v>
      </c>
      <c r="H4523" s="4" t="s">
        <v>56</v>
      </c>
      <c r="I4523" s="6">
        <v>-309.82440000000003</v>
      </c>
      <c r="J4523" s="4">
        <v>150.97999999999999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4"/>
        <v>41038</v>
      </c>
    </row>
    <row r="4524" spans="1:21" ht="12" customHeight="1">
      <c r="A4524" s="4">
        <v>20</v>
      </c>
      <c r="B4524" s="4">
        <v>130</v>
      </c>
      <c r="C4524" s="5">
        <f t="shared" si="1905"/>
        <v>41036</v>
      </c>
      <c r="D4524" s="4" t="s">
        <v>30</v>
      </c>
      <c r="E4524" s="4">
        <v>29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9.0299999999999994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spans="1:21" ht="12" customHeight="1">
      <c r="A4525" s="4">
        <v>21</v>
      </c>
      <c r="B4525" s="4">
        <v>130</v>
      </c>
      <c r="C4525" s="5">
        <f t="shared" si="1905"/>
        <v>41036</v>
      </c>
      <c r="D4525" s="4" t="s">
        <v>30</v>
      </c>
      <c r="E4525" s="4">
        <v>23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9.7100000000000009</v>
      </c>
      <c r="K4525" s="4">
        <v>9.4499999999999993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spans="1:21" ht="12" customHeight="1">
      <c r="A4526" s="4">
        <v>126</v>
      </c>
      <c r="B4526" s="4">
        <v>805</v>
      </c>
      <c r="C4526" s="5">
        <f>DATE(2012,12,31)-546</f>
        <v>40728</v>
      </c>
      <c r="D4526" s="4" t="s">
        <v>45</v>
      </c>
      <c r="E4526" s="4">
        <v>39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spans="1:21" ht="12" customHeight="1">
      <c r="A4527" s="4">
        <v>324</v>
      </c>
      <c r="B4527" s="4">
        <v>2240</v>
      </c>
      <c r="C4527" s="5">
        <f t="shared" ref="C4527:C4528" si="1906">DATE(2012,12,31)-301</f>
        <v>40973</v>
      </c>
      <c r="D4527" s="4" t="s">
        <v>45</v>
      </c>
      <c r="E4527" s="4">
        <v>17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0.56999999999999995</v>
      </c>
      <c r="U4527" s="5">
        <f t="shared" ref="U4527:U4528" si="1907">C4527+1</f>
        <v>40974</v>
      </c>
    </row>
    <row r="4528" spans="1:21" ht="12" customHeight="1">
      <c r="A4528" s="4">
        <v>325</v>
      </c>
      <c r="B4528" s="4">
        <v>2240</v>
      </c>
      <c r="C4528" s="5">
        <f t="shared" si="1906"/>
        <v>40973</v>
      </c>
      <c r="D4528" s="4" t="s">
        <v>45</v>
      </c>
      <c r="E4528" s="4">
        <v>5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0.55000000000000004</v>
      </c>
      <c r="U4528" s="5">
        <f t="shared" si="1907"/>
        <v>40974</v>
      </c>
    </row>
    <row r="4529" spans="1:21" ht="12" customHeight="1">
      <c r="A4529" s="4">
        <v>326</v>
      </c>
      <c r="B4529" s="4">
        <v>2241</v>
      </c>
      <c r="C4529" s="5">
        <f>DATE(2012,12,31)-966</f>
        <v>40308</v>
      </c>
      <c r="D4529" s="4" t="s">
        <v>78</v>
      </c>
      <c r="E4529" s="4">
        <v>38</v>
      </c>
      <c r="F4529" s="4">
        <v>967.78</v>
      </c>
      <c r="G4529" s="4">
        <v>0.04</v>
      </c>
      <c r="H4529" s="4" t="s">
        <v>22</v>
      </c>
      <c r="I4529" s="6">
        <v>369.32499999999999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spans="1:21" ht="12" customHeight="1">
      <c r="A4530" s="4">
        <v>676</v>
      </c>
      <c r="B4530" s="4">
        <v>4737</v>
      </c>
      <c r="C4530" s="5">
        <f>DATE(2012,12,31)-1027</f>
        <v>40247</v>
      </c>
      <c r="D4530" s="4" t="s">
        <v>45</v>
      </c>
      <c r="E4530" s="4">
        <v>49</v>
      </c>
      <c r="F4530" s="4">
        <v>314.20999999999998</v>
      </c>
      <c r="G4530" s="4">
        <v>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spans="1:21" ht="12" customHeight="1">
      <c r="A4531" s="4">
        <v>727</v>
      </c>
      <c r="B4531" s="4">
        <v>5221</v>
      </c>
      <c r="C4531" s="5">
        <f>DATE(2012,12,31)-572</f>
        <v>40702</v>
      </c>
      <c r="D4531" s="4" t="s">
        <v>45</v>
      </c>
      <c r="E4531" s="4">
        <v>48</v>
      </c>
      <c r="F4531" s="4">
        <v>1347.63</v>
      </c>
      <c r="G4531" s="4">
        <v>7.0000000000000007E-2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spans="1:21" ht="12" customHeight="1">
      <c r="A4532" s="4">
        <v>781</v>
      </c>
      <c r="B4532" s="4">
        <v>5568</v>
      </c>
      <c r="C4532" s="5">
        <f>DATE(2012,12,31)-574</f>
        <v>40700</v>
      </c>
      <c r="D4532" s="4" t="s">
        <v>63</v>
      </c>
      <c r="E4532" s="4">
        <v>8</v>
      </c>
      <c r="F4532" s="4">
        <v>120.22</v>
      </c>
      <c r="G4532" s="4">
        <v>7.0000000000000007E-2</v>
      </c>
      <c r="H4532" s="4" t="s">
        <v>22</v>
      </c>
      <c r="I4532" s="6">
        <v>52.69</v>
      </c>
      <c r="J4532" s="4">
        <v>14.34</v>
      </c>
      <c r="K4532" s="4">
        <v>5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spans="1:21" ht="12" customHeight="1">
      <c r="A4533" s="4">
        <v>871</v>
      </c>
      <c r="B4533" s="4">
        <v>6272</v>
      </c>
      <c r="C4533" s="5">
        <f t="shared" ref="C4533:C4536" si="1908">DATE(2012,12,31)-1038</f>
        <v>40236</v>
      </c>
      <c r="D4533" s="4" t="s">
        <v>30</v>
      </c>
      <c r="E4533" s="4">
        <v>33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09">C4533+2</f>
        <v>40238</v>
      </c>
    </row>
    <row r="4534" spans="1:21" ht="12" customHeight="1">
      <c r="A4534" s="4">
        <v>872</v>
      </c>
      <c r="B4534" s="4">
        <v>6272</v>
      </c>
      <c r="C4534" s="5">
        <f t="shared" si="1908"/>
        <v>40236</v>
      </c>
      <c r="D4534" s="4" t="s">
        <v>30</v>
      </c>
      <c r="E4534" s="4">
        <v>48</v>
      </c>
      <c r="F4534" s="4">
        <v>4965.384</v>
      </c>
      <c r="G4534" s="4">
        <v>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09"/>
        <v>40238</v>
      </c>
    </row>
    <row r="4535" spans="1:21" ht="12" customHeight="1">
      <c r="A4535" s="4">
        <v>873</v>
      </c>
      <c r="B4535" s="4">
        <v>6272</v>
      </c>
      <c r="C4535" s="5">
        <f t="shared" si="1908"/>
        <v>40236</v>
      </c>
      <c r="D4535" s="4" t="s">
        <v>30</v>
      </c>
      <c r="E4535" s="4">
        <v>8</v>
      </c>
      <c r="F4535" s="4">
        <v>358.41950000000003</v>
      </c>
      <c r="G4535" s="4">
        <v>0.09</v>
      </c>
      <c r="H4535" s="4" t="s">
        <v>56</v>
      </c>
      <c r="I4535" s="6">
        <v>-275.05500000000001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09"/>
        <v>40238</v>
      </c>
    </row>
    <row r="4536" spans="1:21" ht="12" customHeight="1">
      <c r="A4536" s="4">
        <v>874</v>
      </c>
      <c r="B4536" s="4">
        <v>6272</v>
      </c>
      <c r="C4536" s="5">
        <f t="shared" si="1908"/>
        <v>40236</v>
      </c>
      <c r="D4536" s="4" t="s">
        <v>30</v>
      </c>
      <c r="E4536" s="4">
        <v>31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09"/>
        <v>40238</v>
      </c>
    </row>
    <row r="4537" spans="1:21" ht="12" customHeight="1">
      <c r="A4537" s="4">
        <v>904</v>
      </c>
      <c r="B4537" s="4">
        <v>6501</v>
      </c>
      <c r="C4537" s="5">
        <f t="shared" ref="C4537:C4538" si="1910">DATE(2012,12,31)-353</f>
        <v>40921</v>
      </c>
      <c r="D4537" s="4" t="s">
        <v>30</v>
      </c>
      <c r="E4537" s="4">
        <v>35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09"/>
        <v>40923</v>
      </c>
    </row>
    <row r="4538" spans="1:21" ht="12" customHeight="1">
      <c r="A4538" s="4">
        <v>905</v>
      </c>
      <c r="B4538" s="4">
        <v>6501</v>
      </c>
      <c r="C4538" s="5">
        <f t="shared" si="1910"/>
        <v>40921</v>
      </c>
      <c r="D4538" s="4" t="s">
        <v>30</v>
      </c>
      <c r="E4538" s="4">
        <v>46</v>
      </c>
      <c r="F4538" s="4">
        <v>4617.3359999999993</v>
      </c>
      <c r="G4538" s="4">
        <v>0.09</v>
      </c>
      <c r="H4538" s="4" t="s">
        <v>22</v>
      </c>
      <c r="I4538" s="6">
        <v>978.35399999999993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0.57999999999999996</v>
      </c>
      <c r="U4538" s="5">
        <f t="shared" si="1909"/>
        <v>40923</v>
      </c>
    </row>
    <row r="4539" spans="1:21" ht="12" customHeight="1">
      <c r="A4539" s="4">
        <v>908</v>
      </c>
      <c r="B4539" s="4">
        <v>6529</v>
      </c>
      <c r="C4539" s="5">
        <f>DATE(2012,12,31)-35</f>
        <v>41239</v>
      </c>
      <c r="D4539" s="4" t="s">
        <v>63</v>
      </c>
      <c r="E4539" s="4">
        <v>35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09"/>
        <v>41241</v>
      </c>
    </row>
    <row r="4540" spans="1:21" ht="12" customHeight="1">
      <c r="A4540" s="4">
        <v>994</v>
      </c>
      <c r="B4540" s="4">
        <v>7171</v>
      </c>
      <c r="C4540" s="5">
        <f t="shared" ref="C4540:C4541" si="1911">DATE(2012,12,31)-687</f>
        <v>40587</v>
      </c>
      <c r="D4540" s="4" t="s">
        <v>63</v>
      </c>
      <c r="E4540" s="4">
        <v>28</v>
      </c>
      <c r="F4540" s="4">
        <v>1703.8505</v>
      </c>
      <c r="G4540" s="4">
        <v>0</v>
      </c>
      <c r="H4540" s="4" t="s">
        <v>22</v>
      </c>
      <c r="I4540" s="6">
        <v>316.06200000000001</v>
      </c>
      <c r="J4540" s="4">
        <v>65.989999999999995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0.57999999999999996</v>
      </c>
      <c r="U4540" s="5">
        <f t="shared" si="1909"/>
        <v>40589</v>
      </c>
    </row>
    <row r="4541" spans="1:21" ht="12" customHeight="1">
      <c r="A4541" s="4">
        <v>995</v>
      </c>
      <c r="B4541" s="4">
        <v>7171</v>
      </c>
      <c r="C4541" s="5">
        <f t="shared" si="1911"/>
        <v>40587</v>
      </c>
      <c r="D4541" s="4" t="s">
        <v>63</v>
      </c>
      <c r="E4541" s="4">
        <v>17</v>
      </c>
      <c r="F4541" s="4">
        <v>303.18649999999997</v>
      </c>
      <c r="G4541" s="4">
        <v>0.02</v>
      </c>
      <c r="H4541" s="4" t="s">
        <v>22</v>
      </c>
      <c r="I4541" s="6">
        <v>92.591999999999999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09"/>
        <v>40589</v>
      </c>
    </row>
    <row r="4542" spans="1:21" ht="12" customHeight="1">
      <c r="A4542" s="4">
        <v>1360</v>
      </c>
      <c r="B4542" s="4">
        <v>9921</v>
      </c>
      <c r="C4542" s="5">
        <f>DATE(2012,12,31)-597</f>
        <v>40677</v>
      </c>
      <c r="D4542" s="4" t="s">
        <v>21</v>
      </c>
      <c r="E4542" s="4">
        <v>23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spans="1:21" ht="12" customHeight="1">
      <c r="A4543" s="4">
        <v>1386</v>
      </c>
      <c r="B4543" s="4">
        <v>10053</v>
      </c>
      <c r="C4543" s="5">
        <f t="shared" ref="C4543:C4544" si="1912">DATE(2012,12,31)-356</f>
        <v>40918</v>
      </c>
      <c r="D4543" s="4" t="s">
        <v>30</v>
      </c>
      <c r="E4543" s="4">
        <v>31</v>
      </c>
      <c r="F4543" s="4">
        <v>162.58000000000001</v>
      </c>
      <c r="G4543" s="4">
        <v>0</v>
      </c>
      <c r="H4543" s="4" t="s">
        <v>22</v>
      </c>
      <c r="I4543" s="6">
        <v>-109.86</v>
      </c>
      <c r="J4543" s="4">
        <v>4.8899999999999997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spans="1:21" ht="12" customHeight="1">
      <c r="A4544" s="4">
        <v>1387</v>
      </c>
      <c r="B4544" s="4">
        <v>10053</v>
      </c>
      <c r="C4544" s="5">
        <f t="shared" si="1912"/>
        <v>40918</v>
      </c>
      <c r="D4544" s="4" t="s">
        <v>30</v>
      </c>
      <c r="E4544" s="4">
        <v>44</v>
      </c>
      <c r="F4544" s="4">
        <v>6815.23</v>
      </c>
      <c r="G4544" s="4">
        <v>0</v>
      </c>
      <c r="H4544" s="4" t="s">
        <v>31</v>
      </c>
      <c r="I4544" s="6">
        <v>-196.07</v>
      </c>
      <c r="J4544" s="4">
        <v>150.97999999999999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3">C4544+2</f>
        <v>40920</v>
      </c>
    </row>
    <row r="4545" spans="1:21" ht="12" customHeight="1">
      <c r="A4545" s="4">
        <v>1518</v>
      </c>
      <c r="B4545" s="4">
        <v>10979</v>
      </c>
      <c r="C4545" s="5">
        <f t="shared" ref="C4545:C4546" si="1914">DATE(2012,12,31)-454</f>
        <v>40820</v>
      </c>
      <c r="D4545" s="4" t="s">
        <v>63</v>
      </c>
      <c r="E4545" s="4">
        <v>15</v>
      </c>
      <c r="F4545" s="4">
        <v>486.43</v>
      </c>
      <c r="G4545" s="4">
        <v>0</v>
      </c>
      <c r="H4545" s="4" t="s">
        <v>22</v>
      </c>
      <c r="I4545" s="6">
        <v>285.35000000000002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3"/>
        <v>40822</v>
      </c>
    </row>
    <row r="4546" spans="1:21" ht="12" customHeight="1">
      <c r="A4546" s="4">
        <v>1519</v>
      </c>
      <c r="B4546" s="4">
        <v>10979</v>
      </c>
      <c r="C4546" s="5">
        <f t="shared" si="1914"/>
        <v>40820</v>
      </c>
      <c r="D4546" s="4" t="s">
        <v>63</v>
      </c>
      <c r="E4546" s="4">
        <v>7</v>
      </c>
      <c r="F4546" s="4">
        <v>144.94999999999999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3"/>
        <v>40822</v>
      </c>
    </row>
    <row r="4547" spans="1:21" ht="12" customHeight="1">
      <c r="A4547" s="4">
        <v>1540</v>
      </c>
      <c r="B4547" s="4">
        <v>11108</v>
      </c>
      <c r="C4547" s="5">
        <f>DATE(2012,12,31)-137</f>
        <v>41137</v>
      </c>
      <c r="D4547" s="4" t="s">
        <v>45</v>
      </c>
      <c r="E4547" s="4">
        <v>20</v>
      </c>
      <c r="F4547" s="4">
        <v>131.71</v>
      </c>
      <c r="G4547" s="4">
        <v>0.1</v>
      </c>
      <c r="H4547" s="4" t="s">
        <v>22</v>
      </c>
      <c r="I4547" s="6">
        <v>-44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3"/>
        <v>41139</v>
      </c>
    </row>
    <row r="4548" spans="1:21" ht="12" customHeight="1">
      <c r="A4548" s="4">
        <v>1670</v>
      </c>
      <c r="B4548" s="4">
        <v>12067</v>
      </c>
      <c r="C4548" s="5">
        <f t="shared" ref="C4548:C4552" si="1915">DATE(2012,12,31)-1061</f>
        <v>40213</v>
      </c>
      <c r="D4548" s="4" t="s">
        <v>78</v>
      </c>
      <c r="E4548" s="4">
        <v>45</v>
      </c>
      <c r="F4548" s="4">
        <v>271.06</v>
      </c>
      <c r="G4548" s="4">
        <v>0</v>
      </c>
      <c r="H4548" s="4" t="s">
        <v>22</v>
      </c>
      <c r="I4548" s="6">
        <v>-76.601500000000001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spans="1:21" ht="12" customHeight="1">
      <c r="A4549" s="4">
        <v>1671</v>
      </c>
      <c r="B4549" s="4">
        <v>12067</v>
      </c>
      <c r="C4549" s="5">
        <f t="shared" si="1915"/>
        <v>40213</v>
      </c>
      <c r="D4549" s="4" t="s">
        <v>78</v>
      </c>
      <c r="E4549" s="4">
        <v>6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6">C4549+1</f>
        <v>40214</v>
      </c>
    </row>
    <row r="4550" spans="1:21" ht="12" customHeight="1">
      <c r="A4550" s="4">
        <v>1672</v>
      </c>
      <c r="B4550" s="4">
        <v>12067</v>
      </c>
      <c r="C4550" s="5">
        <f t="shared" si="1915"/>
        <v>40213</v>
      </c>
      <c r="D4550" s="4" t="s">
        <v>78</v>
      </c>
      <c r="E4550" s="4">
        <v>12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6"/>
        <v>40214</v>
      </c>
    </row>
    <row r="4551" spans="1:21" ht="12" customHeight="1">
      <c r="A4551" s="4">
        <v>1673</v>
      </c>
      <c r="B4551" s="4">
        <v>12067</v>
      </c>
      <c r="C4551" s="5">
        <f t="shared" si="1915"/>
        <v>40213</v>
      </c>
      <c r="D4551" s="4" t="s">
        <v>78</v>
      </c>
      <c r="E4551" s="4">
        <v>9</v>
      </c>
      <c r="F4551" s="4">
        <v>75.260000000000005</v>
      </c>
      <c r="G4551" s="4">
        <v>0.01</v>
      </c>
      <c r="H4551" s="4" t="s">
        <v>22</v>
      </c>
      <c r="I4551" s="6">
        <v>-17.239999999999998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6"/>
        <v>40214</v>
      </c>
    </row>
    <row r="4552" spans="1:21" ht="12" customHeight="1">
      <c r="A4552" s="4">
        <v>1674</v>
      </c>
      <c r="B4552" s="4">
        <v>12067</v>
      </c>
      <c r="C4552" s="5">
        <f t="shared" si="1915"/>
        <v>40213</v>
      </c>
      <c r="D4552" s="4" t="s">
        <v>78</v>
      </c>
      <c r="E4552" s="4">
        <v>7</v>
      </c>
      <c r="F4552" s="4">
        <v>407.11599999999999</v>
      </c>
      <c r="G4552" s="4">
        <v>0.08</v>
      </c>
      <c r="H4552" s="4" t="s">
        <v>22</v>
      </c>
      <c r="I4552" s="6">
        <v>-289.80599999999998</v>
      </c>
      <c r="J4552" s="4">
        <v>65.989999999999995</v>
      </c>
      <c r="K4552" s="4">
        <v>19.989999999999998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6"/>
        <v>40214</v>
      </c>
    </row>
    <row r="4553" spans="1:21" ht="12" customHeight="1">
      <c r="A4553" s="4">
        <v>1788</v>
      </c>
      <c r="B4553" s="4">
        <v>12804</v>
      </c>
      <c r="C4553" s="5">
        <f t="shared" ref="C4553:C4555" si="1917">DATE(2012,12,31)-220</f>
        <v>41054</v>
      </c>
      <c r="D4553" s="4" t="s">
        <v>63</v>
      </c>
      <c r="E4553" s="4">
        <v>21</v>
      </c>
      <c r="F4553" s="4">
        <v>69.06</v>
      </c>
      <c r="G4553" s="4">
        <v>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spans="1:21" ht="12" customHeight="1">
      <c r="A4554" s="4">
        <v>1789</v>
      </c>
      <c r="B4554" s="4">
        <v>12804</v>
      </c>
      <c r="C4554" s="5">
        <f t="shared" si="1917"/>
        <v>41054</v>
      </c>
      <c r="D4554" s="4" t="s">
        <v>63</v>
      </c>
      <c r="E4554" s="4">
        <v>50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8">C4554+2</f>
        <v>41056</v>
      </c>
    </row>
    <row r="4555" spans="1:21" ht="12" customHeight="1">
      <c r="A4555" s="4">
        <v>1790</v>
      </c>
      <c r="B4555" s="4">
        <v>12804</v>
      </c>
      <c r="C4555" s="5">
        <f t="shared" si="1917"/>
        <v>41054</v>
      </c>
      <c r="D4555" s="4" t="s">
        <v>63</v>
      </c>
      <c r="E4555" s="4">
        <v>34</v>
      </c>
      <c r="F4555" s="4">
        <v>592.91999999999996</v>
      </c>
      <c r="G4555" s="4">
        <v>0.02</v>
      </c>
      <c r="H4555" s="4" t="s">
        <v>56</v>
      </c>
      <c r="I4555" s="6">
        <v>-44.92</v>
      </c>
      <c r="J4555" s="4">
        <v>16.059999999999999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8"/>
        <v>41056</v>
      </c>
    </row>
    <row r="4556" spans="1:21" ht="12" customHeight="1">
      <c r="A4556" s="4">
        <v>1892</v>
      </c>
      <c r="B4556" s="4">
        <v>13575</v>
      </c>
      <c r="C4556" s="5">
        <f>DATE(2012,12,31)-124</f>
        <v>41150</v>
      </c>
      <c r="D4556" s="4" t="s">
        <v>78</v>
      </c>
      <c r="E4556" s="4">
        <v>15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spans="1:21" ht="12" customHeight="1">
      <c r="A4557" s="4">
        <v>1998</v>
      </c>
      <c r="B4557" s="4">
        <v>14245</v>
      </c>
      <c r="C4557" s="5">
        <f>DATE(2012,12,31)-1054</f>
        <v>40220</v>
      </c>
      <c r="D4557" s="4" t="s">
        <v>78</v>
      </c>
      <c r="E4557" s="4">
        <v>17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0.55000000000000004</v>
      </c>
      <c r="U4557" s="5">
        <f t="shared" ref="U4557:U4558" si="1919">C4557+1</f>
        <v>40221</v>
      </c>
    </row>
    <row r="4558" spans="1:21" ht="12" customHeight="1">
      <c r="A4558" s="4">
        <v>2279</v>
      </c>
      <c r="B4558" s="4">
        <v>16422</v>
      </c>
      <c r="C4558" s="5">
        <f t="shared" ref="C4558:C4559" si="1920">DATE(2012,12,31)-449</f>
        <v>40825</v>
      </c>
      <c r="D4558" s="4" t="s">
        <v>78</v>
      </c>
      <c r="E4558" s="4">
        <v>40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19"/>
        <v>40826</v>
      </c>
    </row>
    <row r="4559" spans="1:21" ht="12" customHeight="1">
      <c r="A4559" s="4">
        <v>2280</v>
      </c>
      <c r="B4559" s="4">
        <v>16422</v>
      </c>
      <c r="C4559" s="5">
        <f t="shared" si="1920"/>
        <v>40825</v>
      </c>
      <c r="D4559" s="4" t="s">
        <v>78</v>
      </c>
      <c r="E4559" s="4">
        <v>16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1">C4559+2</f>
        <v>40827</v>
      </c>
    </row>
    <row r="4560" spans="1:21" ht="12" customHeight="1">
      <c r="A4560" s="4">
        <v>2394</v>
      </c>
      <c r="B4560" s="4">
        <v>17345</v>
      </c>
      <c r="C4560" s="5">
        <f>DATE(2012,12,31)-517</f>
        <v>40757</v>
      </c>
      <c r="D4560" s="4" t="s">
        <v>78</v>
      </c>
      <c r="E4560" s="4">
        <v>23</v>
      </c>
      <c r="F4560" s="4">
        <v>195.61</v>
      </c>
      <c r="G4560" s="4">
        <v>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1"/>
        <v>40759</v>
      </c>
    </row>
    <row r="4561" spans="1:21" ht="12" customHeight="1">
      <c r="A4561" s="4">
        <v>2504</v>
      </c>
      <c r="B4561" s="4">
        <v>18208</v>
      </c>
      <c r="C4561" s="5">
        <f t="shared" ref="C4561:C4562" si="1922">DATE(2012,12,31)-274</f>
        <v>41000</v>
      </c>
      <c r="D4561" s="4" t="s">
        <v>45</v>
      </c>
      <c r="E4561" s="4">
        <v>34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1"/>
        <v>41002</v>
      </c>
    </row>
    <row r="4562" spans="1:21" ht="12" customHeight="1">
      <c r="A4562" s="4">
        <v>2505</v>
      </c>
      <c r="B4562" s="4">
        <v>18208</v>
      </c>
      <c r="C4562" s="5">
        <f t="shared" si="1922"/>
        <v>41000</v>
      </c>
      <c r="D4562" s="4" t="s">
        <v>45</v>
      </c>
      <c r="E4562" s="4">
        <v>36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2.2799999999999998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1"/>
        <v>41002</v>
      </c>
    </row>
    <row r="4563" spans="1:21" ht="12" customHeight="1">
      <c r="A4563" s="4">
        <v>2556</v>
      </c>
      <c r="B4563" s="4">
        <v>18500</v>
      </c>
      <c r="C4563" s="5">
        <f t="shared" ref="C4563:C4565" si="1923">DATE(2012,12,31)-324</f>
        <v>40950</v>
      </c>
      <c r="D4563" s="4" t="s">
        <v>63</v>
      </c>
      <c r="E4563" s="4">
        <v>44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4">C4563+1</f>
        <v>40951</v>
      </c>
    </row>
    <row r="4564" spans="1:21" ht="12" customHeight="1">
      <c r="A4564" s="4">
        <v>2557</v>
      </c>
      <c r="B4564" s="4">
        <v>18500</v>
      </c>
      <c r="C4564" s="5">
        <f t="shared" si="1923"/>
        <v>40950</v>
      </c>
      <c r="D4564" s="4" t="s">
        <v>63</v>
      </c>
      <c r="E4564" s="4">
        <v>30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32.979999999999997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4"/>
        <v>40951</v>
      </c>
    </row>
    <row r="4565" spans="1:21" ht="12" customHeight="1">
      <c r="A4565" s="4">
        <v>2558</v>
      </c>
      <c r="B4565" s="4">
        <v>18500</v>
      </c>
      <c r="C4565" s="5">
        <f t="shared" si="1923"/>
        <v>40950</v>
      </c>
      <c r="D4565" s="4" t="s">
        <v>63</v>
      </c>
      <c r="E4565" s="4">
        <v>30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spans="1:21" ht="12" customHeight="1">
      <c r="A4566" s="4">
        <v>2580</v>
      </c>
      <c r="B4566" s="4">
        <v>18597</v>
      </c>
      <c r="C4566" s="5">
        <f>DATE(2012,12,31)-827</f>
        <v>40447</v>
      </c>
      <c r="D4566" s="4" t="s">
        <v>63</v>
      </c>
      <c r="E4566" s="4">
        <v>37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spans="1:21" ht="12" customHeight="1">
      <c r="A4567" s="4">
        <v>2605</v>
      </c>
      <c r="B4567" s="4">
        <v>18822</v>
      </c>
      <c r="C4567" s="5">
        <f>DATE(2012,12,31)-741</f>
        <v>40533</v>
      </c>
      <c r="D4567" s="4" t="s">
        <v>21</v>
      </c>
      <c r="E4567" s="4">
        <v>34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65.989999999999995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0.56000000000000005</v>
      </c>
      <c r="U4567" s="5">
        <f>C4567+9</f>
        <v>40542</v>
      </c>
    </row>
    <row r="4568" spans="1:21" ht="12" customHeight="1">
      <c r="A4568" s="4">
        <v>2676</v>
      </c>
      <c r="B4568" s="4">
        <v>19363</v>
      </c>
      <c r="C4568" s="5">
        <f t="shared" ref="C4568:C4569" si="1925">DATE(2012,12,31)-545</f>
        <v>40729</v>
      </c>
      <c r="D4568" s="4" t="s">
        <v>30</v>
      </c>
      <c r="E4568" s="4">
        <v>44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spans="1:21" ht="12" customHeight="1">
      <c r="A4569" s="4">
        <v>2677</v>
      </c>
      <c r="B4569" s="4">
        <v>19363</v>
      </c>
      <c r="C4569" s="5">
        <f t="shared" si="1925"/>
        <v>40729</v>
      </c>
      <c r="D4569" s="4" t="s">
        <v>30</v>
      </c>
      <c r="E4569" s="4">
        <v>41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spans="1:21" ht="12" customHeight="1">
      <c r="A4570" s="4">
        <v>2755</v>
      </c>
      <c r="B4570" s="4">
        <v>19911</v>
      </c>
      <c r="C4570" s="5">
        <f t="shared" ref="C4570:C4572" si="1926">DATE(2012,12,31)-452</f>
        <v>40822</v>
      </c>
      <c r="D4570" s="4" t="s">
        <v>30</v>
      </c>
      <c r="E4570" s="4">
        <v>43</v>
      </c>
      <c r="F4570" s="4">
        <v>1054.7</v>
      </c>
      <c r="G4570" s="4">
        <v>7.0000000000000007E-2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spans="1:21" ht="12" customHeight="1">
      <c r="A4571" s="4">
        <v>2756</v>
      </c>
      <c r="B4571" s="4">
        <v>19911</v>
      </c>
      <c r="C4571" s="5">
        <f t="shared" si="1926"/>
        <v>40822</v>
      </c>
      <c r="D4571" s="4" t="s">
        <v>30</v>
      </c>
      <c r="E4571" s="4">
        <v>38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spans="1:21" ht="12" customHeight="1">
      <c r="A4572" s="4">
        <v>2757</v>
      </c>
      <c r="B4572" s="4">
        <v>19911</v>
      </c>
      <c r="C4572" s="5">
        <f t="shared" si="1926"/>
        <v>40822</v>
      </c>
      <c r="D4572" s="4" t="s">
        <v>30</v>
      </c>
      <c r="E4572" s="4">
        <v>39</v>
      </c>
      <c r="F4572" s="4">
        <v>4859.37</v>
      </c>
      <c r="G4572" s="4">
        <v>7.0000000000000007E-2</v>
      </c>
      <c r="H4572" s="4" t="s">
        <v>22</v>
      </c>
      <c r="I4572" s="6">
        <v>2472.3200000000002</v>
      </c>
      <c r="J4572" s="4">
        <v>150.97999999999999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spans="1:21" ht="12" customHeight="1">
      <c r="A4573" s="4">
        <v>2848</v>
      </c>
      <c r="B4573" s="4">
        <v>20517</v>
      </c>
      <c r="C4573" s="5">
        <f>DATE(2012,12,31)-838</f>
        <v>40436</v>
      </c>
      <c r="D4573" s="4" t="s">
        <v>21</v>
      </c>
      <c r="E4573" s="4">
        <v>39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0.57999999999999996</v>
      </c>
      <c r="U4573" s="5">
        <f t="shared" ref="U4573:U4575" si="1927">C4573+2</f>
        <v>40438</v>
      </c>
    </row>
    <row r="4574" spans="1:21" ht="12" customHeight="1">
      <c r="A4574" s="4">
        <v>2995</v>
      </c>
      <c r="B4574" s="4">
        <v>21605</v>
      </c>
      <c r="C4574" s="5">
        <f t="shared" ref="C4574:C4575" si="1928">DATE(2012,12,31)-267</f>
        <v>41007</v>
      </c>
      <c r="D4574" s="4" t="s">
        <v>30</v>
      </c>
      <c r="E4574" s="4">
        <v>32</v>
      </c>
      <c r="F4574" s="4">
        <v>1932.97</v>
      </c>
      <c r="G4574" s="4">
        <v>0.08</v>
      </c>
      <c r="H4574" s="4" t="s">
        <v>31</v>
      </c>
      <c r="I4574" s="6">
        <v>-514.94000000000005</v>
      </c>
      <c r="J4574" s="4">
        <v>60.98</v>
      </c>
      <c r="K4574" s="4">
        <v>30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7"/>
        <v>41009</v>
      </c>
    </row>
    <row r="4575" spans="1:21" ht="12" customHeight="1">
      <c r="A4575" s="4">
        <v>2996</v>
      </c>
      <c r="B4575" s="4">
        <v>21605</v>
      </c>
      <c r="C4575" s="5">
        <f t="shared" si="1928"/>
        <v>41007</v>
      </c>
      <c r="D4575" s="4" t="s">
        <v>30</v>
      </c>
      <c r="E4575" s="4">
        <v>46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0.56999999999999995</v>
      </c>
      <c r="U4575" s="5">
        <f t="shared" si="1927"/>
        <v>41009</v>
      </c>
    </row>
    <row r="4576" spans="1:21" ht="12" customHeight="1">
      <c r="A4576" s="4">
        <v>3092</v>
      </c>
      <c r="B4576" s="4">
        <v>22182</v>
      </c>
      <c r="C4576" s="5">
        <f t="shared" ref="C4576:C4578" si="1929">DATE(2012,12,31)-117</f>
        <v>41157</v>
      </c>
      <c r="D4576" s="4" t="s">
        <v>63</v>
      </c>
      <c r="E4576" s="4">
        <v>4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spans="1:21" ht="12" customHeight="1">
      <c r="A4577" s="4">
        <v>3093</v>
      </c>
      <c r="B4577" s="4">
        <v>22182</v>
      </c>
      <c r="C4577" s="5">
        <f t="shared" si="1929"/>
        <v>41157</v>
      </c>
      <c r="D4577" s="4" t="s">
        <v>63</v>
      </c>
      <c r="E4577" s="4">
        <v>9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spans="1:21" ht="12" customHeight="1">
      <c r="A4578" s="4">
        <v>3094</v>
      </c>
      <c r="B4578" s="4">
        <v>22182</v>
      </c>
      <c r="C4578" s="5">
        <f t="shared" si="1929"/>
        <v>41157</v>
      </c>
      <c r="D4578" s="4" t="s">
        <v>63</v>
      </c>
      <c r="E4578" s="4">
        <v>48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0.56999999999999995</v>
      </c>
      <c r="U4578" s="5">
        <f>C4578+2</f>
        <v>41159</v>
      </c>
    </row>
    <row r="4579" spans="1:21" ht="12" customHeight="1">
      <c r="A4579" s="4">
        <v>3218</v>
      </c>
      <c r="B4579" s="4">
        <v>23104</v>
      </c>
      <c r="C4579" s="5">
        <f t="shared" ref="C4579:C4580" si="1930">DATE(2012,12,31)-632</f>
        <v>40642</v>
      </c>
      <c r="D4579" s="4" t="s">
        <v>63</v>
      </c>
      <c r="E4579" s="4">
        <v>3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spans="1:21" ht="12" customHeight="1">
      <c r="A4580" s="4">
        <v>3219</v>
      </c>
      <c r="B4580" s="4">
        <v>23104</v>
      </c>
      <c r="C4580" s="5">
        <f t="shared" si="1930"/>
        <v>40642</v>
      </c>
      <c r="D4580" s="4" t="s">
        <v>63</v>
      </c>
      <c r="E4580" s="4">
        <v>24</v>
      </c>
      <c r="F4580" s="4">
        <v>142.80000000000001</v>
      </c>
      <c r="G4580" s="4">
        <v>0.01</v>
      </c>
      <c r="H4580" s="4" t="s">
        <v>22</v>
      </c>
      <c r="I4580" s="6">
        <v>-25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spans="1:21" ht="12" customHeight="1">
      <c r="A4581" s="4">
        <v>3267</v>
      </c>
      <c r="B4581" s="4">
        <v>23363</v>
      </c>
      <c r="C4581" s="5">
        <f>DATE(2012,12,31)-216</f>
        <v>41058</v>
      </c>
      <c r="D4581" s="4" t="s">
        <v>21</v>
      </c>
      <c r="E4581" s="4">
        <v>46</v>
      </c>
      <c r="F4581" s="4">
        <v>241.81</v>
      </c>
      <c r="G4581" s="4">
        <v>0.02</v>
      </c>
      <c r="H4581" s="4" t="s">
        <v>22</v>
      </c>
      <c r="I4581" s="6">
        <v>-94.828999999999994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1">C4581+7</f>
        <v>41065</v>
      </c>
    </row>
    <row r="4582" spans="1:21" ht="12" customHeight="1">
      <c r="A4582" s="4">
        <v>3298</v>
      </c>
      <c r="B4582" s="4">
        <v>23559</v>
      </c>
      <c r="C4582" s="5">
        <f t="shared" ref="C4582:C4583" si="1932">DATE(2012,12,31)-897</f>
        <v>40377</v>
      </c>
      <c r="D4582" s="4" t="s">
        <v>21</v>
      </c>
      <c r="E4582" s="4">
        <v>14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1"/>
        <v>40384</v>
      </c>
    </row>
    <row r="4583" spans="1:21" ht="12" customHeight="1">
      <c r="A4583" s="4">
        <v>3299</v>
      </c>
      <c r="B4583" s="4">
        <v>23559</v>
      </c>
      <c r="C4583" s="5">
        <f t="shared" si="1932"/>
        <v>40377</v>
      </c>
      <c r="D4583" s="4" t="s">
        <v>21</v>
      </c>
      <c r="E4583" s="4">
        <v>9</v>
      </c>
      <c r="F4583" s="4">
        <v>173.44</v>
      </c>
      <c r="G4583" s="4">
        <v>0.02</v>
      </c>
      <c r="H4583" s="4" t="s">
        <v>22</v>
      </c>
      <c r="I4583" s="6">
        <v>-34.625999999999998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spans="1:21" ht="12" customHeight="1">
      <c r="A4584" s="4">
        <v>3389</v>
      </c>
      <c r="B4584" s="4">
        <v>24160</v>
      </c>
      <c r="C4584" s="5">
        <f>DATE(2012,12,31)-699</f>
        <v>40575</v>
      </c>
      <c r="D4584" s="4" t="s">
        <v>63</v>
      </c>
      <c r="E4584" s="4">
        <v>44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4.9000000000000004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0.56000000000000005</v>
      </c>
      <c r="U4584" s="5">
        <f>C4584+1</f>
        <v>40576</v>
      </c>
    </row>
    <row r="4585" spans="1:21" ht="12" customHeight="1">
      <c r="A4585" s="4">
        <v>3409</v>
      </c>
      <c r="B4585" s="4">
        <v>24352</v>
      </c>
      <c r="C4585" s="5">
        <f>DATE(2012,12,31)-966</f>
        <v>40308</v>
      </c>
      <c r="D4585" s="4" t="s">
        <v>78</v>
      </c>
      <c r="E4585" s="4">
        <v>32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1.1399999999999999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spans="1:21" ht="12" customHeight="1">
      <c r="A4586" s="4">
        <v>3460</v>
      </c>
      <c r="B4586" s="4">
        <v>24646</v>
      </c>
      <c r="C4586" s="5">
        <f t="shared" ref="C4586:C4587" si="1933">DATE(2012,12,31)-626</f>
        <v>40648</v>
      </c>
      <c r="D4586" s="4" t="s">
        <v>45</v>
      </c>
      <c r="E4586" s="4">
        <v>46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spans="1:21" ht="12" customHeight="1">
      <c r="A4587" s="4">
        <v>3461</v>
      </c>
      <c r="B4587" s="4">
        <v>24646</v>
      </c>
      <c r="C4587" s="5">
        <f t="shared" si="1933"/>
        <v>40648</v>
      </c>
      <c r="D4587" s="4" t="s">
        <v>45</v>
      </c>
      <c r="E4587" s="4">
        <v>21</v>
      </c>
      <c r="F4587" s="4">
        <v>61.18</v>
      </c>
      <c r="G4587" s="4">
        <v>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0.56000000000000005</v>
      </c>
      <c r="U4587" s="5">
        <f t="shared" ref="U4587:U4588" si="1934">C4587+2</f>
        <v>40650</v>
      </c>
    </row>
    <row r="4588" spans="1:21" ht="12" customHeight="1">
      <c r="A4588" s="4">
        <v>3508</v>
      </c>
      <c r="B4588" s="4">
        <v>24993</v>
      </c>
      <c r="C4588" s="5">
        <f>DATE(2012,12,31)-1026</f>
        <v>40248</v>
      </c>
      <c r="D4588" s="4" t="s">
        <v>30</v>
      </c>
      <c r="E4588" s="4">
        <v>36</v>
      </c>
      <c r="F4588" s="4">
        <v>1561.2204999999999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4"/>
        <v>40250</v>
      </c>
    </row>
    <row r="4589" spans="1:21" ht="12" customHeight="1">
      <c r="A4589" s="4">
        <v>3568</v>
      </c>
      <c r="B4589" s="4">
        <v>25447</v>
      </c>
      <c r="C4589" s="5">
        <f t="shared" ref="C4589:C4590" si="1935">DATE(2012,12,31)-222</f>
        <v>41052</v>
      </c>
      <c r="D4589" s="4" t="s">
        <v>45</v>
      </c>
      <c r="E4589" s="4">
        <v>25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spans="1:21" ht="12" customHeight="1">
      <c r="A4590" s="4">
        <v>3569</v>
      </c>
      <c r="B4590" s="4">
        <v>25447</v>
      </c>
      <c r="C4590" s="5">
        <f t="shared" si="1935"/>
        <v>41052</v>
      </c>
      <c r="D4590" s="4" t="s">
        <v>45</v>
      </c>
      <c r="E4590" s="4">
        <v>18</v>
      </c>
      <c r="F4590" s="4">
        <v>4428.5600000000004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spans="1:21" ht="12" customHeight="1">
      <c r="A4591" s="4">
        <v>3660</v>
      </c>
      <c r="B4591" s="4">
        <v>26214</v>
      </c>
      <c r="C4591" s="5">
        <f t="shared" ref="C4591:C4592" si="1936">DATE(2012,12,31)-407</f>
        <v>40867</v>
      </c>
      <c r="D4591" s="4" t="s">
        <v>63</v>
      </c>
      <c r="E4591" s="4">
        <v>19</v>
      </c>
      <c r="F4591" s="4">
        <v>305.68</v>
      </c>
      <c r="G4591" s="4">
        <v>0.1</v>
      </c>
      <c r="H4591" s="4" t="s">
        <v>56</v>
      </c>
      <c r="I4591" s="6">
        <v>128.16999999999999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7">C4591+1</f>
        <v>40868</v>
      </c>
    </row>
    <row r="4592" spans="1:21" ht="12" customHeight="1">
      <c r="A4592" s="4">
        <v>3661</v>
      </c>
      <c r="B4592" s="4">
        <v>26214</v>
      </c>
      <c r="C4592" s="5">
        <f t="shared" si="1936"/>
        <v>40867</v>
      </c>
      <c r="D4592" s="4" t="s">
        <v>63</v>
      </c>
      <c r="E4592" s="4">
        <v>41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7"/>
        <v>40868</v>
      </c>
    </row>
    <row r="4593" spans="1:21" ht="12" customHeight="1">
      <c r="A4593" s="4">
        <v>3822</v>
      </c>
      <c r="B4593" s="4">
        <v>27265</v>
      </c>
      <c r="C4593" s="5">
        <f t="shared" ref="C4593:C4595" si="1938">DATE(2012,12,31)-239</f>
        <v>41035</v>
      </c>
      <c r="D4593" s="4" t="s">
        <v>78</v>
      </c>
      <c r="E4593" s="4">
        <v>49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spans="1:21" ht="12" customHeight="1">
      <c r="A4594" s="4">
        <v>3823</v>
      </c>
      <c r="B4594" s="4">
        <v>27265</v>
      </c>
      <c r="C4594" s="5">
        <f t="shared" si="1938"/>
        <v>41035</v>
      </c>
      <c r="D4594" s="4" t="s">
        <v>78</v>
      </c>
      <c r="E4594" s="4">
        <v>36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19.989999999999998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spans="1:21" ht="12" customHeight="1">
      <c r="A4595" s="4">
        <v>3824</v>
      </c>
      <c r="B4595" s="4">
        <v>27265</v>
      </c>
      <c r="C4595" s="5">
        <f t="shared" si="1938"/>
        <v>41035</v>
      </c>
      <c r="D4595" s="4" t="s">
        <v>78</v>
      </c>
      <c r="E4595" s="4">
        <v>49</v>
      </c>
      <c r="F4595" s="4">
        <v>401.39</v>
      </c>
      <c r="G4595" s="4">
        <v>0.03</v>
      </c>
      <c r="H4595" s="4" t="s">
        <v>56</v>
      </c>
      <c r="I4595" s="6">
        <v>161.94999999999999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spans="1:21" ht="12" customHeight="1">
      <c r="A4596" s="4">
        <v>3907</v>
      </c>
      <c r="B4596" s="4">
        <v>27845</v>
      </c>
      <c r="C4596" s="5">
        <f>DATE(2012,12,31)-537</f>
        <v>40737</v>
      </c>
      <c r="D4596" s="4" t="s">
        <v>45</v>
      </c>
      <c r="E4596" s="4">
        <v>36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spans="1:21" ht="12" customHeight="1">
      <c r="A4597" s="4">
        <v>4270</v>
      </c>
      <c r="B4597" s="4">
        <v>30375</v>
      </c>
      <c r="C4597" s="5">
        <f>DATE(2012,12,31)-242</f>
        <v>41032</v>
      </c>
      <c r="D4597" s="4" t="s">
        <v>21</v>
      </c>
      <c r="E4597" s="4">
        <v>20</v>
      </c>
      <c r="F4597" s="4">
        <v>71.45</v>
      </c>
      <c r="G4597" s="4">
        <v>0.03</v>
      </c>
      <c r="H4597" s="4" t="s">
        <v>22</v>
      </c>
      <c r="I4597" s="6">
        <v>-92.954499999999996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spans="1:21" ht="12" customHeight="1">
      <c r="A4598" s="4">
        <v>4289</v>
      </c>
      <c r="B4598" s="4">
        <v>30565</v>
      </c>
      <c r="C4598" s="5">
        <f>DATE(2012,12,31)-524</f>
        <v>40750</v>
      </c>
      <c r="D4598" s="4" t="s">
        <v>63</v>
      </c>
      <c r="E4598" s="4">
        <v>32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spans="1:21" ht="12" customHeight="1">
      <c r="A4599" s="4">
        <v>4431</v>
      </c>
      <c r="B4599" s="4">
        <v>31586</v>
      </c>
      <c r="C4599" s="5">
        <f t="shared" ref="C4599:C4600" si="1939">DATE(2012,12,31)-285</f>
        <v>40989</v>
      </c>
      <c r="D4599" s="4" t="s">
        <v>21</v>
      </c>
      <c r="E4599" s="4">
        <v>22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spans="1:21" ht="12" customHeight="1">
      <c r="A4600" s="4">
        <v>4432</v>
      </c>
      <c r="B4600" s="4">
        <v>31586</v>
      </c>
      <c r="C4600" s="5">
        <f t="shared" si="1939"/>
        <v>40989</v>
      </c>
      <c r="D4600" s="4" t="s">
        <v>21</v>
      </c>
      <c r="E4600" s="4">
        <v>25</v>
      </c>
      <c r="F4600" s="4">
        <v>4390.0289999999995</v>
      </c>
      <c r="G4600" s="4">
        <v>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0.56000000000000005</v>
      </c>
      <c r="U4600" s="5">
        <f>C4600+9</f>
        <v>40998</v>
      </c>
    </row>
    <row r="4601" spans="1:21" ht="12" customHeight="1">
      <c r="A4601" s="4">
        <v>4448</v>
      </c>
      <c r="B4601" s="4">
        <v>31687</v>
      </c>
      <c r="C4601" s="5">
        <f>DATE(2012,12,31)-592</f>
        <v>40682</v>
      </c>
      <c r="D4601" s="4" t="s">
        <v>30</v>
      </c>
      <c r="E4601" s="4">
        <v>44</v>
      </c>
      <c r="F4601" s="4">
        <v>123.06</v>
      </c>
      <c r="G4601" s="4">
        <v>7.0000000000000007E-2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spans="1:21" ht="12" customHeight="1">
      <c r="A4602" s="4">
        <v>5157</v>
      </c>
      <c r="B4602" s="4">
        <v>36709</v>
      </c>
      <c r="C4602" s="5">
        <f>DATE(2012,12,31)-130</f>
        <v>41144</v>
      </c>
      <c r="D4602" s="4" t="s">
        <v>78</v>
      </c>
      <c r="E4602" s="4">
        <v>42</v>
      </c>
      <c r="F4602" s="4">
        <v>2245.6914999999999</v>
      </c>
      <c r="G4602" s="4">
        <v>0.05</v>
      </c>
      <c r="H4602" s="4" t="s">
        <v>22</v>
      </c>
      <c r="I4602" s="6">
        <v>369.08099999999996</v>
      </c>
      <c r="J4602" s="4">
        <v>65.989999999999995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0.55000000000000004</v>
      </c>
      <c r="U4602" s="5">
        <f t="shared" ref="U4602:U4603" si="1940">C4602+2</f>
        <v>41146</v>
      </c>
    </row>
    <row r="4603" spans="1:21" ht="12" customHeight="1">
      <c r="A4603" s="4">
        <v>5318</v>
      </c>
      <c r="B4603" s="4">
        <v>37826</v>
      </c>
      <c r="C4603" s="5">
        <f>DATE(2012,12,31)-618</f>
        <v>40656</v>
      </c>
      <c r="D4603" s="4" t="s">
        <v>63</v>
      </c>
      <c r="E4603" s="4">
        <v>45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0"/>
        <v>40658</v>
      </c>
    </row>
    <row r="4604" spans="1:21" ht="12" customHeight="1">
      <c r="A4604" s="4">
        <v>5371</v>
      </c>
      <c r="B4604" s="4">
        <v>38182</v>
      </c>
      <c r="C4604" s="5">
        <f>DATE(2012,12,31)-223</f>
        <v>41051</v>
      </c>
      <c r="D4604" s="4" t="s">
        <v>30</v>
      </c>
      <c r="E4604" s="4">
        <v>45</v>
      </c>
      <c r="F4604" s="4">
        <v>2848.83</v>
      </c>
      <c r="G4604" s="4">
        <v>7.0000000000000007E-2</v>
      </c>
      <c r="H4604" s="4" t="s">
        <v>22</v>
      </c>
      <c r="I4604" s="6">
        <v>-1182.8699999999999</v>
      </c>
      <c r="J4604" s="4">
        <v>64.650000000000006</v>
      </c>
      <c r="K4604" s="4">
        <v>35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spans="1:21" ht="12" customHeight="1">
      <c r="A4605" s="4">
        <v>5692</v>
      </c>
      <c r="B4605" s="4">
        <v>40257</v>
      </c>
      <c r="C4605" s="5">
        <f>DATE(2012,12,31)-863</f>
        <v>40411</v>
      </c>
      <c r="D4605" s="4" t="s">
        <v>45</v>
      </c>
      <c r="E4605" s="4">
        <v>24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0.56999999999999995</v>
      </c>
      <c r="U4605" s="5">
        <f>C4605+1</f>
        <v>40412</v>
      </c>
    </row>
    <row r="4606" spans="1:21" ht="12" customHeight="1">
      <c r="A4606" s="4">
        <v>5700</v>
      </c>
      <c r="B4606" s="4">
        <v>40321</v>
      </c>
      <c r="C4606" s="5">
        <f t="shared" ref="C4606:C4607" si="1941">DATE(2012,12,31)-922</f>
        <v>40352</v>
      </c>
      <c r="D4606" s="4" t="s">
        <v>30</v>
      </c>
      <c r="E4606" s="4">
        <v>23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19.989999999999998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spans="1:21" ht="12" customHeight="1">
      <c r="A4607" s="4">
        <v>5701</v>
      </c>
      <c r="B4607" s="4">
        <v>40321</v>
      </c>
      <c r="C4607" s="5">
        <f t="shared" si="1941"/>
        <v>40352</v>
      </c>
      <c r="D4607" s="4" t="s">
        <v>30</v>
      </c>
      <c r="E4607" s="4">
        <v>18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spans="1:21" ht="12" customHeight="1">
      <c r="A4608" s="4">
        <v>5947</v>
      </c>
      <c r="B4608" s="4">
        <v>42214</v>
      </c>
      <c r="C4608" s="5">
        <f t="shared" ref="C4608:C4609" si="1942">DATE(2012,12,31)-587</f>
        <v>40687</v>
      </c>
      <c r="D4608" s="4" t="s">
        <v>21</v>
      </c>
      <c r="E4608" s="4">
        <v>46</v>
      </c>
      <c r="F4608" s="4">
        <v>569.91999999999996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0.55000000000000004</v>
      </c>
      <c r="U4608" s="5">
        <f t="shared" ref="U4608:U4609" si="1943">C4608+7</f>
        <v>40694</v>
      </c>
    </row>
    <row r="4609" spans="1:21" ht="12" customHeight="1">
      <c r="A4609" s="4">
        <v>5948</v>
      </c>
      <c r="B4609" s="4">
        <v>42214</v>
      </c>
      <c r="C4609" s="5">
        <f t="shared" si="1942"/>
        <v>40687</v>
      </c>
      <c r="D4609" s="4" t="s">
        <v>21</v>
      </c>
      <c r="E4609" s="4">
        <v>28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3"/>
        <v>40694</v>
      </c>
    </row>
    <row r="4610" spans="1:21" ht="12" customHeight="1">
      <c r="A4610" s="4">
        <v>6039</v>
      </c>
      <c r="B4610" s="4">
        <v>42788</v>
      </c>
      <c r="C4610" s="5">
        <f>DATE(2012,12,31)-445</f>
        <v>40829</v>
      </c>
      <c r="D4610" s="4" t="s">
        <v>78</v>
      </c>
      <c r="E4610" s="4">
        <v>26</v>
      </c>
      <c r="F4610" s="4">
        <v>241.92</v>
      </c>
      <c r="G4610" s="4">
        <v>0.1</v>
      </c>
      <c r="H4610" s="4" t="s">
        <v>22</v>
      </c>
      <c r="I4610" s="6">
        <v>67.709999999999994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4">C4610+2</f>
        <v>40831</v>
      </c>
    </row>
    <row r="4611" spans="1:21" ht="12" customHeight="1">
      <c r="A4611" s="4">
        <v>6054</v>
      </c>
      <c r="B4611" s="4">
        <v>42912</v>
      </c>
      <c r="C4611" s="5">
        <f>DATE(2012,12,31)-972</f>
        <v>40302</v>
      </c>
      <c r="D4611" s="4" t="s">
        <v>45</v>
      </c>
      <c r="E4611" s="4">
        <v>4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0.56999999999999995</v>
      </c>
      <c r="U4611" s="5">
        <f t="shared" si="1944"/>
        <v>40304</v>
      </c>
    </row>
    <row r="4612" spans="1:21" ht="12" customHeight="1">
      <c r="A4612" s="4">
        <v>6162</v>
      </c>
      <c r="B4612" s="4">
        <v>43653</v>
      </c>
      <c r="C4612" s="5">
        <f t="shared" ref="C4612:C4614" si="1945">DATE(2012,12,31)-62</f>
        <v>41212</v>
      </c>
      <c r="D4612" s="4" t="s">
        <v>30</v>
      </c>
      <c r="E4612" s="4">
        <v>3</v>
      </c>
      <c r="F4612" s="4">
        <v>10.62</v>
      </c>
      <c r="G4612" s="4">
        <v>7.0000000000000007E-2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spans="1:21" ht="12" customHeight="1">
      <c r="A4613" s="4">
        <v>6163</v>
      </c>
      <c r="B4613" s="4">
        <v>43653</v>
      </c>
      <c r="C4613" s="5">
        <f t="shared" si="1945"/>
        <v>41212</v>
      </c>
      <c r="D4613" s="4" t="s">
        <v>30</v>
      </c>
      <c r="E4613" s="4">
        <v>39</v>
      </c>
      <c r="F4613" s="4">
        <v>666.4</v>
      </c>
      <c r="G4613" s="4">
        <v>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0.56000000000000005</v>
      </c>
      <c r="U4613" s="5">
        <f>C4613+1</f>
        <v>41213</v>
      </c>
    </row>
    <row r="4614" spans="1:21" ht="12" customHeight="1">
      <c r="A4614" s="4">
        <v>6164</v>
      </c>
      <c r="B4614" s="4">
        <v>43653</v>
      </c>
      <c r="C4614" s="5">
        <f t="shared" si="1945"/>
        <v>41212</v>
      </c>
      <c r="D4614" s="4" t="s">
        <v>30</v>
      </c>
      <c r="E4614" s="4">
        <v>10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8.2200000000000006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0.56999999999999995</v>
      </c>
      <c r="U4614" s="5">
        <f>C4614+2</f>
        <v>41214</v>
      </c>
    </row>
    <row r="4615" spans="1:21" ht="12" customHeight="1">
      <c r="A4615" s="4">
        <v>6397</v>
      </c>
      <c r="B4615" s="4">
        <v>45412</v>
      </c>
      <c r="C4615" s="5">
        <f>DATE(2012,12,31)-984</f>
        <v>40290</v>
      </c>
      <c r="D4615" s="4" t="s">
        <v>63</v>
      </c>
      <c r="E4615" s="4">
        <v>20</v>
      </c>
      <c r="F4615" s="4">
        <v>586.61900000000003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1.1000000000000001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0.55000000000000004</v>
      </c>
      <c r="U4615" s="5">
        <f>C4615+1</f>
        <v>40291</v>
      </c>
    </row>
    <row r="4616" spans="1:21" ht="12" customHeight="1">
      <c r="A4616" s="4">
        <v>6436</v>
      </c>
      <c r="B4616" s="4">
        <v>45734</v>
      </c>
      <c r="C4616" s="5">
        <f>DATE(2012,12,31)-167</f>
        <v>41107</v>
      </c>
      <c r="D4616" s="4" t="s">
        <v>78</v>
      </c>
      <c r="E4616" s="4">
        <v>47</v>
      </c>
      <c r="F4616" s="4">
        <v>557.52</v>
      </c>
      <c r="G4616" s="4">
        <v>0.03</v>
      </c>
      <c r="H4616" s="4" t="s">
        <v>56</v>
      </c>
      <c r="I4616" s="6">
        <v>-157.30000000000001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0.57999999999999996</v>
      </c>
      <c r="U4616" s="5">
        <f>C4616+2</f>
        <v>41109</v>
      </c>
    </row>
    <row r="4617" spans="1:21" ht="12" customHeight="1">
      <c r="A4617" s="4">
        <v>6606</v>
      </c>
      <c r="B4617" s="4">
        <v>47010</v>
      </c>
      <c r="C4617" s="5">
        <f>DATE(2012,12,31)-455</f>
        <v>40819</v>
      </c>
      <c r="D4617" s="4" t="s">
        <v>78</v>
      </c>
      <c r="E4617" s="4">
        <v>11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130.97999999999999</v>
      </c>
      <c r="K4617" s="4">
        <v>30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spans="1:21" ht="12" customHeight="1">
      <c r="A4618" s="4">
        <v>6702</v>
      </c>
      <c r="B4618" s="4">
        <v>47717</v>
      </c>
      <c r="C4618" s="5">
        <f>DATE(2012,12,31)-380</f>
        <v>40894</v>
      </c>
      <c r="D4618" s="4" t="s">
        <v>45</v>
      </c>
      <c r="E4618" s="4">
        <v>35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spans="1:21" ht="12" customHeight="1">
      <c r="A4619" s="4">
        <v>6822</v>
      </c>
      <c r="B4619" s="4">
        <v>48577</v>
      </c>
      <c r="C4619" s="5">
        <f>DATE(2012,12,31)-176</f>
        <v>41098</v>
      </c>
      <c r="D4619" s="4" t="s">
        <v>63</v>
      </c>
      <c r="E4619" s="4">
        <v>6</v>
      </c>
      <c r="F4619" s="4">
        <v>201.83</v>
      </c>
      <c r="G4619" s="4">
        <v>0.02</v>
      </c>
      <c r="H4619" s="4" t="s">
        <v>22</v>
      </c>
      <c r="I4619" s="6">
        <v>34.979999999999997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spans="1:21" ht="12" customHeight="1">
      <c r="A4620" s="4">
        <v>6992</v>
      </c>
      <c r="B4620" s="4">
        <v>49953</v>
      </c>
      <c r="C4620" s="5">
        <f t="shared" ref="C4620:C4621" si="1946">DATE(2012,12,31)-289</f>
        <v>40985</v>
      </c>
      <c r="D4620" s="4" t="s">
        <v>45</v>
      </c>
      <c r="E4620" s="4">
        <v>18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spans="1:21" ht="12" customHeight="1">
      <c r="A4621" s="4">
        <v>6993</v>
      </c>
      <c r="B4621" s="4">
        <v>49953</v>
      </c>
      <c r="C4621" s="5">
        <f t="shared" si="1946"/>
        <v>40985</v>
      </c>
      <c r="D4621" s="4" t="s">
        <v>45</v>
      </c>
      <c r="E4621" s="4">
        <v>36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spans="1:21" ht="12" customHeight="1">
      <c r="A4622" s="4">
        <v>7192</v>
      </c>
      <c r="B4622" s="4">
        <v>51300</v>
      </c>
      <c r="C4622" s="5">
        <f>DATE(2012,12,31)-443</f>
        <v>40831</v>
      </c>
      <c r="D4622" s="4" t="s">
        <v>63</v>
      </c>
      <c r="E4622" s="4">
        <v>43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7">C4622+2</f>
        <v>40833</v>
      </c>
    </row>
    <row r="4623" spans="1:21" ht="12" customHeight="1">
      <c r="A4623" s="4">
        <v>7249</v>
      </c>
      <c r="B4623" s="4">
        <v>51687</v>
      </c>
      <c r="C4623" s="5">
        <f>DATE(2012,12,31)-477</f>
        <v>40797</v>
      </c>
      <c r="D4623" s="4" t="s">
        <v>21</v>
      </c>
      <c r="E4623" s="4">
        <v>42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7"/>
        <v>40799</v>
      </c>
    </row>
    <row r="4624" spans="1:21" ht="12" customHeight="1">
      <c r="A4624" s="4">
        <v>7288</v>
      </c>
      <c r="B4624" s="4">
        <v>51974</v>
      </c>
      <c r="C4624" s="5">
        <f t="shared" ref="C4624:C4625" si="1948">DATE(2012,12,31)-705</f>
        <v>40569</v>
      </c>
      <c r="D4624" s="4" t="s">
        <v>30</v>
      </c>
      <c r="E4624" s="4">
        <v>10</v>
      </c>
      <c r="F4624" s="4">
        <v>1290.3699999999999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49">C4624+1</f>
        <v>40570</v>
      </c>
    </row>
    <row r="4625" spans="1:21" ht="12" customHeight="1">
      <c r="A4625" s="4">
        <v>7289</v>
      </c>
      <c r="B4625" s="4">
        <v>51974</v>
      </c>
      <c r="C4625" s="5">
        <f t="shared" si="1948"/>
        <v>40569</v>
      </c>
      <c r="D4625" s="4" t="s">
        <v>30</v>
      </c>
      <c r="E4625" s="4">
        <v>2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49"/>
        <v>40570</v>
      </c>
    </row>
    <row r="4626" spans="1:21" ht="12" customHeight="1">
      <c r="A4626" s="4">
        <v>7394</v>
      </c>
      <c r="B4626" s="4">
        <v>52676</v>
      </c>
      <c r="C4626" s="5">
        <f>DATE(2012,12,31)-125</f>
        <v>41149</v>
      </c>
      <c r="D4626" s="4" t="s">
        <v>30</v>
      </c>
      <c r="E4626" s="4">
        <v>46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0">C4626+2</f>
        <v>41151</v>
      </c>
    </row>
    <row r="4627" spans="1:21" ht="12" customHeight="1">
      <c r="A4627" s="4">
        <v>7542</v>
      </c>
      <c r="B4627" s="4">
        <v>53895</v>
      </c>
      <c r="C4627" s="5">
        <f>DATE(2012,12,31)-484</f>
        <v>40790</v>
      </c>
      <c r="D4627" s="4" t="s">
        <v>45</v>
      </c>
      <c r="E4627" s="4">
        <v>21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19.989999999999998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0.57999999999999996</v>
      </c>
      <c r="U4627" s="5">
        <f t="shared" si="1950"/>
        <v>40792</v>
      </c>
    </row>
    <row r="4628" spans="1:21" ht="12" customHeight="1">
      <c r="A4628" s="4">
        <v>7615</v>
      </c>
      <c r="B4628" s="4">
        <v>54497</v>
      </c>
      <c r="C4628" s="5">
        <f>DATE(2012,12,31)-1077</f>
        <v>40197</v>
      </c>
      <c r="D4628" s="4" t="s">
        <v>45</v>
      </c>
      <c r="E4628" s="4">
        <v>1</v>
      </c>
      <c r="F4628" s="4">
        <v>155.51</v>
      </c>
      <c r="G4628" s="4">
        <v>7.0000000000000007E-2</v>
      </c>
      <c r="H4628" s="4" t="s">
        <v>22</v>
      </c>
      <c r="I4628" s="6">
        <v>-87.34</v>
      </c>
      <c r="J4628" s="4">
        <v>142.86000000000001</v>
      </c>
      <c r="K4628" s="4">
        <v>19.989999999999998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0.56000000000000005</v>
      </c>
      <c r="U4628" s="5">
        <f>C4628+3</f>
        <v>40200</v>
      </c>
    </row>
    <row r="4629" spans="1:21" ht="12" customHeight="1">
      <c r="A4629" s="4">
        <v>7714</v>
      </c>
      <c r="B4629" s="4">
        <v>55296</v>
      </c>
      <c r="C4629" s="5">
        <f>DATE(2012,12,31)-74</f>
        <v>41200</v>
      </c>
      <c r="D4629" s="4" t="s">
        <v>21</v>
      </c>
      <c r="E4629" s="4">
        <v>32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spans="1:21" ht="12" customHeight="1">
      <c r="A4630" s="4">
        <v>7779</v>
      </c>
      <c r="B4630" s="4">
        <v>55654</v>
      </c>
      <c r="C4630" s="5">
        <f>DATE(2012,12,31)-834</f>
        <v>40440</v>
      </c>
      <c r="D4630" s="4" t="s">
        <v>30</v>
      </c>
      <c r="E4630" s="4">
        <v>2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1">C4630+2</f>
        <v>40442</v>
      </c>
    </row>
    <row r="4631" spans="1:21" ht="12" customHeight="1">
      <c r="A4631" s="4">
        <v>7884</v>
      </c>
      <c r="B4631" s="4">
        <v>56387</v>
      </c>
      <c r="C4631" s="5">
        <f t="shared" ref="C4631:C4632" si="1952">DATE(2012,12,31)-591</f>
        <v>40683</v>
      </c>
      <c r="D4631" s="4" t="s">
        <v>63</v>
      </c>
      <c r="E4631" s="4">
        <v>32</v>
      </c>
      <c r="F4631" s="4">
        <v>128.13999999999999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1"/>
        <v>40685</v>
      </c>
    </row>
    <row r="4632" spans="1:21" ht="12" customHeight="1">
      <c r="A4632" s="4">
        <v>7885</v>
      </c>
      <c r="B4632" s="4">
        <v>56387</v>
      </c>
      <c r="C4632" s="5">
        <f t="shared" si="1952"/>
        <v>40683</v>
      </c>
      <c r="D4632" s="4" t="s">
        <v>63</v>
      </c>
      <c r="E4632" s="4">
        <v>9</v>
      </c>
      <c r="F4632" s="4">
        <v>67.459999999999994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10.050000000000001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1"/>
        <v>40685</v>
      </c>
    </row>
    <row r="4633" spans="1:21" ht="12" customHeight="1">
      <c r="A4633" s="4">
        <v>7944</v>
      </c>
      <c r="B4633" s="4">
        <v>56743</v>
      </c>
      <c r="C4633" s="5">
        <f>DATE(2012,12,31)-558</f>
        <v>40716</v>
      </c>
      <c r="D4633" s="4" t="s">
        <v>63</v>
      </c>
      <c r="E4633" s="4">
        <v>23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spans="1:21" ht="12" customHeight="1">
      <c r="A4634" s="4">
        <v>7952</v>
      </c>
      <c r="B4634" s="4">
        <v>56805</v>
      </c>
      <c r="C4634" s="5">
        <f>DATE(2012,12,31)-209</f>
        <v>41065</v>
      </c>
      <c r="D4634" s="4" t="s">
        <v>30</v>
      </c>
      <c r="E4634" s="4">
        <v>38</v>
      </c>
      <c r="F4634" s="4">
        <v>14753.08</v>
      </c>
      <c r="G4634" s="4">
        <v>0.01</v>
      </c>
      <c r="H4634" s="4" t="s">
        <v>31</v>
      </c>
      <c r="I4634" s="6">
        <v>1085.9100000000001</v>
      </c>
      <c r="J4634" s="4">
        <v>370.98</v>
      </c>
      <c r="K4634" s="4">
        <v>99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3">C4634+1</f>
        <v>41066</v>
      </c>
    </row>
    <row r="4635" spans="1:21" ht="12" customHeight="1">
      <c r="A4635" s="4">
        <v>7958</v>
      </c>
      <c r="B4635" s="4">
        <v>56838</v>
      </c>
      <c r="C4635" s="5">
        <f>DATE(2012,12,31)-521</f>
        <v>40753</v>
      </c>
      <c r="D4635" s="4" t="s">
        <v>78</v>
      </c>
      <c r="E4635" s="4">
        <v>44</v>
      </c>
      <c r="F4635" s="4">
        <v>4326.2700000000004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3"/>
        <v>40754</v>
      </c>
    </row>
    <row r="4636" spans="1:21" ht="12" customHeight="1">
      <c r="A4636" s="4">
        <v>7988</v>
      </c>
      <c r="B4636" s="4">
        <v>57095</v>
      </c>
      <c r="C4636" s="5">
        <f>DATE(2012,12,31)-649</f>
        <v>40625</v>
      </c>
      <c r="D4636" s="4" t="s">
        <v>63</v>
      </c>
      <c r="E4636" s="4">
        <v>37</v>
      </c>
      <c r="F4636" s="4">
        <v>254.93</v>
      </c>
      <c r="G4636" s="4">
        <v>0.01</v>
      </c>
      <c r="H4636" s="4" t="s">
        <v>22</v>
      </c>
      <c r="I4636" s="6">
        <v>-62.881999999999998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spans="1:21" ht="12" customHeight="1">
      <c r="A4637" s="4">
        <v>8019</v>
      </c>
      <c r="B4637" s="4">
        <v>57287</v>
      </c>
      <c r="C4637" s="5">
        <f>DATE(2012,12,31)-430</f>
        <v>40844</v>
      </c>
      <c r="D4637" s="4" t="s">
        <v>45</v>
      </c>
      <c r="E4637" s="4">
        <v>11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4">C4637+1</f>
        <v>40845</v>
      </c>
    </row>
    <row r="4638" spans="1:21" ht="12" customHeight="1">
      <c r="A4638" s="4">
        <v>8118</v>
      </c>
      <c r="B4638" s="4">
        <v>57984</v>
      </c>
      <c r="C4638" s="5">
        <f t="shared" ref="C4638:C4639" si="1955">DATE(2012,12,31)-821</f>
        <v>40453</v>
      </c>
      <c r="D4638" s="4" t="s">
        <v>30</v>
      </c>
      <c r="E4638" s="4">
        <v>6</v>
      </c>
      <c r="F4638" s="4">
        <v>192.99</v>
      </c>
      <c r="G4638" s="4">
        <v>7.0000000000000007E-2</v>
      </c>
      <c r="H4638" s="4" t="s">
        <v>56</v>
      </c>
      <c r="I4638" s="6">
        <v>-123.37</v>
      </c>
      <c r="J4638" s="4">
        <v>30.97</v>
      </c>
      <c r="K4638" s="4">
        <v>4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4"/>
        <v>40454</v>
      </c>
    </row>
    <row r="4639" spans="1:21" ht="12" customHeight="1">
      <c r="A4639" s="4">
        <v>8119</v>
      </c>
      <c r="B4639" s="4">
        <v>57984</v>
      </c>
      <c r="C4639" s="5">
        <f t="shared" si="1955"/>
        <v>40453</v>
      </c>
      <c r="D4639" s="4" t="s">
        <v>30</v>
      </c>
      <c r="E4639" s="4">
        <v>20</v>
      </c>
      <c r="F4639" s="4">
        <v>11829.4</v>
      </c>
      <c r="G4639" s="4">
        <v>7.0000000000000007E-2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spans="1:21" ht="12" customHeight="1">
      <c r="A4640" s="4">
        <v>8388</v>
      </c>
      <c r="B4640" s="4">
        <v>59911</v>
      </c>
      <c r="C4640" s="5">
        <f>DATE(2012,12,31)-379</f>
        <v>40895</v>
      </c>
      <c r="D4640" s="4" t="s">
        <v>45</v>
      </c>
      <c r="E4640" s="4">
        <v>1</v>
      </c>
      <c r="F4640" s="4">
        <v>10.59</v>
      </c>
      <c r="G4640" s="4">
        <v>0.1</v>
      </c>
      <c r="H4640" s="4" t="s">
        <v>22</v>
      </c>
      <c r="I4640" s="6">
        <v>-4.3099999999999996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6">C4640+1</f>
        <v>40896</v>
      </c>
    </row>
    <row r="4641" spans="1:21" ht="12" customHeight="1">
      <c r="A4641" s="4">
        <v>168</v>
      </c>
      <c r="B4641" s="4">
        <v>1058</v>
      </c>
      <c r="C4641" s="5">
        <f>DATE(2012,12,31)-981</f>
        <v>40293</v>
      </c>
      <c r="D4641" s="4" t="s">
        <v>63</v>
      </c>
      <c r="E4641" s="4">
        <v>3</v>
      </c>
      <c r="F4641" s="4">
        <v>469.43799999999999</v>
      </c>
      <c r="G4641" s="4">
        <v>7.0000000000000007E-2</v>
      </c>
      <c r="H4641" s="4" t="s">
        <v>22</v>
      </c>
      <c r="I4641" s="6">
        <v>-888.16199999999992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6"/>
        <v>40294</v>
      </c>
    </row>
    <row r="4642" spans="1:21" ht="12" customHeight="1">
      <c r="A4642" s="4">
        <v>172</v>
      </c>
      <c r="B4642" s="4">
        <v>1088</v>
      </c>
      <c r="C4642" s="5">
        <f>DATE(2012,12,31)-225</f>
        <v>41049</v>
      </c>
      <c r="D4642" s="4" t="s">
        <v>21</v>
      </c>
      <c r="E4642" s="4">
        <v>13</v>
      </c>
      <c r="F4642" s="4">
        <v>269.02</v>
      </c>
      <c r="G4642" s="4">
        <v>0.1</v>
      </c>
      <c r="H4642" s="4" t="s">
        <v>22</v>
      </c>
      <c r="I4642" s="6">
        <v>-112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spans="1:21" ht="12" customHeight="1">
      <c r="A4643" s="4">
        <v>225</v>
      </c>
      <c r="B4643" s="4">
        <v>1504</v>
      </c>
      <c r="C4643" s="5">
        <f>DATE(2012,12,31)-126</f>
        <v>41148</v>
      </c>
      <c r="D4643" s="4" t="s">
        <v>63</v>
      </c>
      <c r="E4643" s="4">
        <v>31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spans="1:21" ht="12" customHeight="1">
      <c r="A4644" s="4">
        <v>258</v>
      </c>
      <c r="B4644" s="4">
        <v>1796</v>
      </c>
      <c r="C4644" s="5">
        <f>DATE(2012,12,31)-41</f>
        <v>41233</v>
      </c>
      <c r="D4644" s="4" t="s">
        <v>30</v>
      </c>
      <c r="E4644" s="4">
        <v>43</v>
      </c>
      <c r="F4644" s="4">
        <v>183.41</v>
      </c>
      <c r="G4644" s="4">
        <v>7.0000000000000007E-2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spans="1:21" ht="12" customHeight="1">
      <c r="A4645" s="4">
        <v>292</v>
      </c>
      <c r="B4645" s="4">
        <v>2048</v>
      </c>
      <c r="C4645" s="5">
        <f t="shared" ref="C4645:C4646" si="1957">DATE(2012,12,31)-778</f>
        <v>40496</v>
      </c>
      <c r="D4645" s="4" t="s">
        <v>78</v>
      </c>
      <c r="E4645" s="4">
        <v>12</v>
      </c>
      <c r="F4645" s="4">
        <v>3752.61</v>
      </c>
      <c r="G4645" s="4">
        <v>0.01</v>
      </c>
      <c r="H4645" s="4" t="s">
        <v>31</v>
      </c>
      <c r="I4645" s="6">
        <v>637.92999999999995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0.56999999999999995</v>
      </c>
      <c r="U4645" s="5">
        <f t="shared" ref="U4645:U4646" si="1958">C4645+1</f>
        <v>40497</v>
      </c>
    </row>
    <row r="4646" spans="1:21" ht="12" customHeight="1">
      <c r="A4646" s="4">
        <v>293</v>
      </c>
      <c r="B4646" s="4">
        <v>2048</v>
      </c>
      <c r="C4646" s="5">
        <f t="shared" si="1957"/>
        <v>40496</v>
      </c>
      <c r="D4646" s="4" t="s">
        <v>78</v>
      </c>
      <c r="E4646" s="4">
        <v>9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0.56000000000000005</v>
      </c>
      <c r="U4646" s="5">
        <f t="shared" si="1958"/>
        <v>40497</v>
      </c>
    </row>
    <row r="4647" spans="1:21" ht="12" customHeight="1">
      <c r="A4647" s="4">
        <v>299</v>
      </c>
      <c r="B4647" s="4">
        <v>2054</v>
      </c>
      <c r="C4647" s="5">
        <f t="shared" ref="C4647:C4648" si="1959">DATE(2012,12,31)-207</f>
        <v>41067</v>
      </c>
      <c r="D4647" s="4" t="s">
        <v>45</v>
      </c>
      <c r="E4647" s="4">
        <v>1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19.989999999999998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0.56999999999999995</v>
      </c>
      <c r="U4647" s="5">
        <f>C4647+3</f>
        <v>41070</v>
      </c>
    </row>
    <row r="4648" spans="1:21" ht="12" customHeight="1">
      <c r="A4648" s="4">
        <v>300</v>
      </c>
      <c r="B4648" s="4">
        <v>2054</v>
      </c>
      <c r="C4648" s="5">
        <f t="shared" si="1959"/>
        <v>41067</v>
      </c>
      <c r="D4648" s="4" t="s">
        <v>45</v>
      </c>
      <c r="E4648" s="4">
        <v>34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spans="1:21" ht="12" customHeight="1">
      <c r="A4649" s="4">
        <v>432</v>
      </c>
      <c r="B4649" s="4">
        <v>2885</v>
      </c>
      <c r="C4649" s="5">
        <f t="shared" ref="C4649:C4650" si="1960">DATE(2012,12,31)-104</f>
        <v>41170</v>
      </c>
      <c r="D4649" s="4" t="s">
        <v>45</v>
      </c>
      <c r="E4649" s="4">
        <v>29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spans="1:21" ht="12" customHeight="1">
      <c r="A4650" s="4">
        <v>433</v>
      </c>
      <c r="B4650" s="4">
        <v>2885</v>
      </c>
      <c r="C4650" s="5">
        <f t="shared" si="1960"/>
        <v>41170</v>
      </c>
      <c r="D4650" s="4" t="s">
        <v>45</v>
      </c>
      <c r="E4650" s="4">
        <v>46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1">C4650+2</f>
        <v>41172</v>
      </c>
    </row>
    <row r="4651" spans="1:21" ht="12" customHeight="1">
      <c r="A4651" s="4">
        <v>581</v>
      </c>
      <c r="B4651" s="4">
        <v>3970</v>
      </c>
      <c r="C4651" s="5">
        <f t="shared" ref="C4651:C4652" si="1962">DATE(2012,12,31)-280</f>
        <v>40994</v>
      </c>
      <c r="D4651" s="4" t="s">
        <v>63</v>
      </c>
      <c r="E4651" s="4">
        <v>39</v>
      </c>
      <c r="F4651" s="4">
        <v>1032.97</v>
      </c>
      <c r="G4651" s="4">
        <v>7.0000000000000007E-2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1"/>
        <v>40996</v>
      </c>
    </row>
    <row r="4652" spans="1:21" ht="12" customHeight="1">
      <c r="A4652" s="4">
        <v>582</v>
      </c>
      <c r="B4652" s="4">
        <v>3970</v>
      </c>
      <c r="C4652" s="5">
        <f t="shared" si="1962"/>
        <v>40994</v>
      </c>
      <c r="D4652" s="4" t="s">
        <v>63</v>
      </c>
      <c r="E4652" s="4">
        <v>13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spans="1:21" ht="12" customHeight="1">
      <c r="A4653" s="4">
        <v>678</v>
      </c>
      <c r="B4653" s="4">
        <v>4739</v>
      </c>
      <c r="C4653" s="5">
        <f>DATE(2012,12,31)-1045</f>
        <v>40229</v>
      </c>
      <c r="D4653" s="4" t="s">
        <v>21</v>
      </c>
      <c r="E4653" s="4">
        <v>16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0.57999999999999996</v>
      </c>
      <c r="U4653" s="5">
        <f>C4653+4</f>
        <v>40233</v>
      </c>
    </row>
    <row r="4654" spans="1:21" ht="12" customHeight="1">
      <c r="A4654" s="4">
        <v>749</v>
      </c>
      <c r="B4654" s="4">
        <v>5378</v>
      </c>
      <c r="C4654" s="5">
        <f>DATE(2012,12,31)-68</f>
        <v>41206</v>
      </c>
      <c r="D4654" s="4" t="s">
        <v>78</v>
      </c>
      <c r="E4654" s="4">
        <v>6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3">C4654+2</f>
        <v>41208</v>
      </c>
    </row>
    <row r="4655" spans="1:21" ht="12" customHeight="1">
      <c r="A4655" s="4">
        <v>876</v>
      </c>
      <c r="B4655" s="4">
        <v>6279</v>
      </c>
      <c r="C4655" s="5">
        <f>DATE(2012,12,31)-1067</f>
        <v>40207</v>
      </c>
      <c r="D4655" s="4" t="s">
        <v>78</v>
      </c>
      <c r="E4655" s="4">
        <v>49</v>
      </c>
      <c r="F4655" s="4">
        <v>3283.74</v>
      </c>
      <c r="G4655" s="4">
        <v>0.01</v>
      </c>
      <c r="H4655" s="4" t="s">
        <v>22</v>
      </c>
      <c r="I4655" s="6">
        <v>723.33300000000008</v>
      </c>
      <c r="J4655" s="4">
        <v>67.28</v>
      </c>
      <c r="K4655" s="4">
        <v>19.989999999999998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3"/>
        <v>40209</v>
      </c>
    </row>
    <row r="4656" spans="1:21" ht="12" customHeight="1">
      <c r="A4656" s="4">
        <v>1000</v>
      </c>
      <c r="B4656" s="4">
        <v>7267</v>
      </c>
      <c r="C4656" s="5">
        <f>DATE(2012,12,31)-125</f>
        <v>41149</v>
      </c>
      <c r="D4656" s="4" t="s">
        <v>30</v>
      </c>
      <c r="E4656" s="4">
        <v>19</v>
      </c>
      <c r="F4656" s="4">
        <v>262.32</v>
      </c>
      <c r="G4656" s="4">
        <v>7.0000000000000007E-2</v>
      </c>
      <c r="H4656" s="4" t="s">
        <v>22</v>
      </c>
      <c r="I4656" s="6">
        <v>5.1595000000000004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spans="1:21" ht="12" customHeight="1">
      <c r="A4657" s="4">
        <v>1170</v>
      </c>
      <c r="B4657" s="4">
        <v>8546</v>
      </c>
      <c r="C4657" s="5">
        <f>DATE(2012,12,31)-274</f>
        <v>41000</v>
      </c>
      <c r="D4657" s="4" t="s">
        <v>30</v>
      </c>
      <c r="E4657" s="4">
        <v>4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spans="1:21" ht="12" customHeight="1">
      <c r="A4658" s="4">
        <v>1174</v>
      </c>
      <c r="B4658" s="4">
        <v>8578</v>
      </c>
      <c r="C4658" s="5">
        <f>DATE(2012,12,31)-486</f>
        <v>40788</v>
      </c>
      <c r="D4658" s="4" t="s">
        <v>30</v>
      </c>
      <c r="E4658" s="4">
        <v>40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spans="1:21" ht="12" customHeight="1">
      <c r="A4659" s="4">
        <v>1373</v>
      </c>
      <c r="B4659" s="4">
        <v>9952</v>
      </c>
      <c r="C4659" s="5">
        <f>DATE(2012,12,31)-244</f>
        <v>41030</v>
      </c>
      <c r="D4659" s="4" t="s">
        <v>30</v>
      </c>
      <c r="E4659" s="4">
        <v>47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4">C4659+2</f>
        <v>41032</v>
      </c>
    </row>
    <row r="4660" spans="1:21" ht="12" customHeight="1">
      <c r="A4660" s="4">
        <v>1474</v>
      </c>
      <c r="B4660" s="4">
        <v>10630</v>
      </c>
      <c r="C4660" s="5">
        <f>DATE(2012,12,31)-1061</f>
        <v>40213</v>
      </c>
      <c r="D4660" s="4" t="s">
        <v>63</v>
      </c>
      <c r="E4660" s="4">
        <v>44</v>
      </c>
      <c r="F4660" s="4">
        <v>2773.84</v>
      </c>
      <c r="G4660" s="4">
        <v>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4"/>
        <v>40215</v>
      </c>
    </row>
    <row r="4661" spans="1:21" ht="12" customHeight="1">
      <c r="A4661" s="4">
        <v>1475</v>
      </c>
      <c r="B4661" s="4">
        <v>10657</v>
      </c>
      <c r="C4661" s="5">
        <f t="shared" ref="C4661:C4662" si="1965">DATE(2012,12,31)-828</f>
        <v>40446</v>
      </c>
      <c r="D4661" s="4" t="s">
        <v>63</v>
      </c>
      <c r="E4661" s="4">
        <v>44</v>
      </c>
      <c r="F4661" s="4">
        <v>289.94</v>
      </c>
      <c r="G4661" s="4">
        <v>7.0000000000000007E-2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4"/>
        <v>40448</v>
      </c>
    </row>
    <row r="4662" spans="1:21" ht="12" customHeight="1">
      <c r="A4662" s="4">
        <v>1476</v>
      </c>
      <c r="B4662" s="4">
        <v>10657</v>
      </c>
      <c r="C4662" s="5">
        <f t="shared" si="1965"/>
        <v>40446</v>
      </c>
      <c r="D4662" s="4" t="s">
        <v>63</v>
      </c>
      <c r="E4662" s="4">
        <v>8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6">C4662+1</f>
        <v>40447</v>
      </c>
    </row>
    <row r="4663" spans="1:21" ht="12" customHeight="1">
      <c r="A4663" s="4">
        <v>1582</v>
      </c>
      <c r="B4663" s="4">
        <v>11427</v>
      </c>
      <c r="C4663" s="5">
        <f t="shared" ref="C4663:C4664" si="1967">DATE(2012,12,31)-768</f>
        <v>40506</v>
      </c>
      <c r="D4663" s="4" t="s">
        <v>63</v>
      </c>
      <c r="E4663" s="4">
        <v>27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6"/>
        <v>40507</v>
      </c>
    </row>
    <row r="4664" spans="1:21" ht="12" customHeight="1">
      <c r="A4664" s="4">
        <v>1583</v>
      </c>
      <c r="B4664" s="4">
        <v>11427</v>
      </c>
      <c r="C4664" s="5">
        <f t="shared" si="1967"/>
        <v>40506</v>
      </c>
      <c r="D4664" s="4" t="s">
        <v>63</v>
      </c>
      <c r="E4664" s="4">
        <v>20</v>
      </c>
      <c r="F4664" s="4">
        <v>136.06</v>
      </c>
      <c r="G4664" s="4">
        <v>0.04</v>
      </c>
      <c r="H4664" s="4" t="s">
        <v>22</v>
      </c>
      <c r="I4664" s="6">
        <v>-33.223500000000001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spans="1:21" ht="12" customHeight="1">
      <c r="A4665" s="4">
        <v>1667</v>
      </c>
      <c r="B4665" s="4">
        <v>12037</v>
      </c>
      <c r="C4665" s="5">
        <f>DATE(2012,12,31)-550</f>
        <v>40724</v>
      </c>
      <c r="D4665" s="4" t="s">
        <v>21</v>
      </c>
      <c r="E4665" s="4">
        <v>14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4.3899999999999997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spans="1:21" ht="12" customHeight="1">
      <c r="A4666" s="4">
        <v>1701</v>
      </c>
      <c r="B4666" s="4">
        <v>12259</v>
      </c>
      <c r="C4666" s="5">
        <f t="shared" ref="C4666:C4667" si="1968">DATE(2012,12,31)-1051</f>
        <v>40223</v>
      </c>
      <c r="D4666" s="4" t="s">
        <v>30</v>
      </c>
      <c r="E4666" s="4">
        <v>45</v>
      </c>
      <c r="F4666" s="4">
        <v>5007.6899999999996</v>
      </c>
      <c r="G4666" s="4">
        <v>7.0000000000000007E-2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spans="1:21" ht="12" customHeight="1">
      <c r="A4667" s="4">
        <v>1702</v>
      </c>
      <c r="B4667" s="4">
        <v>12259</v>
      </c>
      <c r="C4667" s="5">
        <f t="shared" si="1968"/>
        <v>40223</v>
      </c>
      <c r="D4667" s="4" t="s">
        <v>30</v>
      </c>
      <c r="E4667" s="4">
        <v>45</v>
      </c>
      <c r="F4667" s="4">
        <v>1379.62</v>
      </c>
      <c r="G4667" s="4">
        <v>0.1</v>
      </c>
      <c r="H4667" s="4" t="s">
        <v>22</v>
      </c>
      <c r="I4667" s="6">
        <v>-66.069999999999993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69">C4667+1</f>
        <v>40224</v>
      </c>
    </row>
    <row r="4668" spans="1:21" ht="12" customHeight="1">
      <c r="A4668" s="4">
        <v>1801</v>
      </c>
      <c r="B4668" s="4">
        <v>12900</v>
      </c>
      <c r="C4668" s="5">
        <f t="shared" ref="C4668:C4669" si="1970">DATE(2012,12,31)-973</f>
        <v>40301</v>
      </c>
      <c r="D4668" s="4" t="s">
        <v>30</v>
      </c>
      <c r="E4668" s="4">
        <v>50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4.9800000000000004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69"/>
        <v>40302</v>
      </c>
    </row>
    <row r="4669" spans="1:21" ht="12" customHeight="1">
      <c r="A4669" s="4">
        <v>1802</v>
      </c>
      <c r="B4669" s="4">
        <v>12900</v>
      </c>
      <c r="C4669" s="5">
        <f t="shared" si="1970"/>
        <v>40301</v>
      </c>
      <c r="D4669" s="4" t="s">
        <v>30</v>
      </c>
      <c r="E4669" s="4">
        <v>18</v>
      </c>
      <c r="F4669" s="4">
        <v>4096.21</v>
      </c>
      <c r="G4669" s="4">
        <v>0.08</v>
      </c>
      <c r="H4669" s="4" t="s">
        <v>31</v>
      </c>
      <c r="I4669" s="6">
        <v>308.22000000000003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0.56000000000000005</v>
      </c>
      <c r="U4669" s="5">
        <f>C4669+2</f>
        <v>40303</v>
      </c>
    </row>
    <row r="4670" spans="1:21" ht="12" customHeight="1">
      <c r="A4670" s="4">
        <v>1814</v>
      </c>
      <c r="B4670" s="4">
        <v>12999</v>
      </c>
      <c r="C4670" s="5">
        <f>DATE(2012,12,31)-1003</f>
        <v>40271</v>
      </c>
      <c r="D4670" s="4" t="s">
        <v>30</v>
      </c>
      <c r="E4670" s="4">
        <v>31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19.989999999999998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spans="1:21" ht="12" customHeight="1">
      <c r="A4671" s="4">
        <v>2173</v>
      </c>
      <c r="B4671" s="4">
        <v>15651</v>
      </c>
      <c r="C4671" s="5">
        <f t="shared" ref="C4671:C4673" si="1971">DATE(2012,12,31)-88</f>
        <v>41186</v>
      </c>
      <c r="D4671" s="4" t="s">
        <v>78</v>
      </c>
      <c r="E4671" s="4">
        <v>40</v>
      </c>
      <c r="F4671" s="4">
        <v>2182.91</v>
      </c>
      <c r="G4671" s="4">
        <v>0.1</v>
      </c>
      <c r="H4671" s="4" t="s">
        <v>56</v>
      </c>
      <c r="I4671" s="6">
        <v>549.45000000000005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0.56999999999999995</v>
      </c>
      <c r="U4671" s="5">
        <f>C4671+3</f>
        <v>41189</v>
      </c>
    </row>
    <row r="4672" spans="1:21" ht="12" customHeight="1">
      <c r="A4672" s="4">
        <v>2174</v>
      </c>
      <c r="B4672" s="4">
        <v>15651</v>
      </c>
      <c r="C4672" s="5">
        <f t="shared" si="1971"/>
        <v>41186</v>
      </c>
      <c r="D4672" s="4" t="s">
        <v>78</v>
      </c>
      <c r="E4672" s="4">
        <v>14</v>
      </c>
      <c r="F4672" s="4">
        <v>1144.3499999999999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2">C4672+2</f>
        <v>41188</v>
      </c>
    </row>
    <row r="4673" spans="1:21" ht="12" customHeight="1">
      <c r="A4673" s="4">
        <v>2175</v>
      </c>
      <c r="B4673" s="4">
        <v>15651</v>
      </c>
      <c r="C4673" s="5">
        <f t="shared" si="1971"/>
        <v>41186</v>
      </c>
      <c r="D4673" s="4" t="s">
        <v>78</v>
      </c>
      <c r="E4673" s="4">
        <v>8</v>
      </c>
      <c r="F4673" s="4">
        <v>1496.83</v>
      </c>
      <c r="G4673" s="4">
        <v>7.0000000000000007E-2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2"/>
        <v>41188</v>
      </c>
    </row>
    <row r="4674" spans="1:21" ht="12" customHeight="1">
      <c r="A4674" s="4">
        <v>2251</v>
      </c>
      <c r="B4674" s="4">
        <v>16197</v>
      </c>
      <c r="C4674" s="5">
        <f t="shared" ref="C4674:C4675" si="1973">DATE(2012,12,31)-66</f>
        <v>41208</v>
      </c>
      <c r="D4674" s="4" t="s">
        <v>78</v>
      </c>
      <c r="E4674" s="4">
        <v>23</v>
      </c>
      <c r="F4674" s="4">
        <v>218.71</v>
      </c>
      <c r="G4674" s="4">
        <v>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spans="1:21" ht="12" customHeight="1">
      <c r="A4675" s="4">
        <v>2252</v>
      </c>
      <c r="B4675" s="4">
        <v>16197</v>
      </c>
      <c r="C4675" s="5">
        <f t="shared" si="1973"/>
        <v>41208</v>
      </c>
      <c r="D4675" s="4" t="s">
        <v>78</v>
      </c>
      <c r="E4675" s="4">
        <v>19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4">C4675+1</f>
        <v>41209</v>
      </c>
    </row>
    <row r="4676" spans="1:21" ht="12" customHeight="1">
      <c r="A4676" s="4">
        <v>2329</v>
      </c>
      <c r="B4676" s="4">
        <v>16802</v>
      </c>
      <c r="C4676" s="5">
        <f t="shared" ref="C4676:C4677" si="1975">DATE(2012,12,31)-621</f>
        <v>40653</v>
      </c>
      <c r="D4676" s="4" t="s">
        <v>63</v>
      </c>
      <c r="E4676" s="4">
        <v>44</v>
      </c>
      <c r="F4676" s="4">
        <v>302.58999999999997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4"/>
        <v>40654</v>
      </c>
    </row>
    <row r="4677" spans="1:21" ht="12" customHeight="1">
      <c r="A4677" s="4">
        <v>2330</v>
      </c>
      <c r="B4677" s="4">
        <v>16802</v>
      </c>
      <c r="C4677" s="5">
        <f t="shared" si="1975"/>
        <v>40653</v>
      </c>
      <c r="D4677" s="4" t="s">
        <v>63</v>
      </c>
      <c r="E4677" s="4">
        <v>26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spans="1:21" ht="12" customHeight="1">
      <c r="A4678" s="4">
        <v>2418</v>
      </c>
      <c r="B4678" s="4">
        <v>17543</v>
      </c>
      <c r="C4678" s="5">
        <f t="shared" ref="C4678:C4680" si="1976">DATE(2012,12,31)-220</f>
        <v>41054</v>
      </c>
      <c r="D4678" s="4" t="s">
        <v>78</v>
      </c>
      <c r="E4678" s="4">
        <v>1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9.5399999999999991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spans="1:21" ht="12" customHeight="1">
      <c r="A4679" s="4">
        <v>2419</v>
      </c>
      <c r="B4679" s="4">
        <v>17543</v>
      </c>
      <c r="C4679" s="5">
        <f t="shared" si="1976"/>
        <v>41054</v>
      </c>
      <c r="D4679" s="4" t="s">
        <v>78</v>
      </c>
      <c r="E4679" s="4">
        <v>35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17.079999999999998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7">C4679+2</f>
        <v>41056</v>
      </c>
    </row>
    <row r="4680" spans="1:21" ht="12" customHeight="1">
      <c r="A4680" s="4">
        <v>2420</v>
      </c>
      <c r="B4680" s="4">
        <v>17543</v>
      </c>
      <c r="C4680" s="5">
        <f t="shared" si="1976"/>
        <v>41054</v>
      </c>
      <c r="D4680" s="4" t="s">
        <v>78</v>
      </c>
      <c r="E4680" s="4">
        <v>26</v>
      </c>
      <c r="F4680" s="4">
        <v>4300.6260000000002</v>
      </c>
      <c r="G4680" s="4">
        <v>0.06</v>
      </c>
      <c r="H4680" s="4" t="s">
        <v>22</v>
      </c>
      <c r="I4680" s="6">
        <v>685.20600000000002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7"/>
        <v>41056</v>
      </c>
    </row>
    <row r="4681" spans="1:21" ht="12" customHeight="1">
      <c r="A4681" s="4">
        <v>2482</v>
      </c>
      <c r="B4681" s="4">
        <v>18055</v>
      </c>
      <c r="C4681" s="5">
        <f>DATE(2012,12,31)-1061</f>
        <v>40213</v>
      </c>
      <c r="D4681" s="4" t="s">
        <v>78</v>
      </c>
      <c r="E4681" s="4">
        <v>3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4.9800000000000004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7"/>
        <v>40215</v>
      </c>
    </row>
    <row r="4682" spans="1:21" ht="12" customHeight="1">
      <c r="A4682" s="4">
        <v>2857</v>
      </c>
      <c r="B4682" s="4">
        <v>20579</v>
      </c>
      <c r="C4682" s="5">
        <f>DATE(2012,12,31)-91</f>
        <v>41183</v>
      </c>
      <c r="D4682" s="4" t="s">
        <v>63</v>
      </c>
      <c r="E4682" s="4">
        <v>16</v>
      </c>
      <c r="F4682" s="4">
        <v>1434.086</v>
      </c>
      <c r="G4682" s="4">
        <v>0.1</v>
      </c>
      <c r="H4682" s="4" t="s">
        <v>22</v>
      </c>
      <c r="I4682" s="6">
        <v>-26.245999999999999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0.56999999999999995</v>
      </c>
      <c r="U4682" s="5">
        <f>C4682+3</f>
        <v>41186</v>
      </c>
    </row>
    <row r="4683" spans="1:21" ht="12" customHeight="1">
      <c r="A4683" s="4">
        <v>2899</v>
      </c>
      <c r="B4683" s="4">
        <v>20933</v>
      </c>
      <c r="C4683" s="5">
        <f>DATE(2012,12,31)-127</f>
        <v>41147</v>
      </c>
      <c r="D4683" s="4" t="s">
        <v>30</v>
      </c>
      <c r="E4683" s="4">
        <v>45</v>
      </c>
      <c r="F4683" s="4">
        <v>2079.4740000000002</v>
      </c>
      <c r="G4683" s="4">
        <v>0.05</v>
      </c>
      <c r="H4683" s="4" t="s">
        <v>22</v>
      </c>
      <c r="I4683" s="6">
        <v>-81.564999999999998</v>
      </c>
      <c r="J4683" s="4">
        <v>55.99</v>
      </c>
      <c r="K4683" s="4">
        <v>5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spans="1:21" ht="12" customHeight="1">
      <c r="A4684" s="4">
        <v>2922</v>
      </c>
      <c r="B4684" s="4">
        <v>21155</v>
      </c>
      <c r="C4684" s="5">
        <f>DATE(2012,12,31)-695</f>
        <v>40579</v>
      </c>
      <c r="D4684" s="4" t="s">
        <v>30</v>
      </c>
      <c r="E4684" s="4">
        <v>4</v>
      </c>
      <c r="F4684" s="4">
        <v>81.78</v>
      </c>
      <c r="G4684" s="4">
        <v>7.0000000000000007E-2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spans="1:21" ht="12" customHeight="1">
      <c r="A4685" s="4">
        <v>3022</v>
      </c>
      <c r="B4685" s="4">
        <v>21731</v>
      </c>
      <c r="C4685" s="5">
        <f>DATE(2012,12,31)-401</f>
        <v>40873</v>
      </c>
      <c r="D4685" s="4" t="s">
        <v>21</v>
      </c>
      <c r="E4685" s="4">
        <v>26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spans="1:21" ht="12" customHeight="1">
      <c r="A4686" s="4">
        <v>3036</v>
      </c>
      <c r="B4686" s="4">
        <v>21799</v>
      </c>
      <c r="C4686" s="5">
        <f>DATE(2012,12,31)-622</f>
        <v>40652</v>
      </c>
      <c r="D4686" s="4" t="s">
        <v>45</v>
      </c>
      <c r="E4686" s="4">
        <v>42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0.57999999999999996</v>
      </c>
      <c r="U4686" s="5">
        <f>C4686+1</f>
        <v>40653</v>
      </c>
    </row>
    <row r="4687" spans="1:21" ht="12" customHeight="1">
      <c r="A4687" s="4">
        <v>3098</v>
      </c>
      <c r="B4687" s="4">
        <v>22210</v>
      </c>
      <c r="C4687" s="5">
        <f>DATE(2012,12,31)-469</f>
        <v>40805</v>
      </c>
      <c r="D4687" s="4" t="s">
        <v>78</v>
      </c>
      <c r="E4687" s="4">
        <v>37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4.8600000000000003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8">C4687+2</f>
        <v>40807</v>
      </c>
    </row>
    <row r="4688" spans="1:21" ht="12" customHeight="1">
      <c r="A4688" s="4">
        <v>3220</v>
      </c>
      <c r="B4688" s="4">
        <v>23106</v>
      </c>
      <c r="C4688" s="5">
        <f>DATE(2012,12,31)-803</f>
        <v>40471</v>
      </c>
      <c r="D4688" s="4" t="s">
        <v>63</v>
      </c>
      <c r="E4688" s="4">
        <v>35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16.059999999999999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0.56000000000000005</v>
      </c>
      <c r="U4688" s="5">
        <f t="shared" si="1978"/>
        <v>40473</v>
      </c>
    </row>
    <row r="4689" spans="1:21" ht="12" customHeight="1">
      <c r="A4689" s="4">
        <v>3331</v>
      </c>
      <c r="B4689" s="4">
        <v>23809</v>
      </c>
      <c r="C4689" s="5">
        <f>DATE(2012,12,31)-210</f>
        <v>41064</v>
      </c>
      <c r="D4689" s="4" t="s">
        <v>45</v>
      </c>
      <c r="E4689" s="4">
        <v>7</v>
      </c>
      <c r="F4689" s="4">
        <v>86.61</v>
      </c>
      <c r="G4689" s="4">
        <v>0.1</v>
      </c>
      <c r="H4689" s="4" t="s">
        <v>22</v>
      </c>
      <c r="I4689" s="6">
        <v>15.691000000000001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8"/>
        <v>41066</v>
      </c>
    </row>
    <row r="4690" spans="1:21" ht="12" customHeight="1">
      <c r="A4690" s="4">
        <v>3606</v>
      </c>
      <c r="B4690" s="4">
        <v>25793</v>
      </c>
      <c r="C4690" s="5">
        <f>DATE(2012,12,31)-268</f>
        <v>41006</v>
      </c>
      <c r="D4690" s="4" t="s">
        <v>21</v>
      </c>
      <c r="E4690" s="4">
        <v>27</v>
      </c>
      <c r="F4690" s="4">
        <v>3436.7710000000002</v>
      </c>
      <c r="G4690" s="4">
        <v>0.04</v>
      </c>
      <c r="H4690" s="4" t="s">
        <v>22</v>
      </c>
      <c r="I4690" s="6">
        <v>520.00199999999995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0.57999999999999996</v>
      </c>
      <c r="U4690" s="5">
        <f t="shared" si="1978"/>
        <v>41008</v>
      </c>
    </row>
    <row r="4691" spans="1:21" ht="12" customHeight="1">
      <c r="A4691" s="4">
        <v>3909</v>
      </c>
      <c r="B4691" s="4">
        <v>27875</v>
      </c>
      <c r="C4691" s="5">
        <f>DATE(2012,12,31)-1011</f>
        <v>40263</v>
      </c>
      <c r="D4691" s="4" t="s">
        <v>21</v>
      </c>
      <c r="E4691" s="4">
        <v>5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spans="1:21" ht="12" customHeight="1">
      <c r="A4692" s="4">
        <v>3911</v>
      </c>
      <c r="B4692" s="4">
        <v>27879</v>
      </c>
      <c r="C4692" s="5">
        <f t="shared" ref="C4692:C4693" si="1979">DATE(2012,12,31)-1039</f>
        <v>40235</v>
      </c>
      <c r="D4692" s="4" t="s">
        <v>63</v>
      </c>
      <c r="E4692" s="4">
        <v>44</v>
      </c>
      <c r="F4692" s="4">
        <v>669.01</v>
      </c>
      <c r="G4692" s="4">
        <v>0.08</v>
      </c>
      <c r="H4692" s="4" t="s">
        <v>22</v>
      </c>
      <c r="I4692" s="6">
        <v>299.35000000000002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spans="1:21" ht="12" customHeight="1">
      <c r="A4693" s="4">
        <v>3912</v>
      </c>
      <c r="B4693" s="4">
        <v>27879</v>
      </c>
      <c r="C4693" s="5">
        <f t="shared" si="1979"/>
        <v>40235</v>
      </c>
      <c r="D4693" s="4" t="s">
        <v>63</v>
      </c>
      <c r="E4693" s="4">
        <v>30</v>
      </c>
      <c r="F4693" s="4">
        <v>301.60000000000002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0.55000000000000004</v>
      </c>
      <c r="U4693" s="5">
        <f>C4693+2</f>
        <v>40237</v>
      </c>
    </row>
    <row r="4694" spans="1:21" ht="12" customHeight="1">
      <c r="A4694" s="4">
        <v>3953</v>
      </c>
      <c r="B4694" s="4">
        <v>28198</v>
      </c>
      <c r="C4694" s="5">
        <f>DATE(2012,12,31)-327</f>
        <v>40947</v>
      </c>
      <c r="D4694" s="4" t="s">
        <v>63</v>
      </c>
      <c r="E4694" s="4">
        <v>50</v>
      </c>
      <c r="F4694" s="4">
        <v>7703.9664999999995</v>
      </c>
      <c r="G4694" s="4">
        <v>0</v>
      </c>
      <c r="H4694" s="4" t="s">
        <v>22</v>
      </c>
      <c r="I4694" s="6">
        <v>2446.4969999999998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0.56999999999999995</v>
      </c>
      <c r="U4694" s="5">
        <f>C4694+1</f>
        <v>40948</v>
      </c>
    </row>
    <row r="4695" spans="1:21" ht="12" customHeight="1">
      <c r="A4695" s="4">
        <v>4021</v>
      </c>
      <c r="B4695" s="4">
        <v>28738</v>
      </c>
      <c r="C4695" s="5">
        <f t="shared" ref="C4695:C4696" si="1980">DATE(2012,12,31)-143</f>
        <v>41131</v>
      </c>
      <c r="D4695" s="4" t="s">
        <v>63</v>
      </c>
      <c r="E4695" s="4">
        <v>2</v>
      </c>
      <c r="F4695" s="4">
        <v>23.54</v>
      </c>
      <c r="G4695" s="4">
        <v>0.03</v>
      </c>
      <c r="H4695" s="4" t="s">
        <v>22</v>
      </c>
      <c r="I4695" s="6">
        <v>-14.467000000000001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spans="1:21" ht="12" customHeight="1">
      <c r="A4696" s="4">
        <v>4022</v>
      </c>
      <c r="B4696" s="4">
        <v>28738</v>
      </c>
      <c r="C4696" s="5">
        <f t="shared" si="1980"/>
        <v>41131</v>
      </c>
      <c r="D4696" s="4" t="s">
        <v>63</v>
      </c>
      <c r="E4696" s="4">
        <v>10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19.989999999999998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spans="1:21" ht="12" customHeight="1">
      <c r="A4697" s="4">
        <v>4083</v>
      </c>
      <c r="B4697" s="4">
        <v>29120</v>
      </c>
      <c r="C4697" s="5">
        <f t="shared" ref="C4697:C4698" si="1981">DATE(2012,12,31)-964</f>
        <v>40310</v>
      </c>
      <c r="D4697" s="4" t="s">
        <v>21</v>
      </c>
      <c r="E4697" s="4">
        <v>43</v>
      </c>
      <c r="F4697" s="4">
        <v>1677.27</v>
      </c>
      <c r="G4697" s="4">
        <v>0.08</v>
      </c>
      <c r="H4697" s="4" t="s">
        <v>22</v>
      </c>
      <c r="I4697" s="6">
        <v>528.79349999999999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spans="1:21" ht="12" customHeight="1">
      <c r="A4698" s="4">
        <v>4084</v>
      </c>
      <c r="B4698" s="4">
        <v>29120</v>
      </c>
      <c r="C4698" s="5">
        <f t="shared" si="1981"/>
        <v>40310</v>
      </c>
      <c r="D4698" s="4" t="s">
        <v>21</v>
      </c>
      <c r="E4698" s="4">
        <v>21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spans="1:21" ht="12" customHeight="1">
      <c r="A4699" s="4">
        <v>4157</v>
      </c>
      <c r="B4699" s="4">
        <v>29504</v>
      </c>
      <c r="C4699" s="5">
        <f t="shared" ref="C4699:C4700" si="1982">DATE(2012,12,31)-830</f>
        <v>40444</v>
      </c>
      <c r="D4699" s="4" t="s">
        <v>45</v>
      </c>
      <c r="E4699" s="4">
        <v>20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spans="1:21" ht="12" customHeight="1">
      <c r="A4700" s="4">
        <v>4158</v>
      </c>
      <c r="B4700" s="4">
        <v>29504</v>
      </c>
      <c r="C4700" s="5">
        <f t="shared" si="1982"/>
        <v>40444</v>
      </c>
      <c r="D4700" s="4" t="s">
        <v>45</v>
      </c>
      <c r="E4700" s="4">
        <v>34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3">C4700+0</f>
        <v>40444</v>
      </c>
    </row>
    <row r="4701" spans="1:21" ht="12" customHeight="1">
      <c r="A4701" s="4">
        <v>4300</v>
      </c>
      <c r="B4701" s="4">
        <v>30625</v>
      </c>
      <c r="C4701" s="5">
        <f t="shared" ref="C4701:C4702" si="1984">DATE(2012,12,31)-1057</f>
        <v>40217</v>
      </c>
      <c r="D4701" s="4" t="s">
        <v>78</v>
      </c>
      <c r="E4701" s="4">
        <v>37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3"/>
        <v>40217</v>
      </c>
    </row>
    <row r="4702" spans="1:21" ht="12" customHeight="1">
      <c r="A4702" s="4">
        <v>4301</v>
      </c>
      <c r="B4702" s="4">
        <v>30625</v>
      </c>
      <c r="C4702" s="5">
        <f t="shared" si="1984"/>
        <v>40217</v>
      </c>
      <c r="D4702" s="4" t="s">
        <v>78</v>
      </c>
      <c r="E4702" s="4">
        <v>24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10.119999999999999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5">C4702+2</f>
        <v>40219</v>
      </c>
    </row>
    <row r="4703" spans="1:21" ht="12" customHeight="1">
      <c r="A4703" s="4">
        <v>4397</v>
      </c>
      <c r="B4703" s="4">
        <v>31302</v>
      </c>
      <c r="C4703" s="5">
        <f>DATE(2012,12,31)-152</f>
        <v>41122</v>
      </c>
      <c r="D4703" s="4" t="s">
        <v>30</v>
      </c>
      <c r="E4703" s="4">
        <v>41</v>
      </c>
      <c r="F4703" s="4">
        <v>4648.6400000000003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5"/>
        <v>41124</v>
      </c>
    </row>
    <row r="4704" spans="1:21" ht="12" customHeight="1">
      <c r="A4704" s="4">
        <v>4490</v>
      </c>
      <c r="B4704" s="4">
        <v>31973</v>
      </c>
      <c r="C4704" s="5">
        <f t="shared" ref="C4704:C4705" si="1986">DATE(2012,12,31)-599</f>
        <v>40675</v>
      </c>
      <c r="D4704" s="4" t="s">
        <v>45</v>
      </c>
      <c r="E4704" s="4">
        <v>15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spans="1:21" ht="12" customHeight="1">
      <c r="A4705" s="4">
        <v>4491</v>
      </c>
      <c r="B4705" s="4">
        <v>31973</v>
      </c>
      <c r="C4705" s="5">
        <f t="shared" si="1986"/>
        <v>40675</v>
      </c>
      <c r="D4705" s="4" t="s">
        <v>45</v>
      </c>
      <c r="E4705" s="4">
        <v>16</v>
      </c>
      <c r="F4705" s="4">
        <v>124.89</v>
      </c>
      <c r="G4705" s="4">
        <v>7.0000000000000007E-2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spans="1:21" ht="12" customHeight="1">
      <c r="A4706" s="4">
        <v>4625</v>
      </c>
      <c r="B4706" s="4">
        <v>32929</v>
      </c>
      <c r="C4706" s="5">
        <f t="shared" ref="C4706:C4707" si="1987">DATE(2012,12,31)-609</f>
        <v>40665</v>
      </c>
      <c r="D4706" s="4" t="s">
        <v>21</v>
      </c>
      <c r="E4706" s="4">
        <v>8</v>
      </c>
      <c r="F4706" s="4">
        <v>44.56</v>
      </c>
      <c r="G4706" s="4">
        <v>0.05</v>
      </c>
      <c r="H4706" s="4" t="s">
        <v>22</v>
      </c>
      <c r="I4706" s="6">
        <v>4.8099999999999996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spans="1:21" ht="12" customHeight="1">
      <c r="A4707" s="4">
        <v>4626</v>
      </c>
      <c r="B4707" s="4">
        <v>32929</v>
      </c>
      <c r="C4707" s="5">
        <f t="shared" si="1987"/>
        <v>40665</v>
      </c>
      <c r="D4707" s="4" t="s">
        <v>21</v>
      </c>
      <c r="E4707" s="4">
        <v>13</v>
      </c>
      <c r="F4707" s="4">
        <v>152.13999999999999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4.8099999999999996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0.57999999999999996</v>
      </c>
      <c r="U4707" s="5">
        <f>C4707+5</f>
        <v>40670</v>
      </c>
    </row>
    <row r="4708" spans="1:21" ht="12" customHeight="1">
      <c r="A4708" s="4">
        <v>4690</v>
      </c>
      <c r="B4708" s="4">
        <v>33414</v>
      </c>
      <c r="C4708" s="5">
        <f>DATE(2012,12,31)-325</f>
        <v>40949</v>
      </c>
      <c r="D4708" s="4" t="s">
        <v>45</v>
      </c>
      <c r="E4708" s="4">
        <v>9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0.56999999999999995</v>
      </c>
      <c r="U4708" s="5">
        <f>C4708+0</f>
        <v>40949</v>
      </c>
    </row>
    <row r="4709" spans="1:21" ht="12" customHeight="1">
      <c r="A4709" s="4">
        <v>4860</v>
      </c>
      <c r="B4709" s="4">
        <v>34596</v>
      </c>
      <c r="C4709" s="5">
        <f>DATE(2012,12,31)-488</f>
        <v>40786</v>
      </c>
      <c r="D4709" s="4" t="s">
        <v>78</v>
      </c>
      <c r="E4709" s="4">
        <v>39</v>
      </c>
      <c r="F4709" s="4">
        <v>302.08999999999997</v>
      </c>
      <c r="G4709" s="4">
        <v>0.05</v>
      </c>
      <c r="H4709" s="4" t="s">
        <v>22</v>
      </c>
      <c r="I4709" s="6">
        <v>-67.091000000000008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spans="1:21" ht="12" customHeight="1">
      <c r="A4710" s="4">
        <v>5046</v>
      </c>
      <c r="B4710" s="4">
        <v>35940</v>
      </c>
      <c r="C4710" s="5">
        <f>DATE(2012,12,31)-949</f>
        <v>40325</v>
      </c>
      <c r="D4710" s="4" t="s">
        <v>78</v>
      </c>
      <c r="E4710" s="4">
        <v>47</v>
      </c>
      <c r="F4710" s="4">
        <v>136.63</v>
      </c>
      <c r="G4710" s="4">
        <v>0.03</v>
      </c>
      <c r="H4710" s="4" t="s">
        <v>22</v>
      </c>
      <c r="I4710" s="6">
        <v>-162.61000000000001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spans="1:21" ht="12" customHeight="1">
      <c r="A4711" s="4">
        <v>5115</v>
      </c>
      <c r="B4711" s="4">
        <v>36449</v>
      </c>
      <c r="C4711" s="5">
        <f t="shared" ref="C4711:C4712" si="1988">DATE(2012,12,31)-848</f>
        <v>40426</v>
      </c>
      <c r="D4711" s="4" t="s">
        <v>45</v>
      </c>
      <c r="E4711" s="4">
        <v>43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20.239999999999998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spans="1:21" ht="12" customHeight="1">
      <c r="A4712" s="4">
        <v>5116</v>
      </c>
      <c r="B4712" s="4">
        <v>36449</v>
      </c>
      <c r="C4712" s="5">
        <f t="shared" si="1988"/>
        <v>40426</v>
      </c>
      <c r="D4712" s="4" t="s">
        <v>45</v>
      </c>
      <c r="E4712" s="4">
        <v>27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spans="1:21" ht="12" customHeight="1">
      <c r="A4713" s="4">
        <v>5242</v>
      </c>
      <c r="B4713" s="4">
        <v>37313</v>
      </c>
      <c r="C4713" s="5">
        <f t="shared" ref="C4713:C4714" si="1989">DATE(2012,12,31)-182</f>
        <v>41092</v>
      </c>
      <c r="D4713" s="4" t="s">
        <v>45</v>
      </c>
      <c r="E4713" s="4">
        <v>44</v>
      </c>
      <c r="F4713" s="4">
        <v>3304.38</v>
      </c>
      <c r="G4713" s="4">
        <v>0</v>
      </c>
      <c r="H4713" s="4" t="s">
        <v>22</v>
      </c>
      <c r="I4713" s="6">
        <v>-634.49</v>
      </c>
      <c r="J4713" s="4">
        <v>70.709999999999994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spans="1:21" ht="12" customHeight="1">
      <c r="A4714" s="4">
        <v>5243</v>
      </c>
      <c r="B4714" s="4">
        <v>37313</v>
      </c>
      <c r="C4714" s="5">
        <f t="shared" si="1989"/>
        <v>41092</v>
      </c>
      <c r="D4714" s="4" t="s">
        <v>45</v>
      </c>
      <c r="E4714" s="4">
        <v>17</v>
      </c>
      <c r="F4714" s="4">
        <v>908.41200000000003</v>
      </c>
      <c r="G4714" s="4">
        <v>7.0000000000000007E-2</v>
      </c>
      <c r="H4714" s="4" t="s">
        <v>56</v>
      </c>
      <c r="I4714" s="6">
        <v>-71.191999999999993</v>
      </c>
      <c r="J4714" s="4">
        <v>65.989999999999995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0.57999999999999996</v>
      </c>
      <c r="U4714" s="5">
        <f>C4714+2</f>
        <v>41094</v>
      </c>
    </row>
    <row r="4715" spans="1:21" ht="12" customHeight="1">
      <c r="A4715" s="4">
        <v>5304</v>
      </c>
      <c r="B4715" s="4">
        <v>37762</v>
      </c>
      <c r="C4715" s="5">
        <f>DATE(2012,12,31)-208</f>
        <v>41066</v>
      </c>
      <c r="D4715" s="4" t="s">
        <v>63</v>
      </c>
      <c r="E4715" s="4">
        <v>20</v>
      </c>
      <c r="F4715" s="4">
        <v>135.02000000000001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spans="1:21" ht="12" customHeight="1">
      <c r="A4716" s="4">
        <v>5439</v>
      </c>
      <c r="B4716" s="4">
        <v>38628</v>
      </c>
      <c r="C4716" s="5">
        <f>DATE(2012,12,31)-429</f>
        <v>40845</v>
      </c>
      <c r="D4716" s="4" t="s">
        <v>21</v>
      </c>
      <c r="E4716" s="4">
        <v>23</v>
      </c>
      <c r="F4716" s="4">
        <v>667.99799999999993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spans="1:21" ht="12" customHeight="1">
      <c r="A4717" s="4">
        <v>5465</v>
      </c>
      <c r="B4717" s="4">
        <v>38848</v>
      </c>
      <c r="C4717" s="5">
        <f>DATE(2012,12,31)-15</f>
        <v>41259</v>
      </c>
      <c r="D4717" s="4" t="s">
        <v>30</v>
      </c>
      <c r="E4717" s="4">
        <v>6</v>
      </c>
      <c r="F4717" s="4">
        <v>259.52</v>
      </c>
      <c r="G4717" s="4">
        <v>0.06</v>
      </c>
      <c r="H4717" s="4" t="s">
        <v>22</v>
      </c>
      <c r="I4717" s="6">
        <v>45.203000000000003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0">C4717+1</f>
        <v>41260</v>
      </c>
    </row>
    <row r="4718" spans="1:21" ht="12" customHeight="1">
      <c r="A4718" s="4">
        <v>5490</v>
      </c>
      <c r="B4718" s="4">
        <v>38950</v>
      </c>
      <c r="C4718" s="5">
        <f t="shared" ref="C4718:C4720" si="1991">DATE(2012,12,31)-548</f>
        <v>40726</v>
      </c>
      <c r="D4718" s="4" t="s">
        <v>45</v>
      </c>
      <c r="E4718" s="4">
        <v>24</v>
      </c>
      <c r="F4718" s="4">
        <v>109.23</v>
      </c>
      <c r="G4718" s="4">
        <v>0.02</v>
      </c>
      <c r="H4718" s="4" t="s">
        <v>22</v>
      </c>
      <c r="I4718" s="6">
        <v>-100.57899999999999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0"/>
        <v>40727</v>
      </c>
    </row>
    <row r="4719" spans="1:21" ht="12" customHeight="1">
      <c r="A4719" s="4">
        <v>5491</v>
      </c>
      <c r="B4719" s="4">
        <v>38950</v>
      </c>
      <c r="C4719" s="5">
        <f t="shared" si="1991"/>
        <v>40726</v>
      </c>
      <c r="D4719" s="4" t="s">
        <v>45</v>
      </c>
      <c r="E4719" s="4">
        <v>39</v>
      </c>
      <c r="F4719" s="4">
        <v>74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0"/>
        <v>40727</v>
      </c>
    </row>
    <row r="4720" spans="1:21" ht="12" customHeight="1">
      <c r="A4720" s="4">
        <v>5492</v>
      </c>
      <c r="B4720" s="4">
        <v>38950</v>
      </c>
      <c r="C4720" s="5">
        <f t="shared" si="1991"/>
        <v>40726</v>
      </c>
      <c r="D4720" s="4" t="s">
        <v>45</v>
      </c>
      <c r="E4720" s="4">
        <v>30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0.56000000000000005</v>
      </c>
      <c r="U4720" s="5">
        <f>C4720+3</f>
        <v>40729</v>
      </c>
    </row>
    <row r="4721" spans="1:21" ht="12" customHeight="1">
      <c r="A4721" s="4">
        <v>5698</v>
      </c>
      <c r="B4721" s="4">
        <v>40289</v>
      </c>
      <c r="C4721" s="5">
        <f t="shared" ref="C4721:C4722" si="1992">DATE(2012,12,31)-35</f>
        <v>41239</v>
      </c>
      <c r="D4721" s="4" t="s">
        <v>45</v>
      </c>
      <c r="E4721" s="4">
        <v>26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3">C4721+1</f>
        <v>41240</v>
      </c>
    </row>
    <row r="4722" spans="1:21" ht="12" customHeight="1">
      <c r="A4722" s="4">
        <v>5699</v>
      </c>
      <c r="B4722" s="4">
        <v>40289</v>
      </c>
      <c r="C4722" s="5">
        <f t="shared" si="1992"/>
        <v>41239</v>
      </c>
      <c r="D4722" s="4" t="s">
        <v>45</v>
      </c>
      <c r="E4722" s="4">
        <v>4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3"/>
        <v>41240</v>
      </c>
    </row>
    <row r="4723" spans="1:21" ht="12" customHeight="1">
      <c r="A4723" s="4">
        <v>5739</v>
      </c>
      <c r="B4723" s="4">
        <v>40775</v>
      </c>
      <c r="C4723" s="5">
        <f>DATE(2012,12,31)-775</f>
        <v>40499</v>
      </c>
      <c r="D4723" s="4" t="s">
        <v>21</v>
      </c>
      <c r="E4723" s="4">
        <v>23</v>
      </c>
      <c r="F4723" s="4">
        <v>279.63</v>
      </c>
      <c r="G4723" s="4">
        <v>7.0000000000000007E-2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spans="1:21" ht="12" customHeight="1">
      <c r="A4724" s="4">
        <v>5808</v>
      </c>
      <c r="B4724" s="4">
        <v>41186</v>
      </c>
      <c r="C4724" s="5">
        <f>DATE(2012,12,31)-770</f>
        <v>40504</v>
      </c>
      <c r="D4724" s="4" t="s">
        <v>30</v>
      </c>
      <c r="E4724" s="4">
        <v>13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9.7799999999999994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spans="1:21" ht="12" customHeight="1">
      <c r="A4725" s="4">
        <v>5830</v>
      </c>
      <c r="B4725" s="4">
        <v>41351</v>
      </c>
      <c r="C4725" s="5">
        <f>DATE(2012,12,31)-830</f>
        <v>40444</v>
      </c>
      <c r="D4725" s="4" t="s">
        <v>45</v>
      </c>
      <c r="E4725" s="4">
        <v>48</v>
      </c>
      <c r="F4725" s="4">
        <v>8273.2795000000006</v>
      </c>
      <c r="G4725" s="4">
        <v>0.08</v>
      </c>
      <c r="H4725" s="4" t="s">
        <v>22</v>
      </c>
      <c r="I4725" s="6">
        <v>2461.3110000000001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0.56000000000000005</v>
      </c>
      <c r="U4725" s="5">
        <f t="shared" ref="U4725:U4726" si="1994">C4725+1</f>
        <v>40445</v>
      </c>
    </row>
    <row r="4726" spans="1:21" ht="12" customHeight="1">
      <c r="A4726" s="4">
        <v>5861</v>
      </c>
      <c r="B4726" s="4">
        <v>41605</v>
      </c>
      <c r="C4726" s="5">
        <f>DATE(2012,12,31)-737</f>
        <v>40537</v>
      </c>
      <c r="D4726" s="4" t="s">
        <v>63</v>
      </c>
      <c r="E4726" s="4">
        <v>4</v>
      </c>
      <c r="F4726" s="4">
        <v>114.57</v>
      </c>
      <c r="G4726" s="4">
        <v>0.02</v>
      </c>
      <c r="H4726" s="4" t="s">
        <v>22</v>
      </c>
      <c r="I4726" s="6">
        <v>-29.980499999999999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4"/>
        <v>40538</v>
      </c>
    </row>
    <row r="4727" spans="1:21" ht="12" customHeight="1">
      <c r="A4727" s="4">
        <v>5875</v>
      </c>
      <c r="B4727" s="4">
        <v>41667</v>
      </c>
      <c r="C4727" s="5">
        <f>DATE(2012,12,31)-194</f>
        <v>41080</v>
      </c>
      <c r="D4727" s="4" t="s">
        <v>30</v>
      </c>
      <c r="E4727" s="4">
        <v>18</v>
      </c>
      <c r="F4727" s="4">
        <v>1062.2194999999999</v>
      </c>
      <c r="G4727" s="4">
        <v>0.03</v>
      </c>
      <c r="H4727" s="4" t="s">
        <v>22</v>
      </c>
      <c r="I4727" s="6">
        <v>132.37200000000001</v>
      </c>
      <c r="J4727" s="4">
        <v>65.989999999999995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0.56999999999999995</v>
      </c>
      <c r="U4727" s="5">
        <f>C4727+3</f>
        <v>41083</v>
      </c>
    </row>
    <row r="4728" spans="1:21" ht="12" customHeight="1">
      <c r="A4728" s="4">
        <v>6068</v>
      </c>
      <c r="B4728" s="4">
        <v>42982</v>
      </c>
      <c r="C4728" s="5">
        <f>DATE(2012,12,31)-157</f>
        <v>41117</v>
      </c>
      <c r="D4728" s="4" t="s">
        <v>21</v>
      </c>
      <c r="E4728" s="4">
        <v>12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spans="1:21" ht="12" customHeight="1">
      <c r="A4729" s="4">
        <v>6172</v>
      </c>
      <c r="B4729" s="4">
        <v>43745</v>
      </c>
      <c r="C4729" s="5">
        <f t="shared" ref="C4729:C4730" si="1995">DATE(2012,12,31)-791</f>
        <v>40483</v>
      </c>
      <c r="D4729" s="4" t="s">
        <v>21</v>
      </c>
      <c r="E4729" s="4">
        <v>5</v>
      </c>
      <c r="F4729" s="4">
        <v>128.59</v>
      </c>
      <c r="G4729" s="4">
        <v>7.0000000000000007E-2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spans="1:21" ht="12" customHeight="1">
      <c r="A4730" s="4">
        <v>6173</v>
      </c>
      <c r="B4730" s="4">
        <v>43745</v>
      </c>
      <c r="C4730" s="5">
        <f t="shared" si="1995"/>
        <v>40483</v>
      </c>
      <c r="D4730" s="4" t="s">
        <v>21</v>
      </c>
      <c r="E4730" s="4">
        <v>1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spans="1:21" ht="12" customHeight="1">
      <c r="A4731" s="4">
        <v>6234</v>
      </c>
      <c r="B4731" s="4">
        <v>44167</v>
      </c>
      <c r="C4731" s="5">
        <f>DATE(2012,12,31)-336</f>
        <v>40938</v>
      </c>
      <c r="D4731" s="4" t="s">
        <v>78</v>
      </c>
      <c r="E4731" s="4">
        <v>23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142.86000000000001</v>
      </c>
      <c r="K4731" s="4">
        <v>19.989999999999998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0.56000000000000005</v>
      </c>
      <c r="U4731" s="5">
        <f>C4731+1</f>
        <v>40939</v>
      </c>
    </row>
    <row r="4732" spans="1:21" ht="12" customHeight="1">
      <c r="A4732" s="4">
        <v>6349</v>
      </c>
      <c r="B4732" s="4">
        <v>44997</v>
      </c>
      <c r="C4732" s="5">
        <f>DATE(2012,12,31)-460</f>
        <v>40814</v>
      </c>
      <c r="D4732" s="4" t="s">
        <v>21</v>
      </c>
      <c r="E4732" s="4">
        <v>46</v>
      </c>
      <c r="F4732" s="4">
        <v>88.1</v>
      </c>
      <c r="G4732" s="4">
        <v>0.03</v>
      </c>
      <c r="H4732" s="4" t="s">
        <v>22</v>
      </c>
      <c r="I4732" s="6">
        <v>-161.61000000000001</v>
      </c>
      <c r="J4732" s="4">
        <v>1.76</v>
      </c>
      <c r="K4732" s="4">
        <v>4.8600000000000003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spans="1:21" ht="12" customHeight="1">
      <c r="A4733" s="4">
        <v>6392</v>
      </c>
      <c r="B4733" s="4">
        <v>45408</v>
      </c>
      <c r="C4733" s="5">
        <f>DATE(2012,12,31)-736</f>
        <v>40538</v>
      </c>
      <c r="D4733" s="4" t="s">
        <v>21</v>
      </c>
      <c r="E4733" s="4">
        <v>25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spans="1:21" ht="12" customHeight="1">
      <c r="A4734" s="4">
        <v>6449</v>
      </c>
      <c r="B4734" s="4">
        <v>45924</v>
      </c>
      <c r="C4734" s="5">
        <f>DATE(2012,12,31)-741</f>
        <v>40533</v>
      </c>
      <c r="D4734" s="4" t="s">
        <v>21</v>
      </c>
      <c r="E4734" s="4">
        <v>1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spans="1:21" ht="12" customHeight="1">
      <c r="A4735" s="4">
        <v>6548</v>
      </c>
      <c r="B4735" s="4">
        <v>46565</v>
      </c>
      <c r="C4735" s="5">
        <f t="shared" ref="C4735:C4737" si="1996">DATE(2012,12,31)-558</f>
        <v>40716</v>
      </c>
      <c r="D4735" s="4" t="s">
        <v>45</v>
      </c>
      <c r="E4735" s="4">
        <v>16</v>
      </c>
      <c r="F4735" s="4">
        <v>4691.2700000000004</v>
      </c>
      <c r="G4735" s="4">
        <v>0.05</v>
      </c>
      <c r="H4735" s="4" t="s">
        <v>56</v>
      </c>
      <c r="I4735" s="6">
        <v>1196.72</v>
      </c>
      <c r="J4735" s="4">
        <v>300.64999999999998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spans="1:21" ht="12" customHeight="1">
      <c r="A4736" s="4">
        <v>6549</v>
      </c>
      <c r="B4736" s="4">
        <v>46565</v>
      </c>
      <c r="C4736" s="5">
        <f t="shared" si="1996"/>
        <v>40716</v>
      </c>
      <c r="D4736" s="4" t="s">
        <v>45</v>
      </c>
      <c r="E4736" s="4">
        <v>50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17.670000000000002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spans="1:21" ht="12" customHeight="1">
      <c r="A4737" s="4">
        <v>6550</v>
      </c>
      <c r="B4737" s="4">
        <v>46565</v>
      </c>
      <c r="C4737" s="5">
        <f t="shared" si="1996"/>
        <v>40716</v>
      </c>
      <c r="D4737" s="4" t="s">
        <v>45</v>
      </c>
      <c r="E4737" s="4">
        <v>8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64.650000000000006</v>
      </c>
      <c r="K4737" s="4">
        <v>35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7">C4737+2</f>
        <v>40718</v>
      </c>
    </row>
    <row r="4738" spans="1:21" ht="12" customHeight="1">
      <c r="A4738" s="4">
        <v>6593</v>
      </c>
      <c r="B4738" s="4">
        <v>46916</v>
      </c>
      <c r="C4738" s="5">
        <f t="shared" ref="C4738:C4739" si="1998">DATE(2012,12,31)-455</f>
        <v>40819</v>
      </c>
      <c r="D4738" s="4" t="s">
        <v>30</v>
      </c>
      <c r="E4738" s="4">
        <v>40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7"/>
        <v>40821</v>
      </c>
    </row>
    <row r="4739" spans="1:21" ht="12" customHeight="1">
      <c r="A4739" s="4">
        <v>6594</v>
      </c>
      <c r="B4739" s="4">
        <v>46916</v>
      </c>
      <c r="C4739" s="5">
        <f t="shared" si="1998"/>
        <v>40819</v>
      </c>
      <c r="D4739" s="4" t="s">
        <v>30</v>
      </c>
      <c r="E4739" s="4">
        <v>40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19.989999999999998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0.55000000000000004</v>
      </c>
      <c r="U4739" s="5">
        <f t="shared" si="1997"/>
        <v>40821</v>
      </c>
    </row>
    <row r="4740" spans="1:21" ht="12" customHeight="1">
      <c r="A4740" s="4">
        <v>6649</v>
      </c>
      <c r="B4740" s="4">
        <v>47271</v>
      </c>
      <c r="C4740" s="5">
        <f>DATE(2012,12,31)-522</f>
        <v>40752</v>
      </c>
      <c r="D4740" s="4" t="s">
        <v>63</v>
      </c>
      <c r="E4740" s="4">
        <v>44</v>
      </c>
      <c r="F4740" s="4">
        <v>221.42</v>
      </c>
      <c r="G4740" s="4">
        <v>0.03</v>
      </c>
      <c r="H4740" s="4" t="s">
        <v>22</v>
      </c>
      <c r="I4740" s="6">
        <v>-142.02000000000001</v>
      </c>
      <c r="J4740" s="4">
        <v>4.9800000000000004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spans="1:21" ht="12" customHeight="1">
      <c r="A4741" s="4">
        <v>6712</v>
      </c>
      <c r="B4741" s="4">
        <v>47815</v>
      </c>
      <c r="C4741" s="5">
        <f>DATE(2012,12,31)-1</f>
        <v>41273</v>
      </c>
      <c r="D4741" s="4" t="s">
        <v>45</v>
      </c>
      <c r="E4741" s="4">
        <v>45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1999">C4741+0</f>
        <v>41273</v>
      </c>
    </row>
    <row r="4742" spans="1:21" ht="12" customHeight="1">
      <c r="A4742" s="4">
        <v>6727</v>
      </c>
      <c r="B4742" s="4">
        <v>47909</v>
      </c>
      <c r="C4742" s="5">
        <f t="shared" ref="C4742:C4744" si="2000">DATE(2012,12,31)-1028</f>
        <v>40246</v>
      </c>
      <c r="D4742" s="4" t="s">
        <v>63</v>
      </c>
      <c r="E4742" s="4">
        <v>38</v>
      </c>
      <c r="F4742" s="4">
        <v>185.19</v>
      </c>
      <c r="G4742" s="4">
        <v>7.0000000000000007E-2</v>
      </c>
      <c r="H4742" s="4" t="s">
        <v>22</v>
      </c>
      <c r="I4742" s="6">
        <v>-175.62</v>
      </c>
      <c r="J4742" s="4">
        <v>4.9800000000000004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1999"/>
        <v>40246</v>
      </c>
    </row>
    <row r="4743" spans="1:21" ht="12" customHeight="1">
      <c r="A4743" s="4">
        <v>6728</v>
      </c>
      <c r="B4743" s="4">
        <v>47909</v>
      </c>
      <c r="C4743" s="5">
        <f t="shared" si="2000"/>
        <v>40246</v>
      </c>
      <c r="D4743" s="4" t="s">
        <v>63</v>
      </c>
      <c r="E4743" s="4">
        <v>22</v>
      </c>
      <c r="F4743" s="4">
        <v>220.26</v>
      </c>
      <c r="G4743" s="4">
        <v>7.0000000000000007E-2</v>
      </c>
      <c r="H4743" s="4" t="s">
        <v>22</v>
      </c>
      <c r="I4743" s="6">
        <v>-35.950000000000003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spans="1:21" ht="12" customHeight="1">
      <c r="A4744" s="4">
        <v>6729</v>
      </c>
      <c r="B4744" s="4">
        <v>47909</v>
      </c>
      <c r="C4744" s="5">
        <f t="shared" si="2000"/>
        <v>40246</v>
      </c>
      <c r="D4744" s="4" t="s">
        <v>63</v>
      </c>
      <c r="E4744" s="4">
        <v>48</v>
      </c>
      <c r="F4744" s="4">
        <v>843.03</v>
      </c>
      <c r="G4744" s="4">
        <v>0.08</v>
      </c>
      <c r="H4744" s="4" t="s">
        <v>22</v>
      </c>
      <c r="I4744" s="6">
        <v>419.89499999999998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spans="1:21" ht="12" customHeight="1">
      <c r="A4745" s="4">
        <v>6823</v>
      </c>
      <c r="B4745" s="4">
        <v>48609</v>
      </c>
      <c r="C4745" s="5">
        <f t="shared" ref="C4745:C4746" si="2001">DATE(2012,12,31)-1041</f>
        <v>40233</v>
      </c>
      <c r="D4745" s="4" t="s">
        <v>30</v>
      </c>
      <c r="E4745" s="4">
        <v>26</v>
      </c>
      <c r="F4745" s="4">
        <v>176.34</v>
      </c>
      <c r="G4745" s="4">
        <v>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2">C4745+1</f>
        <v>40234</v>
      </c>
    </row>
    <row r="4746" spans="1:21" ht="12" customHeight="1">
      <c r="A4746" s="4">
        <v>6824</v>
      </c>
      <c r="B4746" s="4">
        <v>48609</v>
      </c>
      <c r="C4746" s="5">
        <f t="shared" si="2001"/>
        <v>40233</v>
      </c>
      <c r="D4746" s="4" t="s">
        <v>30</v>
      </c>
      <c r="E4746" s="4">
        <v>5</v>
      </c>
      <c r="F4746" s="4">
        <v>186.5</v>
      </c>
      <c r="G4746" s="4">
        <v>0.04</v>
      </c>
      <c r="H4746" s="4" t="s">
        <v>56</v>
      </c>
      <c r="I4746" s="6">
        <v>4.1600000000000108</v>
      </c>
      <c r="J4746" s="4">
        <v>37.44</v>
      </c>
      <c r="K4746" s="4">
        <v>4.2699999999999996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2"/>
        <v>40234</v>
      </c>
    </row>
    <row r="4747" spans="1:21" ht="12" customHeight="1">
      <c r="A4747" s="4">
        <v>6833</v>
      </c>
      <c r="B4747" s="4">
        <v>48643</v>
      </c>
      <c r="C4747" s="5">
        <f t="shared" ref="C4747:C4749" si="2003">DATE(2012,12,31)-74</f>
        <v>41200</v>
      </c>
      <c r="D4747" s="4" t="s">
        <v>63</v>
      </c>
      <c r="E4747" s="4">
        <v>14</v>
      </c>
      <c r="F4747" s="4">
        <v>9171.7099999999991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4">C4747+2</f>
        <v>41202</v>
      </c>
    </row>
    <row r="4748" spans="1:21" ht="12" customHeight="1">
      <c r="A4748" s="4">
        <v>6834</v>
      </c>
      <c r="B4748" s="4">
        <v>48643</v>
      </c>
      <c r="C4748" s="5">
        <f t="shared" si="2003"/>
        <v>41200</v>
      </c>
      <c r="D4748" s="4" t="s">
        <v>63</v>
      </c>
      <c r="E4748" s="4">
        <v>6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4"/>
        <v>41202</v>
      </c>
    </row>
    <row r="4749" spans="1:21" ht="12" customHeight="1">
      <c r="A4749" s="4">
        <v>6835</v>
      </c>
      <c r="B4749" s="4">
        <v>48643</v>
      </c>
      <c r="C4749" s="5">
        <f t="shared" si="2003"/>
        <v>41200</v>
      </c>
      <c r="D4749" s="4" t="s">
        <v>63</v>
      </c>
      <c r="E4749" s="4">
        <v>50</v>
      </c>
      <c r="F4749" s="4">
        <v>2896.3579999999997</v>
      </c>
      <c r="G4749" s="4">
        <v>0</v>
      </c>
      <c r="H4749" s="4" t="s">
        <v>22</v>
      </c>
      <c r="I4749" s="6">
        <v>583.49700000000007</v>
      </c>
      <c r="J4749" s="4">
        <v>65.989999999999995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4"/>
        <v>41202</v>
      </c>
    </row>
    <row r="4750" spans="1:21" ht="12" customHeight="1">
      <c r="A4750" s="4">
        <v>6923</v>
      </c>
      <c r="B4750" s="4">
        <v>49380</v>
      </c>
      <c r="C4750" s="5">
        <f>DATE(2012,12,31)-241</f>
        <v>41033</v>
      </c>
      <c r="D4750" s="4" t="s">
        <v>63</v>
      </c>
      <c r="E4750" s="4">
        <v>11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4"/>
        <v>41035</v>
      </c>
    </row>
    <row r="4751" spans="1:21" ht="12" customHeight="1">
      <c r="A4751" s="4">
        <v>6977</v>
      </c>
      <c r="B4751" s="4">
        <v>49862</v>
      </c>
      <c r="C4751" s="5">
        <f>DATE(2012,12,31)-110</f>
        <v>41164</v>
      </c>
      <c r="D4751" s="4" t="s">
        <v>45</v>
      </c>
      <c r="E4751" s="4">
        <v>24</v>
      </c>
      <c r="F4751" s="4">
        <v>75.73</v>
      </c>
      <c r="G4751" s="4">
        <v>7.0000000000000007E-2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4"/>
        <v>41166</v>
      </c>
    </row>
    <row r="4752" spans="1:21" ht="12" customHeight="1">
      <c r="A4752" s="4">
        <v>7033</v>
      </c>
      <c r="B4752" s="4">
        <v>50209</v>
      </c>
      <c r="C4752" s="5">
        <f t="shared" ref="C4752:C4753" si="2005">DATE(2012,12,31)-843</f>
        <v>40431</v>
      </c>
      <c r="D4752" s="4" t="s">
        <v>30</v>
      </c>
      <c r="E4752" s="4">
        <v>34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4"/>
        <v>40433</v>
      </c>
    </row>
    <row r="4753" spans="1:21" ht="12" customHeight="1">
      <c r="A4753" s="4">
        <v>7034</v>
      </c>
      <c r="B4753" s="4">
        <v>50209</v>
      </c>
      <c r="C4753" s="5">
        <f t="shared" si="2005"/>
        <v>40431</v>
      </c>
      <c r="D4753" s="4" t="s">
        <v>30</v>
      </c>
      <c r="E4753" s="4">
        <v>2</v>
      </c>
      <c r="F4753" s="4">
        <v>53.3</v>
      </c>
      <c r="G4753" s="4">
        <v>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spans="1:21" ht="12" customHeight="1">
      <c r="A4754" s="4">
        <v>7076</v>
      </c>
      <c r="B4754" s="4">
        <v>50500</v>
      </c>
      <c r="C4754" s="5">
        <f t="shared" ref="C4754:C4755" si="2006">DATE(2012,12,31)-482</f>
        <v>40792</v>
      </c>
      <c r="D4754" s="4" t="s">
        <v>21</v>
      </c>
      <c r="E4754" s="4">
        <v>11</v>
      </c>
      <c r="F4754" s="4">
        <v>64.86</v>
      </c>
      <c r="G4754" s="4">
        <v>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spans="1:21" ht="12" customHeight="1">
      <c r="A4755" s="4">
        <v>7077</v>
      </c>
      <c r="B4755" s="4">
        <v>50500</v>
      </c>
      <c r="C4755" s="5">
        <f t="shared" si="2006"/>
        <v>40792</v>
      </c>
      <c r="D4755" s="4" t="s">
        <v>21</v>
      </c>
      <c r="E4755" s="4">
        <v>45</v>
      </c>
      <c r="F4755" s="4">
        <v>109.39</v>
      </c>
      <c r="G4755" s="4">
        <v>7.0000000000000007E-2</v>
      </c>
      <c r="H4755" s="4" t="s">
        <v>56</v>
      </c>
      <c r="I4755" s="6">
        <v>16.309999999999999</v>
      </c>
      <c r="J4755" s="4">
        <v>2.4700000000000002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spans="1:21" ht="12" customHeight="1">
      <c r="A4756" s="4">
        <v>7099</v>
      </c>
      <c r="B4756" s="4">
        <v>50657</v>
      </c>
      <c r="C4756" s="5">
        <f t="shared" ref="C4756:C4758" si="2007">DATE(2012,12,31)-379</f>
        <v>40895</v>
      </c>
      <c r="D4756" s="4" t="s">
        <v>30</v>
      </c>
      <c r="E4756" s="4">
        <v>40</v>
      </c>
      <c r="F4756" s="4">
        <v>315.45</v>
      </c>
      <c r="G4756" s="4">
        <v>0.01</v>
      </c>
      <c r="H4756" s="4" t="s">
        <v>22</v>
      </c>
      <c r="I4756" s="6">
        <v>-305.87700000000001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spans="1:21" ht="12" customHeight="1">
      <c r="A4757" s="4">
        <v>7100</v>
      </c>
      <c r="B4757" s="4">
        <v>50657</v>
      </c>
      <c r="C4757" s="5">
        <f t="shared" si="2007"/>
        <v>40895</v>
      </c>
      <c r="D4757" s="4" t="s">
        <v>30</v>
      </c>
      <c r="E4757" s="4">
        <v>16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8">C4757+2</f>
        <v>40897</v>
      </c>
    </row>
    <row r="4758" spans="1:21" ht="12" customHeight="1">
      <c r="A4758" s="4">
        <v>7101</v>
      </c>
      <c r="B4758" s="4">
        <v>50657</v>
      </c>
      <c r="C4758" s="5">
        <f t="shared" si="2007"/>
        <v>40895</v>
      </c>
      <c r="D4758" s="4" t="s">
        <v>30</v>
      </c>
      <c r="E4758" s="4">
        <v>49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150.97999999999999</v>
      </c>
      <c r="K4758" s="4">
        <v>16.010000000000002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8"/>
        <v>40897</v>
      </c>
    </row>
    <row r="4759" spans="1:21" ht="12" customHeight="1">
      <c r="A4759" s="4">
        <v>7108</v>
      </c>
      <c r="B4759" s="4">
        <v>50725</v>
      </c>
      <c r="C4759" s="5">
        <f>DATE(2012,12,31)-769</f>
        <v>40505</v>
      </c>
      <c r="D4759" s="4" t="s">
        <v>63</v>
      </c>
      <c r="E4759" s="4">
        <v>19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0.55000000000000004</v>
      </c>
      <c r="U4759" s="5">
        <f t="shared" si="2008"/>
        <v>40507</v>
      </c>
    </row>
    <row r="4760" spans="1:21" ht="12" customHeight="1">
      <c r="A4760" s="4">
        <v>7170</v>
      </c>
      <c r="B4760" s="4">
        <v>51175</v>
      </c>
      <c r="C4760" s="5">
        <f t="shared" ref="C4760:C4761" si="2009">DATE(2012,12,31)-139</f>
        <v>41135</v>
      </c>
      <c r="D4760" s="4" t="s">
        <v>30</v>
      </c>
      <c r="E4760" s="4">
        <v>28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0.56000000000000005</v>
      </c>
      <c r="U4760" s="5">
        <f>C4760+0</f>
        <v>41135</v>
      </c>
    </row>
    <row r="4761" spans="1:21" ht="12" customHeight="1">
      <c r="A4761" s="4">
        <v>7171</v>
      </c>
      <c r="B4761" s="4">
        <v>51175</v>
      </c>
      <c r="C4761" s="5">
        <f t="shared" si="2009"/>
        <v>41135</v>
      </c>
      <c r="D4761" s="4" t="s">
        <v>30</v>
      </c>
      <c r="E4761" s="4">
        <v>3</v>
      </c>
      <c r="F4761" s="4">
        <v>2136.9299999999998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spans="1:21" ht="12" customHeight="1">
      <c r="A4762" s="4">
        <v>7174</v>
      </c>
      <c r="B4762" s="4">
        <v>51202</v>
      </c>
      <c r="C4762" s="5">
        <f t="shared" ref="C4762:C4763" si="2010">DATE(2012,12,31)-262</f>
        <v>41012</v>
      </c>
      <c r="D4762" s="4" t="s">
        <v>30</v>
      </c>
      <c r="E4762" s="4">
        <v>4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spans="1:21" ht="12" customHeight="1">
      <c r="A4763" s="4">
        <v>7175</v>
      </c>
      <c r="B4763" s="4">
        <v>51202</v>
      </c>
      <c r="C4763" s="5">
        <f t="shared" si="2010"/>
        <v>41012</v>
      </c>
      <c r="D4763" s="4" t="s">
        <v>30</v>
      </c>
      <c r="E4763" s="4">
        <v>34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1">C4763+1</f>
        <v>41013</v>
      </c>
    </row>
    <row r="4764" spans="1:21" ht="12" customHeight="1">
      <c r="A4764" s="4">
        <v>7213</v>
      </c>
      <c r="B4764" s="4">
        <v>51488</v>
      </c>
      <c r="C4764" s="5">
        <f>DATE(2012,12,31)-974</f>
        <v>40300</v>
      </c>
      <c r="D4764" s="4" t="s">
        <v>30</v>
      </c>
      <c r="E4764" s="4">
        <v>31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0.57999999999999996</v>
      </c>
      <c r="U4764" s="5">
        <f t="shared" si="2011"/>
        <v>40301</v>
      </c>
    </row>
    <row r="4765" spans="1:21" ht="12" customHeight="1">
      <c r="A4765" s="4">
        <v>7397</v>
      </c>
      <c r="B4765" s="4">
        <v>52711</v>
      </c>
      <c r="C4765" s="5">
        <f t="shared" ref="C4765:C4766" si="2012">DATE(2012,12,31)-465</f>
        <v>40809</v>
      </c>
      <c r="D4765" s="4" t="s">
        <v>45</v>
      </c>
      <c r="E4765" s="4">
        <v>7</v>
      </c>
      <c r="F4765" s="4">
        <v>220.79</v>
      </c>
      <c r="G4765" s="4">
        <v>0</v>
      </c>
      <c r="H4765" s="4" t="s">
        <v>22</v>
      </c>
      <c r="I4765" s="6">
        <v>-91.51</v>
      </c>
      <c r="J4765" s="4">
        <v>30.97</v>
      </c>
      <c r="K4765" s="4">
        <v>4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3">C4765+2</f>
        <v>40811</v>
      </c>
    </row>
    <row r="4766" spans="1:21" ht="12" customHeight="1">
      <c r="A4766" s="4">
        <v>7398</v>
      </c>
      <c r="B4766" s="4">
        <v>52711</v>
      </c>
      <c r="C4766" s="5">
        <f t="shared" si="2012"/>
        <v>40809</v>
      </c>
      <c r="D4766" s="4" t="s">
        <v>45</v>
      </c>
      <c r="E4766" s="4">
        <v>41</v>
      </c>
      <c r="F4766" s="4">
        <v>755.19</v>
      </c>
      <c r="G4766" s="4">
        <v>0</v>
      </c>
      <c r="H4766" s="4" t="s">
        <v>22</v>
      </c>
      <c r="I4766" s="6">
        <v>81.44</v>
      </c>
      <c r="J4766" s="4">
        <v>17.670000000000002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3"/>
        <v>40811</v>
      </c>
    </row>
    <row r="4767" spans="1:21" ht="12" customHeight="1">
      <c r="A4767" s="4">
        <v>7568</v>
      </c>
      <c r="B4767" s="4">
        <v>54146</v>
      </c>
      <c r="C4767" s="5">
        <f>DATE(2012,12,31)-805</f>
        <v>40469</v>
      </c>
      <c r="D4767" s="4" t="s">
        <v>21</v>
      </c>
      <c r="E4767" s="4">
        <v>3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0.55000000000000004</v>
      </c>
      <c r="U4767" s="5">
        <f>C4767+5</f>
        <v>40474</v>
      </c>
    </row>
    <row r="4768" spans="1:21" ht="12" customHeight="1">
      <c r="A4768" s="4">
        <v>7646</v>
      </c>
      <c r="B4768" s="4">
        <v>54791</v>
      </c>
      <c r="C4768" s="5">
        <f t="shared" ref="C4768:C4769" si="2014">DATE(2012,12,31)-11</f>
        <v>41263</v>
      </c>
      <c r="D4768" s="4" t="s">
        <v>30</v>
      </c>
      <c r="E4768" s="4">
        <v>27</v>
      </c>
      <c r="F4768" s="4">
        <v>1087.58</v>
      </c>
      <c r="G4768" s="4">
        <v>0.01</v>
      </c>
      <c r="H4768" s="4" t="s">
        <v>22</v>
      </c>
      <c r="I4768" s="6">
        <v>514.45000000000005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spans="1:21" ht="12" customHeight="1">
      <c r="A4769" s="4">
        <v>7647</v>
      </c>
      <c r="B4769" s="4">
        <v>54791</v>
      </c>
      <c r="C4769" s="5">
        <f t="shared" si="2014"/>
        <v>41263</v>
      </c>
      <c r="D4769" s="4" t="s">
        <v>30</v>
      </c>
      <c r="E4769" s="4">
        <v>42</v>
      </c>
      <c r="F4769" s="4">
        <v>4273.3500000000004</v>
      </c>
      <c r="G4769" s="4">
        <v>7.0000000000000007E-2</v>
      </c>
      <c r="H4769" s="4" t="s">
        <v>22</v>
      </c>
      <c r="I4769" s="6">
        <v>-892.03</v>
      </c>
      <c r="J4769" s="4">
        <v>101.41</v>
      </c>
      <c r="K4769" s="4">
        <v>35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5">C4769+2</f>
        <v>41265</v>
      </c>
    </row>
    <row r="4770" spans="1:21" ht="12" customHeight="1">
      <c r="A4770" s="4">
        <v>7723</v>
      </c>
      <c r="B4770" s="4">
        <v>55335</v>
      </c>
      <c r="C4770" s="5">
        <f>DATE(2012,12,31)-107</f>
        <v>41167</v>
      </c>
      <c r="D4770" s="4" t="s">
        <v>45</v>
      </c>
      <c r="E4770" s="4">
        <v>30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5"/>
        <v>41169</v>
      </c>
    </row>
    <row r="4771" spans="1:21" ht="12" customHeight="1">
      <c r="A4771" s="4">
        <v>7977</v>
      </c>
      <c r="B4771" s="4">
        <v>57059</v>
      </c>
      <c r="C4771" s="5">
        <f t="shared" ref="C4771:C4772" si="2016">DATE(2012,12,31)-579</f>
        <v>40695</v>
      </c>
      <c r="D4771" s="4" t="s">
        <v>63</v>
      </c>
      <c r="E4771" s="4">
        <v>50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5"/>
        <v>40697</v>
      </c>
    </row>
    <row r="4772" spans="1:21" ht="12" customHeight="1">
      <c r="A4772" s="4">
        <v>7978</v>
      </c>
      <c r="B4772" s="4">
        <v>57059</v>
      </c>
      <c r="C4772" s="5">
        <f t="shared" si="2016"/>
        <v>40695</v>
      </c>
      <c r="D4772" s="4" t="s">
        <v>63</v>
      </c>
      <c r="E4772" s="4">
        <v>25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5"/>
        <v>40697</v>
      </c>
    </row>
    <row r="4773" spans="1:21" ht="12" customHeight="1">
      <c r="A4773" s="4">
        <v>8067</v>
      </c>
      <c r="B4773" s="4">
        <v>57568</v>
      </c>
      <c r="C4773" s="5">
        <f>DATE(2012,12,31)-928</f>
        <v>40346</v>
      </c>
      <c r="D4773" s="4" t="s">
        <v>45</v>
      </c>
      <c r="E4773" s="4">
        <v>38</v>
      </c>
      <c r="F4773" s="4">
        <v>592.54</v>
      </c>
      <c r="G4773" s="4">
        <v>7.0000000000000007E-2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5"/>
        <v>40348</v>
      </c>
    </row>
    <row r="4774" spans="1:21" ht="12" customHeight="1">
      <c r="A4774" s="4">
        <v>8100</v>
      </c>
      <c r="B4774" s="4">
        <v>57798</v>
      </c>
      <c r="C4774" s="5">
        <f>DATE(2012,12,31)-107</f>
        <v>41167</v>
      </c>
      <c r="D4774" s="4" t="s">
        <v>30</v>
      </c>
      <c r="E4774" s="4">
        <v>20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140.97999999999999</v>
      </c>
      <c r="K4774" s="4">
        <v>36.090000000000003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spans="1:21" ht="12" customHeight="1">
      <c r="A4775" s="4">
        <v>8147</v>
      </c>
      <c r="B4775" s="4">
        <v>58273</v>
      </c>
      <c r="C4775" s="5">
        <f>DATE(2012,12,31)-925</f>
        <v>40349</v>
      </c>
      <c r="D4775" s="4" t="s">
        <v>30</v>
      </c>
      <c r="E4775" s="4">
        <v>31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8.4600000000000009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spans="1:21" ht="12" customHeight="1">
      <c r="A4776" s="4">
        <v>8277</v>
      </c>
      <c r="B4776" s="4">
        <v>59171</v>
      </c>
      <c r="C4776" s="5">
        <f>DATE(2012,12,31)-476</f>
        <v>40798</v>
      </c>
      <c r="D4776" s="4" t="s">
        <v>63</v>
      </c>
      <c r="E4776" s="4">
        <v>39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0.56000000000000005</v>
      </c>
      <c r="U4776" s="5">
        <f t="shared" ref="U4776:U4777" si="2017">C4776+1</f>
        <v>40799</v>
      </c>
    </row>
    <row r="4777" spans="1:21" ht="12" customHeight="1">
      <c r="A4777" s="4">
        <v>8301</v>
      </c>
      <c r="B4777" s="4">
        <v>59271</v>
      </c>
      <c r="C4777" s="5">
        <f t="shared" ref="C4777:C4778" si="2018">DATE(2012,12,31)-616</f>
        <v>40658</v>
      </c>
      <c r="D4777" s="4" t="s">
        <v>45</v>
      </c>
      <c r="E4777" s="4">
        <v>40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7"/>
        <v>40659</v>
      </c>
    </row>
    <row r="4778" spans="1:21" ht="12" customHeight="1">
      <c r="A4778" s="4">
        <v>8302</v>
      </c>
      <c r="B4778" s="4">
        <v>59271</v>
      </c>
      <c r="C4778" s="5">
        <f t="shared" si="2018"/>
        <v>40658</v>
      </c>
      <c r="D4778" s="4" t="s">
        <v>45</v>
      </c>
      <c r="E4778" s="4">
        <v>23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spans="1:21" ht="12" customHeight="1">
      <c r="A4779" s="4">
        <v>8347</v>
      </c>
      <c r="B4779" s="4">
        <v>59680</v>
      </c>
      <c r="C4779" s="5">
        <f>DATE(2012,12,31)-196</f>
        <v>41078</v>
      </c>
      <c r="D4779" s="4" t="s">
        <v>78</v>
      </c>
      <c r="E4779" s="4">
        <v>15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19">C4779+1</f>
        <v>41079</v>
      </c>
    </row>
    <row r="4780" spans="1:21" ht="12" customHeight="1">
      <c r="A4780" s="4">
        <v>17</v>
      </c>
      <c r="B4780" s="4">
        <v>97</v>
      </c>
      <c r="C4780" s="5">
        <f>DATE(2012,12,31)-1068</f>
        <v>40206</v>
      </c>
      <c r="D4780" s="4" t="s">
        <v>63</v>
      </c>
      <c r="E4780" s="4">
        <v>26</v>
      </c>
      <c r="F4780" s="4">
        <v>75.569999999999993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19"/>
        <v>40207</v>
      </c>
    </row>
    <row r="4781" spans="1:21" ht="12" customHeight="1">
      <c r="A4781" s="4">
        <v>173</v>
      </c>
      <c r="B4781" s="4">
        <v>1095</v>
      </c>
      <c r="C4781" s="5">
        <f>DATE(2012,12,31)-498</f>
        <v>40776</v>
      </c>
      <c r="D4781" s="4" t="s">
        <v>63</v>
      </c>
      <c r="E4781" s="4">
        <v>28</v>
      </c>
      <c r="F4781" s="4">
        <v>142.18</v>
      </c>
      <c r="G4781" s="4">
        <v>7.0000000000000007E-2</v>
      </c>
      <c r="H4781" s="4" t="s">
        <v>22</v>
      </c>
      <c r="I4781" s="6">
        <v>-50.14</v>
      </c>
      <c r="J4781" s="4">
        <v>4.9800000000000004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spans="1:21" ht="12" customHeight="1">
      <c r="A4782" s="4">
        <v>367</v>
      </c>
      <c r="B4782" s="4">
        <v>2562</v>
      </c>
      <c r="C4782" s="5">
        <f t="shared" ref="C4782:C4784" si="2020">DATE(2012,12,31)-153</f>
        <v>41121</v>
      </c>
      <c r="D4782" s="4" t="s">
        <v>78</v>
      </c>
      <c r="E4782" s="4">
        <v>28</v>
      </c>
      <c r="F4782" s="4">
        <v>64.819999999999993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0.55000000000000004</v>
      </c>
      <c r="U4782" s="5">
        <f>C4782+3</f>
        <v>41124</v>
      </c>
    </row>
    <row r="4783" spans="1:21" ht="12" customHeight="1">
      <c r="A4783" s="4">
        <v>368</v>
      </c>
      <c r="B4783" s="4">
        <v>2562</v>
      </c>
      <c r="C4783" s="5">
        <f t="shared" si="2020"/>
        <v>41121</v>
      </c>
      <c r="D4783" s="4" t="s">
        <v>78</v>
      </c>
      <c r="E4783" s="4">
        <v>6</v>
      </c>
      <c r="F4783" s="4">
        <v>77.599999999999994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spans="1:21" ht="12" customHeight="1">
      <c r="A4784" s="4">
        <v>369</v>
      </c>
      <c r="B4784" s="4">
        <v>2562</v>
      </c>
      <c r="C4784" s="5">
        <f t="shared" si="2020"/>
        <v>41121</v>
      </c>
      <c r="D4784" s="4" t="s">
        <v>78</v>
      </c>
      <c r="E4784" s="4">
        <v>17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1">C4784+1</f>
        <v>41122</v>
      </c>
    </row>
    <row r="4785" spans="1:21" ht="12" customHeight="1">
      <c r="A4785" s="4">
        <v>600</v>
      </c>
      <c r="B4785" s="4">
        <v>4099</v>
      </c>
      <c r="C4785" s="5">
        <f t="shared" ref="C4785:C4788" si="2022">DATE(2012,12,31)-133</f>
        <v>41141</v>
      </c>
      <c r="D4785" s="4" t="s">
        <v>78</v>
      </c>
      <c r="E4785" s="4">
        <v>42</v>
      </c>
      <c r="F4785" s="4">
        <v>1691.51</v>
      </c>
      <c r="G4785" s="4">
        <v>0.08</v>
      </c>
      <c r="H4785" s="4" t="s">
        <v>22</v>
      </c>
      <c r="I4785" s="6">
        <v>285.16000000000003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1"/>
        <v>41142</v>
      </c>
    </row>
    <row r="4786" spans="1:21" ht="12" customHeight="1">
      <c r="A4786" s="4">
        <v>601</v>
      </c>
      <c r="B4786" s="4">
        <v>4099</v>
      </c>
      <c r="C4786" s="5">
        <f t="shared" si="2022"/>
        <v>41141</v>
      </c>
      <c r="D4786" s="4" t="s">
        <v>78</v>
      </c>
      <c r="E4786" s="4">
        <v>12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9.7799999999999994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spans="1:21" ht="12" customHeight="1">
      <c r="A4787" s="4">
        <v>602</v>
      </c>
      <c r="B4787" s="4">
        <v>4099</v>
      </c>
      <c r="C4787" s="5">
        <f t="shared" si="2022"/>
        <v>41141</v>
      </c>
      <c r="D4787" s="4" t="s">
        <v>78</v>
      </c>
      <c r="E4787" s="4">
        <v>4</v>
      </c>
      <c r="F4787" s="4">
        <v>47.86</v>
      </c>
      <c r="G4787" s="4">
        <v>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spans="1:21" ht="12" customHeight="1">
      <c r="A4788" s="4">
        <v>603</v>
      </c>
      <c r="B4788" s="4">
        <v>4099</v>
      </c>
      <c r="C4788" s="5">
        <f t="shared" si="2022"/>
        <v>41141</v>
      </c>
      <c r="D4788" s="4" t="s">
        <v>78</v>
      </c>
      <c r="E4788" s="4">
        <v>39</v>
      </c>
      <c r="F4788" s="4">
        <v>3607.8504999999996</v>
      </c>
      <c r="G4788" s="4">
        <v>0.05</v>
      </c>
      <c r="H4788" s="4" t="s">
        <v>22</v>
      </c>
      <c r="I4788" s="6">
        <v>784.49399999999991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0.56999999999999995</v>
      </c>
      <c r="U4788" s="5">
        <f t="shared" ref="U4788:U4792" si="2023">C4788+2</f>
        <v>41143</v>
      </c>
    </row>
    <row r="4789" spans="1:21" ht="12" customHeight="1">
      <c r="A4789" s="4">
        <v>1351</v>
      </c>
      <c r="B4789" s="4">
        <v>9857</v>
      </c>
      <c r="C4789" s="5">
        <f>DATE(2012,12,31)-965</f>
        <v>40309</v>
      </c>
      <c r="D4789" s="4" t="s">
        <v>30</v>
      </c>
      <c r="E4789" s="4">
        <v>50</v>
      </c>
      <c r="F4789" s="4">
        <v>3615.8405000000002</v>
      </c>
      <c r="G4789" s="4">
        <v>0.03</v>
      </c>
      <c r="H4789" s="4" t="s">
        <v>22</v>
      </c>
      <c r="I4789" s="6">
        <v>1861.3530000000001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3"/>
        <v>40311</v>
      </c>
    </row>
    <row r="4790" spans="1:21" ht="12" customHeight="1">
      <c r="A4790" s="4">
        <v>1407</v>
      </c>
      <c r="B4790" s="4">
        <v>10213</v>
      </c>
      <c r="C4790" s="5">
        <f>DATE(2012,12,31)-683</f>
        <v>40591</v>
      </c>
      <c r="D4790" s="4" t="s">
        <v>30</v>
      </c>
      <c r="E4790" s="4">
        <v>12</v>
      </c>
      <c r="F4790" s="4">
        <v>464.57</v>
      </c>
      <c r="G4790" s="4">
        <v>0.04</v>
      </c>
      <c r="H4790" s="4" t="s">
        <v>22</v>
      </c>
      <c r="I4790" s="6">
        <v>-79.180000000000007</v>
      </c>
      <c r="J4790" s="4">
        <v>39.979999999999997</v>
      </c>
      <c r="K4790" s="4">
        <v>4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3"/>
        <v>40593</v>
      </c>
    </row>
    <row r="4791" spans="1:21" ht="12" customHeight="1">
      <c r="A4791" s="4">
        <v>1726</v>
      </c>
      <c r="B4791" s="4">
        <v>12418</v>
      </c>
      <c r="C4791" s="5">
        <f>DATE(2012,12,31)-317</f>
        <v>40957</v>
      </c>
      <c r="D4791" s="4" t="s">
        <v>45</v>
      </c>
      <c r="E4791" s="4">
        <v>38</v>
      </c>
      <c r="F4791" s="4">
        <v>299.01</v>
      </c>
      <c r="G4791" s="4">
        <v>0.09</v>
      </c>
      <c r="H4791" s="4" t="s">
        <v>22</v>
      </c>
      <c r="I4791" s="6">
        <v>-142.86000000000001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3"/>
        <v>40959</v>
      </c>
    </row>
    <row r="4792" spans="1:21" ht="12" customHeight="1">
      <c r="A4792" s="4">
        <v>1944</v>
      </c>
      <c r="B4792" s="4">
        <v>13923</v>
      </c>
      <c r="C4792" s="5">
        <f t="shared" ref="C4792:C4794" si="2024">DATE(2012,12,31)-176</f>
        <v>41098</v>
      </c>
      <c r="D4792" s="4" t="s">
        <v>30</v>
      </c>
      <c r="E4792" s="4">
        <v>39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4.4800000000000004</v>
      </c>
      <c r="K4792" s="4">
        <v>49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3"/>
        <v>41100</v>
      </c>
    </row>
    <row r="4793" spans="1:21" ht="12" customHeight="1">
      <c r="A4793" s="4">
        <v>1945</v>
      </c>
      <c r="B4793" s="4">
        <v>13923</v>
      </c>
      <c r="C4793" s="5">
        <f t="shared" si="2024"/>
        <v>41098</v>
      </c>
      <c r="D4793" s="4" t="s">
        <v>30</v>
      </c>
      <c r="E4793" s="4">
        <v>49</v>
      </c>
      <c r="F4793" s="4">
        <v>1220.23</v>
      </c>
      <c r="G4793" s="4">
        <v>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spans="1:21" ht="12" customHeight="1">
      <c r="A4794" s="4">
        <v>1946</v>
      </c>
      <c r="B4794" s="4">
        <v>13923</v>
      </c>
      <c r="C4794" s="5">
        <f t="shared" si="2024"/>
        <v>41098</v>
      </c>
      <c r="D4794" s="4" t="s">
        <v>30</v>
      </c>
      <c r="E4794" s="4">
        <v>27</v>
      </c>
      <c r="F4794" s="4">
        <v>6152.8</v>
      </c>
      <c r="G4794" s="4">
        <v>0.04</v>
      </c>
      <c r="H4794" s="4" t="s">
        <v>31</v>
      </c>
      <c r="I4794" s="6">
        <v>554.54999999999995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spans="1:21" ht="12" customHeight="1">
      <c r="A4795" s="4">
        <v>2028</v>
      </c>
      <c r="B4795" s="4">
        <v>14439</v>
      </c>
      <c r="C4795" s="5">
        <f>DATE(2012,12,31)-123</f>
        <v>41151</v>
      </c>
      <c r="D4795" s="4" t="s">
        <v>30</v>
      </c>
      <c r="E4795" s="4">
        <v>27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spans="1:21" ht="12" customHeight="1">
      <c r="A4796" s="4">
        <v>2310</v>
      </c>
      <c r="B4796" s="4">
        <v>16643</v>
      </c>
      <c r="C4796" s="5">
        <f t="shared" ref="C4796:C4797" si="2025">DATE(2012,12,31)-995</f>
        <v>40279</v>
      </c>
      <c r="D4796" s="4" t="s">
        <v>21</v>
      </c>
      <c r="E4796" s="4">
        <v>40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6">C4796+4</f>
        <v>40283</v>
      </c>
    </row>
    <row r="4797" spans="1:21" ht="12" customHeight="1">
      <c r="A4797" s="4">
        <v>2311</v>
      </c>
      <c r="B4797" s="4">
        <v>16643</v>
      </c>
      <c r="C4797" s="5">
        <f t="shared" si="2025"/>
        <v>40279</v>
      </c>
      <c r="D4797" s="4" t="s">
        <v>21</v>
      </c>
      <c r="E4797" s="4">
        <v>46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6"/>
        <v>40283</v>
      </c>
    </row>
    <row r="4798" spans="1:21" ht="12" customHeight="1">
      <c r="A4798" s="4">
        <v>2337</v>
      </c>
      <c r="B4798" s="4">
        <v>16807</v>
      </c>
      <c r="C4798" s="5">
        <f t="shared" ref="C4798:C4799" si="2027">DATE(2012,12,31)-351</f>
        <v>40923</v>
      </c>
      <c r="D4798" s="4" t="s">
        <v>63</v>
      </c>
      <c r="E4798" s="4">
        <v>48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spans="1:21" ht="12" customHeight="1">
      <c r="A4799" s="4">
        <v>2338</v>
      </c>
      <c r="B4799" s="4">
        <v>16807</v>
      </c>
      <c r="C4799" s="5">
        <f t="shared" si="2027"/>
        <v>40923</v>
      </c>
      <c r="D4799" s="4" t="s">
        <v>63</v>
      </c>
      <c r="E4799" s="4">
        <v>30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spans="1:21" ht="12" customHeight="1">
      <c r="A4800" s="4">
        <v>2342</v>
      </c>
      <c r="B4800" s="4">
        <v>16864</v>
      </c>
      <c r="C4800" s="5">
        <f>DATE(2012,12,31)-63</f>
        <v>41211</v>
      </c>
      <c r="D4800" s="4" t="s">
        <v>45</v>
      </c>
      <c r="E4800" s="4">
        <v>42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spans="1:21" ht="12" customHeight="1">
      <c r="A4801" s="4">
        <v>2617</v>
      </c>
      <c r="B4801" s="4">
        <v>18918</v>
      </c>
      <c r="C4801" s="5">
        <f>DATE(2012,12,31)-65</f>
        <v>41209</v>
      </c>
      <c r="D4801" s="4" t="s">
        <v>45</v>
      </c>
      <c r="E4801" s="4">
        <v>7</v>
      </c>
      <c r="F4801" s="4">
        <v>6362.94</v>
      </c>
      <c r="G4801" s="4">
        <v>0.1</v>
      </c>
      <c r="H4801" s="4" t="s">
        <v>22</v>
      </c>
      <c r="I4801" s="6">
        <v>-221.78039999999999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spans="1:21" ht="12" customHeight="1">
      <c r="A4802" s="4">
        <v>2638</v>
      </c>
      <c r="B4802" s="4">
        <v>19104</v>
      </c>
      <c r="C4802" s="5">
        <f>DATE(2012,12,31)-874</f>
        <v>40400</v>
      </c>
      <c r="D4802" s="4" t="s">
        <v>30</v>
      </c>
      <c r="E4802" s="4">
        <v>48</v>
      </c>
      <c r="F4802" s="4">
        <v>5085.9070000000002</v>
      </c>
      <c r="G4802" s="4">
        <v>0.03</v>
      </c>
      <c r="H4802" s="4" t="s">
        <v>22</v>
      </c>
      <c r="I4802" s="6">
        <v>1366.6859999999999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0.56999999999999995</v>
      </c>
      <c r="U4802" s="5">
        <f t="shared" ref="U4802:U4803" si="2028">C4802+2</f>
        <v>40402</v>
      </c>
    </row>
    <row r="4803" spans="1:21" ht="12" customHeight="1">
      <c r="A4803" s="4">
        <v>2659</v>
      </c>
      <c r="B4803" s="4">
        <v>19207</v>
      </c>
      <c r="C4803" s="5">
        <f t="shared" ref="C4803:C4804" si="2029">DATE(2012,12,31)-291</f>
        <v>40983</v>
      </c>
      <c r="D4803" s="4" t="s">
        <v>45</v>
      </c>
      <c r="E4803" s="4">
        <v>23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8"/>
        <v>40985</v>
      </c>
    </row>
    <row r="4804" spans="1:21" ht="12" customHeight="1">
      <c r="A4804" s="4">
        <v>2660</v>
      </c>
      <c r="B4804" s="4">
        <v>19207</v>
      </c>
      <c r="C4804" s="5">
        <f t="shared" si="2029"/>
        <v>40983</v>
      </c>
      <c r="D4804" s="4" t="s">
        <v>45</v>
      </c>
      <c r="E4804" s="4">
        <v>11</v>
      </c>
      <c r="F4804" s="4">
        <v>15.53</v>
      </c>
      <c r="G4804" s="4">
        <v>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spans="1:21" ht="12" customHeight="1">
      <c r="A4805" s="4">
        <v>2747</v>
      </c>
      <c r="B4805" s="4">
        <v>19840</v>
      </c>
      <c r="C4805" s="5">
        <f>DATE(2012,12,31)-952</f>
        <v>40322</v>
      </c>
      <c r="D4805" s="4" t="s">
        <v>78</v>
      </c>
      <c r="E4805" s="4">
        <v>25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spans="1:21" ht="12" customHeight="1">
      <c r="A4806" s="4">
        <v>2765</v>
      </c>
      <c r="B4806" s="4">
        <v>20002</v>
      </c>
      <c r="C4806" s="5">
        <f>DATE(2012,12,31)-141</f>
        <v>41133</v>
      </c>
      <c r="D4806" s="4" t="s">
        <v>63</v>
      </c>
      <c r="E4806" s="4">
        <v>9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4.7699999999999996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0">C4806+1</f>
        <v>41134</v>
      </c>
    </row>
    <row r="4807" spans="1:21" ht="12" customHeight="1">
      <c r="A4807" s="4">
        <v>2778</v>
      </c>
      <c r="B4807" s="4">
        <v>20066</v>
      </c>
      <c r="C4807" s="5">
        <f t="shared" ref="C4807:C4808" si="2031">DATE(2012,12,31)-120</f>
        <v>41154</v>
      </c>
      <c r="D4807" s="4" t="s">
        <v>78</v>
      </c>
      <c r="E4807" s="4">
        <v>3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0"/>
        <v>41155</v>
      </c>
    </row>
    <row r="4808" spans="1:21" ht="12" customHeight="1">
      <c r="A4808" s="4">
        <v>2779</v>
      </c>
      <c r="B4808" s="4">
        <v>20066</v>
      </c>
      <c r="C4808" s="5">
        <f t="shared" si="2031"/>
        <v>41154</v>
      </c>
      <c r="D4808" s="4" t="s">
        <v>78</v>
      </c>
      <c r="E4808" s="4">
        <v>16</v>
      </c>
      <c r="F4808" s="4">
        <v>524.25</v>
      </c>
      <c r="G4808" s="4">
        <v>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spans="1:21" ht="12" customHeight="1">
      <c r="A4809" s="4">
        <v>2859</v>
      </c>
      <c r="B4809" s="4">
        <v>20615</v>
      </c>
      <c r="C4809" s="5">
        <f>DATE(2012,12,31)-260</f>
        <v>41014</v>
      </c>
      <c r="D4809" s="4" t="s">
        <v>63</v>
      </c>
      <c r="E4809" s="4">
        <v>29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spans="1:21" ht="12" customHeight="1">
      <c r="A4810" s="4">
        <v>2892</v>
      </c>
      <c r="B4810" s="4">
        <v>20864</v>
      </c>
      <c r="C4810" s="5">
        <f>DATE(2012,12,31)-391</f>
        <v>40883</v>
      </c>
      <c r="D4810" s="4" t="s">
        <v>30</v>
      </c>
      <c r="E4810" s="4">
        <v>19</v>
      </c>
      <c r="F4810" s="4">
        <v>251.45</v>
      </c>
      <c r="G4810" s="4">
        <v>0.06</v>
      </c>
      <c r="H4810" s="4" t="s">
        <v>22</v>
      </c>
      <c r="I4810" s="6">
        <v>90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spans="1:21" ht="12" customHeight="1">
      <c r="A4811" s="4">
        <v>2893</v>
      </c>
      <c r="B4811" s="4">
        <v>20868</v>
      </c>
      <c r="C4811" s="5">
        <f>DATE(2012,12,31)-814</f>
        <v>40460</v>
      </c>
      <c r="D4811" s="4" t="s">
        <v>21</v>
      </c>
      <c r="E4811" s="4">
        <v>9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19.989999999999998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0.55000000000000004</v>
      </c>
      <c r="U4811" s="5">
        <f>C4811+7</f>
        <v>40467</v>
      </c>
    </row>
    <row r="4812" spans="1:21" ht="12" customHeight="1">
      <c r="A4812" s="4">
        <v>3158</v>
      </c>
      <c r="B4812" s="4">
        <v>22661</v>
      </c>
      <c r="C4812" s="5">
        <f>DATE(2012,12,31)-827</f>
        <v>40447</v>
      </c>
      <c r="D4812" s="4" t="s">
        <v>45</v>
      </c>
      <c r="E4812" s="4">
        <v>11</v>
      </c>
      <c r="F4812" s="4">
        <v>18.260000000000002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spans="1:21" ht="12" customHeight="1">
      <c r="A4813" s="4">
        <v>3162</v>
      </c>
      <c r="B4813" s="4">
        <v>22689</v>
      </c>
      <c r="C4813" s="5">
        <f>DATE(2012,12,31)-449</f>
        <v>40825</v>
      </c>
      <c r="D4813" s="4" t="s">
        <v>21</v>
      </c>
      <c r="E4813" s="4">
        <v>39</v>
      </c>
      <c r="F4813" s="4">
        <v>2405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0.57999999999999996</v>
      </c>
      <c r="U4813" s="5">
        <f>C4813+2</f>
        <v>40827</v>
      </c>
    </row>
    <row r="4814" spans="1:21" ht="12" customHeight="1">
      <c r="A4814" s="4">
        <v>3263</v>
      </c>
      <c r="B4814" s="4">
        <v>23361</v>
      </c>
      <c r="C4814" s="5">
        <f t="shared" ref="C4814:C4816" si="2032">DATE(2012,12,31)-912</f>
        <v>40362</v>
      </c>
      <c r="D4814" s="4" t="s">
        <v>78</v>
      </c>
      <c r="E4814" s="4">
        <v>2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3">C4814+1</f>
        <v>40363</v>
      </c>
    </row>
    <row r="4815" spans="1:21" ht="12" customHeight="1">
      <c r="A4815" s="4">
        <v>3264</v>
      </c>
      <c r="B4815" s="4">
        <v>23361</v>
      </c>
      <c r="C4815" s="5">
        <f t="shared" si="2032"/>
        <v>40362</v>
      </c>
      <c r="D4815" s="4" t="s">
        <v>78</v>
      </c>
      <c r="E4815" s="4">
        <v>36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3"/>
        <v>40363</v>
      </c>
    </row>
    <row r="4816" spans="1:21" ht="12" customHeight="1">
      <c r="A4816" s="4">
        <v>3265</v>
      </c>
      <c r="B4816" s="4">
        <v>23361</v>
      </c>
      <c r="C4816" s="5">
        <f t="shared" si="2032"/>
        <v>40362</v>
      </c>
      <c r="D4816" s="4" t="s">
        <v>78</v>
      </c>
      <c r="E4816" s="4">
        <v>7</v>
      </c>
      <c r="F4816" s="4">
        <v>373.27749999999997</v>
      </c>
      <c r="G4816" s="4">
        <v>7.0000000000000007E-2</v>
      </c>
      <c r="H4816" s="4" t="s">
        <v>22</v>
      </c>
      <c r="I4816" s="6">
        <v>-204.93</v>
      </c>
      <c r="J4816" s="4">
        <v>65.989999999999995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0.56000000000000005</v>
      </c>
      <c r="U4816" s="5">
        <f>C4816+0</f>
        <v>40362</v>
      </c>
    </row>
    <row r="4817" spans="1:21" ht="12" customHeight="1">
      <c r="A4817" s="4">
        <v>3273</v>
      </c>
      <c r="B4817" s="4">
        <v>23396</v>
      </c>
      <c r="C4817" s="5">
        <f>DATE(2012,12,31)-927</f>
        <v>40347</v>
      </c>
      <c r="D4817" s="4" t="s">
        <v>21</v>
      </c>
      <c r="E4817" s="4">
        <v>30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0.56000000000000005</v>
      </c>
      <c r="U4817" s="5">
        <f>C4817+2</f>
        <v>40349</v>
      </c>
    </row>
    <row r="4818" spans="1:21" ht="12" customHeight="1">
      <c r="A4818" s="4">
        <v>3278</v>
      </c>
      <c r="B4818" s="4">
        <v>23427</v>
      </c>
      <c r="C4818" s="5">
        <f t="shared" ref="C4818:C4819" si="2034">DATE(2012,12,31)-511</f>
        <v>40763</v>
      </c>
      <c r="D4818" s="4" t="s">
        <v>21</v>
      </c>
      <c r="E4818" s="4">
        <v>30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spans="1:21" ht="12" customHeight="1">
      <c r="A4819" s="4">
        <v>3279</v>
      </c>
      <c r="B4819" s="4">
        <v>23427</v>
      </c>
      <c r="C4819" s="5">
        <f t="shared" si="2034"/>
        <v>40763</v>
      </c>
      <c r="D4819" s="4" t="s">
        <v>21</v>
      </c>
      <c r="E4819" s="4">
        <v>22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spans="1:21" ht="12" customHeight="1">
      <c r="A4820" s="4">
        <v>3348</v>
      </c>
      <c r="B4820" s="4">
        <v>23943</v>
      </c>
      <c r="C4820" s="5">
        <f>DATE(2012,12,31)-557</f>
        <v>40717</v>
      </c>
      <c r="D4820" s="4" t="s">
        <v>78</v>
      </c>
      <c r="E4820" s="4">
        <v>24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0.55000000000000004</v>
      </c>
      <c r="U4820" s="5">
        <f>C4820+2</f>
        <v>40719</v>
      </c>
    </row>
    <row r="4821" spans="1:21" ht="12" customHeight="1">
      <c r="A4821" s="4">
        <v>3450</v>
      </c>
      <c r="B4821" s="4">
        <v>24608</v>
      </c>
      <c r="C4821" s="5">
        <f>DATE(2012,12,31)-139</f>
        <v>41135</v>
      </c>
      <c r="D4821" s="4" t="s">
        <v>63</v>
      </c>
      <c r="E4821" s="4">
        <v>50</v>
      </c>
      <c r="F4821" s="4">
        <v>197.36</v>
      </c>
      <c r="G4821" s="4">
        <v>7.0000000000000007E-2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5">C4821+1</f>
        <v>41136</v>
      </c>
    </row>
    <row r="4822" spans="1:21" ht="12" customHeight="1">
      <c r="A4822" s="4">
        <v>3631</v>
      </c>
      <c r="B4822" s="4">
        <v>25952</v>
      </c>
      <c r="C4822" s="5">
        <f>DATE(2012,12,31)-849</f>
        <v>40425</v>
      </c>
      <c r="D4822" s="4" t="s">
        <v>30</v>
      </c>
      <c r="E4822" s="4">
        <v>50</v>
      </c>
      <c r="F4822" s="4">
        <v>2864.1005</v>
      </c>
      <c r="G4822" s="4">
        <v>0.03</v>
      </c>
      <c r="H4822" s="4" t="s">
        <v>22</v>
      </c>
      <c r="I4822" s="6">
        <v>697.82400000000007</v>
      </c>
      <c r="J4822" s="4">
        <v>65.989999999999995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0.55000000000000004</v>
      </c>
      <c r="U4822" s="5">
        <f t="shared" si="2035"/>
        <v>40426</v>
      </c>
    </row>
    <row r="4823" spans="1:21" ht="12" customHeight="1">
      <c r="A4823" s="4">
        <v>3680</v>
      </c>
      <c r="B4823" s="4">
        <v>26336</v>
      </c>
      <c r="C4823" s="5">
        <f t="shared" ref="C4823:C4824" si="2036">DATE(2012,12,31)-219</f>
        <v>41055</v>
      </c>
      <c r="D4823" s="4" t="s">
        <v>30</v>
      </c>
      <c r="E4823" s="4">
        <v>39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spans="1:21" ht="12" customHeight="1">
      <c r="A4824" s="4">
        <v>3681</v>
      </c>
      <c r="B4824" s="4">
        <v>26336</v>
      </c>
      <c r="C4824" s="5">
        <f t="shared" si="2036"/>
        <v>41055</v>
      </c>
      <c r="D4824" s="4" t="s">
        <v>30</v>
      </c>
      <c r="E4824" s="4">
        <v>45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0.57999999999999996</v>
      </c>
      <c r="U4824" s="5">
        <f t="shared" ref="U4824:U4825" si="2037">C4824+1</f>
        <v>41056</v>
      </c>
    </row>
    <row r="4825" spans="1:21" ht="12" customHeight="1">
      <c r="A4825" s="4">
        <v>3865</v>
      </c>
      <c r="B4825" s="4">
        <v>27558</v>
      </c>
      <c r="C4825" s="5">
        <f>DATE(2012,12,31)-543</f>
        <v>40731</v>
      </c>
      <c r="D4825" s="4" t="s">
        <v>45</v>
      </c>
      <c r="E4825" s="4">
        <v>21</v>
      </c>
      <c r="F4825" s="4">
        <v>423.24</v>
      </c>
      <c r="G4825" s="4">
        <v>0.1</v>
      </c>
      <c r="H4825" s="4" t="s">
        <v>22</v>
      </c>
      <c r="I4825" s="6">
        <v>128.83449999999999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7"/>
        <v>40732</v>
      </c>
    </row>
    <row r="4826" spans="1:21" ht="12" customHeight="1">
      <c r="A4826" s="4">
        <v>3920</v>
      </c>
      <c r="B4826" s="4">
        <v>27969</v>
      </c>
      <c r="C4826" s="5">
        <f t="shared" ref="C4826:C4828" si="2038">DATE(2012,12,31)-937</f>
        <v>40337</v>
      </c>
      <c r="D4826" s="4" t="s">
        <v>21</v>
      </c>
      <c r="E4826" s="4">
        <v>43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130.97999999999999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spans="1:21" ht="12" customHeight="1">
      <c r="A4827" s="4">
        <v>3921</v>
      </c>
      <c r="B4827" s="4">
        <v>27969</v>
      </c>
      <c r="C4827" s="5">
        <f t="shared" si="2038"/>
        <v>40337</v>
      </c>
      <c r="D4827" s="4" t="s">
        <v>21</v>
      </c>
      <c r="E4827" s="4">
        <v>9</v>
      </c>
      <c r="F4827" s="4">
        <v>732.72</v>
      </c>
      <c r="G4827" s="4">
        <v>0.03</v>
      </c>
      <c r="H4827" s="4" t="s">
        <v>22</v>
      </c>
      <c r="I4827" s="6">
        <v>8.5999999999999943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spans="1:21" ht="12" customHeight="1">
      <c r="A4828" s="4">
        <v>3922</v>
      </c>
      <c r="B4828" s="4">
        <v>27969</v>
      </c>
      <c r="C4828" s="5">
        <f t="shared" si="2038"/>
        <v>40337</v>
      </c>
      <c r="D4828" s="4" t="s">
        <v>21</v>
      </c>
      <c r="E4828" s="4">
        <v>32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spans="1:21" ht="12" customHeight="1">
      <c r="A4829" s="4">
        <v>4279</v>
      </c>
      <c r="B4829" s="4">
        <v>30469</v>
      </c>
      <c r="C4829" s="5">
        <f>DATE(2012,12,31)-6</f>
        <v>41268</v>
      </c>
      <c r="D4829" s="4" t="s">
        <v>45</v>
      </c>
      <c r="E4829" s="4">
        <v>46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39">C4829+2</f>
        <v>41270</v>
      </c>
    </row>
    <row r="4830" spans="1:21" ht="12" customHeight="1">
      <c r="A4830" s="4">
        <v>4409</v>
      </c>
      <c r="B4830" s="4">
        <v>31460</v>
      </c>
      <c r="C4830" s="5">
        <f>DATE(2012,12,31)-127</f>
        <v>41147</v>
      </c>
      <c r="D4830" s="4" t="s">
        <v>30</v>
      </c>
      <c r="E4830" s="4">
        <v>9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39"/>
        <v>41149</v>
      </c>
    </row>
    <row r="4831" spans="1:21" ht="12" customHeight="1">
      <c r="A4831" s="4">
        <v>4487</v>
      </c>
      <c r="B4831" s="4">
        <v>31939</v>
      </c>
      <c r="C4831" s="5">
        <f>DATE(2012,12,31)-555</f>
        <v>40719</v>
      </c>
      <c r="D4831" s="4" t="s">
        <v>30</v>
      </c>
      <c r="E4831" s="4">
        <v>13</v>
      </c>
      <c r="F4831" s="4">
        <v>1506.8374999999999</v>
      </c>
      <c r="G4831" s="4">
        <v>7.0000000000000007E-2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39"/>
        <v>40721</v>
      </c>
    </row>
    <row r="4832" spans="1:21" ht="12" customHeight="1">
      <c r="A4832" s="4">
        <v>4760</v>
      </c>
      <c r="B4832" s="4">
        <v>33826</v>
      </c>
      <c r="C4832" s="5">
        <f>DATE(2012,12,31)-743</f>
        <v>40531</v>
      </c>
      <c r="D4832" s="4" t="s">
        <v>21</v>
      </c>
      <c r="E4832" s="4">
        <v>13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spans="1:21" ht="12" customHeight="1">
      <c r="A4833" s="4">
        <v>4802</v>
      </c>
      <c r="B4833" s="4">
        <v>34151</v>
      </c>
      <c r="C4833" s="5">
        <f>DATE(2012,12,31)-479</f>
        <v>40795</v>
      </c>
      <c r="D4833" s="4" t="s">
        <v>45</v>
      </c>
      <c r="E4833" s="4">
        <v>26</v>
      </c>
      <c r="F4833" s="4">
        <v>4097.1445000000003</v>
      </c>
      <c r="G4833" s="4">
        <v>0.1</v>
      </c>
      <c r="H4833" s="4" t="s">
        <v>22</v>
      </c>
      <c r="I4833" s="6">
        <v>501.54300000000001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0.56000000000000005</v>
      </c>
      <c r="U4833" s="5">
        <f>C4833+1</f>
        <v>40796</v>
      </c>
    </row>
    <row r="4834" spans="1:21" ht="12" customHeight="1">
      <c r="A4834" s="4">
        <v>4868</v>
      </c>
      <c r="B4834" s="4">
        <v>34659</v>
      </c>
      <c r="C4834" s="5">
        <f>DATE(2012,12,31)-42</f>
        <v>41232</v>
      </c>
      <c r="D4834" s="4" t="s">
        <v>30</v>
      </c>
      <c r="E4834" s="4">
        <v>42</v>
      </c>
      <c r="F4834" s="4">
        <v>259.43</v>
      </c>
      <c r="G4834" s="4">
        <v>0</v>
      </c>
      <c r="H4834" s="4" t="s">
        <v>22</v>
      </c>
      <c r="I4834" s="6">
        <v>-52.520499999999998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0">C4834+2</f>
        <v>41234</v>
      </c>
    </row>
    <row r="4835" spans="1:21" ht="12" customHeight="1">
      <c r="A4835" s="4">
        <v>4983</v>
      </c>
      <c r="B4835" s="4">
        <v>35456</v>
      </c>
      <c r="C4835" s="5">
        <f>DATE(2012,12,31)-60</f>
        <v>41214</v>
      </c>
      <c r="D4835" s="4" t="s">
        <v>78</v>
      </c>
      <c r="E4835" s="4">
        <v>37</v>
      </c>
      <c r="F4835" s="4">
        <v>46.37</v>
      </c>
      <c r="G4835" s="4">
        <v>0.03</v>
      </c>
      <c r="H4835" s="4" t="s">
        <v>22</v>
      </c>
      <c r="I4835" s="6">
        <v>-19.809999999999999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0"/>
        <v>41216</v>
      </c>
    </row>
    <row r="4836" spans="1:21" ht="12" customHeight="1">
      <c r="A4836" s="4">
        <v>5025</v>
      </c>
      <c r="B4836" s="4">
        <v>35840</v>
      </c>
      <c r="C4836" s="5">
        <f t="shared" ref="C4836:C4837" si="2041">DATE(2012,12,31)-947</f>
        <v>40327</v>
      </c>
      <c r="D4836" s="4" t="s">
        <v>30</v>
      </c>
      <c r="E4836" s="4">
        <v>36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spans="1:21" ht="12" customHeight="1">
      <c r="A4837" s="4">
        <v>5026</v>
      </c>
      <c r="B4837" s="4">
        <v>35840</v>
      </c>
      <c r="C4837" s="5">
        <f t="shared" si="2041"/>
        <v>40327</v>
      </c>
      <c r="D4837" s="4" t="s">
        <v>30</v>
      </c>
      <c r="E4837" s="4">
        <v>49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0.55000000000000004</v>
      </c>
      <c r="U4837" s="5">
        <f t="shared" ref="U4837:U4838" si="2042">C4837+2</f>
        <v>40329</v>
      </c>
    </row>
    <row r="4838" spans="1:21" ht="12" customHeight="1">
      <c r="A4838" s="4">
        <v>5135</v>
      </c>
      <c r="B4838" s="4">
        <v>36640</v>
      </c>
      <c r="C4838" s="5">
        <f>DATE(2012,12,31)-409</f>
        <v>40865</v>
      </c>
      <c r="D4838" s="4" t="s">
        <v>45</v>
      </c>
      <c r="E4838" s="4">
        <v>18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2"/>
        <v>40867</v>
      </c>
    </row>
    <row r="4839" spans="1:21" ht="12" customHeight="1">
      <c r="A4839" s="4">
        <v>5197</v>
      </c>
      <c r="B4839" s="4">
        <v>36931</v>
      </c>
      <c r="C4839" s="5">
        <f>DATE(2012,12,31)-712</f>
        <v>40562</v>
      </c>
      <c r="D4839" s="4" t="s">
        <v>45</v>
      </c>
      <c r="E4839" s="4">
        <v>46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0.57999999999999996</v>
      </c>
      <c r="U4839" s="5">
        <f>C4839+0</f>
        <v>40562</v>
      </c>
    </row>
    <row r="4840" spans="1:21" ht="12" customHeight="1">
      <c r="A4840" s="4">
        <v>5279</v>
      </c>
      <c r="B4840" s="4">
        <v>37543</v>
      </c>
      <c r="C4840" s="5">
        <f>DATE(2012,12,31)-366</f>
        <v>40908</v>
      </c>
      <c r="D4840" s="4" t="s">
        <v>63</v>
      </c>
      <c r="E4840" s="4">
        <v>6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36.549999999999997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spans="1:21" ht="12" customHeight="1">
      <c r="A4841" s="4">
        <v>5517</v>
      </c>
      <c r="B4841" s="4">
        <v>39111</v>
      </c>
      <c r="C4841" s="5">
        <f t="shared" ref="C4841:C4842" si="2043">DATE(2012,12,31)-525</f>
        <v>40749</v>
      </c>
      <c r="D4841" s="4" t="s">
        <v>63</v>
      </c>
      <c r="E4841" s="4">
        <v>1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19.989999999999998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0.55000000000000004</v>
      </c>
      <c r="U4841" s="5">
        <f>C4841+3</f>
        <v>40752</v>
      </c>
    </row>
    <row r="4842" spans="1:21" ht="12" customHeight="1">
      <c r="A4842" s="4">
        <v>5518</v>
      </c>
      <c r="B4842" s="4">
        <v>39111</v>
      </c>
      <c r="C4842" s="5">
        <f t="shared" si="2043"/>
        <v>40749</v>
      </c>
      <c r="D4842" s="4" t="s">
        <v>63</v>
      </c>
      <c r="E4842" s="4">
        <v>20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300.97000000000003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spans="1:21" ht="12" customHeight="1">
      <c r="A4843" s="4">
        <v>5520</v>
      </c>
      <c r="B4843" s="4">
        <v>39139</v>
      </c>
      <c r="C4843" s="5">
        <f t="shared" ref="C4843:C4845" si="2044">DATE(2012,12,31)-779</f>
        <v>40495</v>
      </c>
      <c r="D4843" s="4" t="s">
        <v>45</v>
      </c>
      <c r="E4843" s="4">
        <v>6</v>
      </c>
      <c r="F4843" s="4">
        <v>627.45299999999997</v>
      </c>
      <c r="G4843" s="4">
        <v>7.0000000000000007E-2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0.56999999999999995</v>
      </c>
      <c r="U4843" s="5">
        <f>C4843+0</f>
        <v>40495</v>
      </c>
    </row>
    <row r="4844" spans="1:21" ht="12" customHeight="1">
      <c r="A4844" s="4">
        <v>5521</v>
      </c>
      <c r="B4844" s="4">
        <v>39139</v>
      </c>
      <c r="C4844" s="5">
        <f t="shared" si="2044"/>
        <v>40495</v>
      </c>
      <c r="D4844" s="4" t="s">
        <v>45</v>
      </c>
      <c r="E4844" s="4">
        <v>50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5">C4844+2</f>
        <v>40497</v>
      </c>
    </row>
    <row r="4845" spans="1:21" ht="12" customHeight="1">
      <c r="A4845" s="4">
        <v>5522</v>
      </c>
      <c r="B4845" s="4">
        <v>39139</v>
      </c>
      <c r="C4845" s="5">
        <f t="shared" si="2044"/>
        <v>40495</v>
      </c>
      <c r="D4845" s="4" t="s">
        <v>45</v>
      </c>
      <c r="E4845" s="4">
        <v>31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5"/>
        <v>40497</v>
      </c>
    </row>
    <row r="4846" spans="1:21" ht="12" customHeight="1">
      <c r="A4846" s="4">
        <v>5573</v>
      </c>
      <c r="B4846" s="4">
        <v>39490</v>
      </c>
      <c r="C4846" s="5">
        <f t="shared" ref="C4846:C4847" si="2046">DATE(2012,12,31)-141</f>
        <v>41133</v>
      </c>
      <c r="D4846" s="4" t="s">
        <v>21</v>
      </c>
      <c r="E4846" s="4">
        <v>38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spans="1:21" ht="12" customHeight="1">
      <c r="A4847" s="4">
        <v>5574</v>
      </c>
      <c r="B4847" s="4">
        <v>39490</v>
      </c>
      <c r="C4847" s="5">
        <f t="shared" si="2046"/>
        <v>41133</v>
      </c>
      <c r="D4847" s="4" t="s">
        <v>21</v>
      </c>
      <c r="E4847" s="4">
        <v>17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0.55000000000000004</v>
      </c>
      <c r="U4847" s="5">
        <f>C4847+4</f>
        <v>41137</v>
      </c>
    </row>
    <row r="4848" spans="1:21" ht="12" customHeight="1">
      <c r="A4848" s="4">
        <v>5645</v>
      </c>
      <c r="B4848" s="4">
        <v>39938</v>
      </c>
      <c r="C4848" s="5">
        <f>DATE(2012,12,31)-204</f>
        <v>41070</v>
      </c>
      <c r="D4848" s="4" t="s">
        <v>30</v>
      </c>
      <c r="E4848" s="4">
        <v>5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0.56000000000000005</v>
      </c>
      <c r="U4848" s="5">
        <f>C4848+1</f>
        <v>41071</v>
      </c>
    </row>
    <row r="4849" spans="1:21" ht="12" customHeight="1">
      <c r="A4849" s="4">
        <v>5667</v>
      </c>
      <c r="B4849" s="4">
        <v>40098</v>
      </c>
      <c r="C4849" s="5">
        <f t="shared" ref="C4849:C4850" si="2047">DATE(2012,12,31)-330</f>
        <v>40944</v>
      </c>
      <c r="D4849" s="4" t="s">
        <v>21</v>
      </c>
      <c r="E4849" s="4">
        <v>46</v>
      </c>
      <c r="F4849" s="4">
        <v>557.35</v>
      </c>
      <c r="G4849" s="4">
        <v>0</v>
      </c>
      <c r="H4849" s="4" t="s">
        <v>22</v>
      </c>
      <c r="I4849" s="6">
        <v>-9.1884999999999994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spans="1:21" ht="12" customHeight="1">
      <c r="A4850" s="4">
        <v>5668</v>
      </c>
      <c r="B4850" s="4">
        <v>40098</v>
      </c>
      <c r="C4850" s="5">
        <f t="shared" si="2047"/>
        <v>40944</v>
      </c>
      <c r="D4850" s="4" t="s">
        <v>21</v>
      </c>
      <c r="E4850" s="4">
        <v>50</v>
      </c>
      <c r="F4850" s="4">
        <v>490.87</v>
      </c>
      <c r="G4850" s="4">
        <v>0</v>
      </c>
      <c r="H4850" s="4" t="s">
        <v>22</v>
      </c>
      <c r="I4850" s="6">
        <v>190.93</v>
      </c>
      <c r="J4850" s="4">
        <v>9.68</v>
      </c>
      <c r="K4850" s="4">
        <v>2.0299999999999998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spans="1:21" ht="12" customHeight="1">
      <c r="A4851" s="4">
        <v>5785</v>
      </c>
      <c r="B4851" s="4">
        <v>41056</v>
      </c>
      <c r="C4851" s="5">
        <f>DATE(2012,12,31)-280</f>
        <v>40994</v>
      </c>
      <c r="D4851" s="4" t="s">
        <v>78</v>
      </c>
      <c r="E4851" s="4">
        <v>4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34.979999999999997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spans="1:21" ht="12" customHeight="1">
      <c r="A4852" s="4">
        <v>5937</v>
      </c>
      <c r="B4852" s="4">
        <v>42115</v>
      </c>
      <c r="C4852" s="5">
        <f t="shared" ref="C4852:C4853" si="2048">DATE(2012,12,31)-317</f>
        <v>40957</v>
      </c>
      <c r="D4852" s="4" t="s">
        <v>78</v>
      </c>
      <c r="E4852" s="4">
        <v>21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spans="1:21" ht="12" customHeight="1">
      <c r="A4853" s="4">
        <v>5938</v>
      </c>
      <c r="B4853" s="4">
        <v>42115</v>
      </c>
      <c r="C4853" s="5">
        <f t="shared" si="2048"/>
        <v>40957</v>
      </c>
      <c r="D4853" s="4" t="s">
        <v>78</v>
      </c>
      <c r="E4853" s="4">
        <v>19</v>
      </c>
      <c r="F4853" s="4">
        <v>540.55999999999995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0.57999999999999996</v>
      </c>
      <c r="U4853" s="5">
        <f t="shared" ref="U4853:U4854" si="2049">C4853+1</f>
        <v>40958</v>
      </c>
    </row>
    <row r="4854" spans="1:21" ht="12" customHeight="1">
      <c r="A4854" s="4">
        <v>6136</v>
      </c>
      <c r="B4854" s="4">
        <v>43459</v>
      </c>
      <c r="C4854" s="5">
        <f>DATE(2012,12,31)-420</f>
        <v>40854</v>
      </c>
      <c r="D4854" s="4" t="s">
        <v>78</v>
      </c>
      <c r="E4854" s="4">
        <v>26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49"/>
        <v>40855</v>
      </c>
    </row>
    <row r="4855" spans="1:21" ht="12" customHeight="1">
      <c r="A4855" s="4">
        <v>6403</v>
      </c>
      <c r="B4855" s="4">
        <v>45476</v>
      </c>
      <c r="C4855" s="5">
        <f>DATE(2012,12,31)-257</f>
        <v>41017</v>
      </c>
      <c r="D4855" s="4" t="s">
        <v>78</v>
      </c>
      <c r="E4855" s="4">
        <v>48</v>
      </c>
      <c r="F4855" s="4">
        <v>1055.98</v>
      </c>
      <c r="G4855" s="4">
        <v>7.0000000000000007E-2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spans="1:21" ht="12" customHeight="1">
      <c r="A4856" s="4">
        <v>6452</v>
      </c>
      <c r="B4856" s="4">
        <v>45958</v>
      </c>
      <c r="C4856" s="5">
        <f t="shared" ref="C4856:C4857" si="2050">DATE(2012,12,31)-586</f>
        <v>40688</v>
      </c>
      <c r="D4856" s="4" t="s">
        <v>63</v>
      </c>
      <c r="E4856" s="4">
        <v>28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spans="1:21" ht="12" customHeight="1">
      <c r="A4857" s="4">
        <v>6453</v>
      </c>
      <c r="B4857" s="4">
        <v>45958</v>
      </c>
      <c r="C4857" s="5">
        <f t="shared" si="2050"/>
        <v>40688</v>
      </c>
      <c r="D4857" s="4" t="s">
        <v>63</v>
      </c>
      <c r="E4857" s="4">
        <v>16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spans="1:21" ht="12" customHeight="1">
      <c r="A4858" s="4">
        <v>6690</v>
      </c>
      <c r="B4858" s="4">
        <v>47591</v>
      </c>
      <c r="C4858" s="5">
        <f>DATE(2012,12,31)-364</f>
        <v>40910</v>
      </c>
      <c r="D4858" s="4" t="s">
        <v>78</v>
      </c>
      <c r="E4858" s="4">
        <v>27</v>
      </c>
      <c r="F4858" s="4">
        <v>279.39999999999998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0.57999999999999996</v>
      </c>
      <c r="U4858" s="5">
        <f>C4858+1</f>
        <v>40911</v>
      </c>
    </row>
    <row r="4859" spans="1:21" ht="12" customHeight="1">
      <c r="A4859" s="4">
        <v>6962</v>
      </c>
      <c r="B4859" s="4">
        <v>49764</v>
      </c>
      <c r="C4859" s="5">
        <f>DATE(2012,12,31)-820</f>
        <v>40454</v>
      </c>
      <c r="D4859" s="4" t="s">
        <v>21</v>
      </c>
      <c r="E4859" s="4">
        <v>37</v>
      </c>
      <c r="F4859" s="4">
        <v>395.37</v>
      </c>
      <c r="G4859" s="4">
        <v>7.0000000000000007E-2</v>
      </c>
      <c r="H4859" s="4" t="s">
        <v>56</v>
      </c>
      <c r="I4859" s="6">
        <v>17.149999999999999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0.56999999999999995</v>
      </c>
      <c r="U4859" s="5">
        <f>C4859+4</f>
        <v>40458</v>
      </c>
    </row>
    <row r="4860" spans="1:21" ht="12" customHeight="1">
      <c r="A4860" s="4">
        <v>7022</v>
      </c>
      <c r="B4860" s="4">
        <v>50118</v>
      </c>
      <c r="C4860" s="5">
        <f>DATE(2012,12,31)-1019</f>
        <v>40255</v>
      </c>
      <c r="D4860" s="4" t="s">
        <v>45</v>
      </c>
      <c r="E4860" s="4">
        <v>19</v>
      </c>
      <c r="F4860" s="4">
        <v>337.38</v>
      </c>
      <c r="G4860" s="4">
        <v>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1">C4860+1</f>
        <v>40256</v>
      </c>
    </row>
    <row r="4861" spans="1:21" ht="12" customHeight="1">
      <c r="A4861" s="4">
        <v>7031</v>
      </c>
      <c r="B4861" s="4">
        <v>50183</v>
      </c>
      <c r="C4861" s="5">
        <f>DATE(2012,12,31)-952</f>
        <v>40322</v>
      </c>
      <c r="D4861" s="4" t="s">
        <v>30</v>
      </c>
      <c r="E4861" s="4">
        <v>20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1"/>
        <v>40323</v>
      </c>
    </row>
    <row r="4862" spans="1:21" ht="12" customHeight="1">
      <c r="A4862" s="4">
        <v>7144</v>
      </c>
      <c r="B4862" s="4">
        <v>50978</v>
      </c>
      <c r="C4862" s="5">
        <f>DATE(2012,12,31)-275</f>
        <v>40999</v>
      </c>
      <c r="D4862" s="4" t="s">
        <v>30</v>
      </c>
      <c r="E4862" s="4">
        <v>4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spans="1:21" ht="12" customHeight="1">
      <c r="A4863" s="4">
        <v>7147</v>
      </c>
      <c r="B4863" s="4">
        <v>50983</v>
      </c>
      <c r="C4863" s="5">
        <f t="shared" ref="C4863:C4864" si="2052">DATE(2012,12,31)-552</f>
        <v>40722</v>
      </c>
      <c r="D4863" s="4" t="s">
        <v>78</v>
      </c>
      <c r="E4863" s="4">
        <v>39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spans="1:21" ht="12" customHeight="1">
      <c r="A4864" s="4">
        <v>7148</v>
      </c>
      <c r="B4864" s="4">
        <v>50983</v>
      </c>
      <c r="C4864" s="5">
        <f t="shared" si="2052"/>
        <v>40722</v>
      </c>
      <c r="D4864" s="4" t="s">
        <v>78</v>
      </c>
      <c r="E4864" s="4">
        <v>15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spans="1:21" ht="12" customHeight="1">
      <c r="A4865" s="4">
        <v>7334</v>
      </c>
      <c r="B4865" s="4">
        <v>52261</v>
      </c>
      <c r="C4865" s="5">
        <f>DATE(2012,12,31)-620</f>
        <v>40654</v>
      </c>
      <c r="D4865" s="4" t="s">
        <v>45</v>
      </c>
      <c r="E4865" s="4">
        <v>49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spans="1:21" ht="12" customHeight="1">
      <c r="A4866" s="4">
        <v>7401</v>
      </c>
      <c r="B4866" s="4">
        <v>52743</v>
      </c>
      <c r="C4866" s="5">
        <f>DATE(2012,12,31)-911</f>
        <v>40363</v>
      </c>
      <c r="D4866" s="4" t="s">
        <v>30</v>
      </c>
      <c r="E4866" s="4">
        <v>46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150.97999999999999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spans="1:21" ht="12" customHeight="1">
      <c r="A4867" s="4">
        <v>7444</v>
      </c>
      <c r="B4867" s="4">
        <v>53120</v>
      </c>
      <c r="C4867" s="5">
        <f>DATE(2012,12,31)-228</f>
        <v>41046</v>
      </c>
      <c r="D4867" s="4" t="s">
        <v>45</v>
      </c>
      <c r="E4867" s="4">
        <v>5</v>
      </c>
      <c r="F4867" s="4">
        <v>22.75</v>
      </c>
      <c r="G4867" s="4">
        <v>0.09</v>
      </c>
      <c r="H4867" s="4" t="s">
        <v>22</v>
      </c>
      <c r="I4867" s="6">
        <v>-0.44999999999999929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spans="1:21" ht="12" customHeight="1">
      <c r="A4868" s="4">
        <v>7634</v>
      </c>
      <c r="B4868" s="4">
        <v>54630</v>
      </c>
      <c r="C4868" s="5">
        <f>DATE(2012,12,31)-143</f>
        <v>41131</v>
      </c>
      <c r="D4868" s="4" t="s">
        <v>21</v>
      </c>
      <c r="E4868" s="4">
        <v>11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spans="1:21" ht="12" customHeight="1">
      <c r="A4869" s="4">
        <v>7717</v>
      </c>
      <c r="B4869" s="4">
        <v>55299</v>
      </c>
      <c r="C4869" s="5">
        <f>DATE(2012,12,31)-276</f>
        <v>40998</v>
      </c>
      <c r="D4869" s="4" t="s">
        <v>21</v>
      </c>
      <c r="E4869" s="4">
        <v>20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1.1399999999999999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spans="1:21" ht="12" customHeight="1">
      <c r="A4870" s="4">
        <v>7758</v>
      </c>
      <c r="B4870" s="4">
        <v>55520</v>
      </c>
      <c r="C4870" s="5">
        <f>DATE(2012,12,31)-604</f>
        <v>40670</v>
      </c>
      <c r="D4870" s="4" t="s">
        <v>78</v>
      </c>
      <c r="E4870" s="4">
        <v>43</v>
      </c>
      <c r="F4870" s="4">
        <v>525.77</v>
      </c>
      <c r="G4870" s="4">
        <v>0.08</v>
      </c>
      <c r="H4870" s="4" t="s">
        <v>56</v>
      </c>
      <c r="I4870" s="6">
        <v>34.630000000000003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3">C4870+1</f>
        <v>40671</v>
      </c>
    </row>
    <row r="4871" spans="1:21" ht="12" customHeight="1">
      <c r="A4871" s="4">
        <v>7778</v>
      </c>
      <c r="B4871" s="4">
        <v>55653</v>
      </c>
      <c r="C4871" s="5">
        <f>DATE(2012,12,31)-766</f>
        <v>40508</v>
      </c>
      <c r="D4871" s="4" t="s">
        <v>63</v>
      </c>
      <c r="E4871" s="4">
        <v>34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3"/>
        <v>40509</v>
      </c>
    </row>
    <row r="4872" spans="1:21" ht="12" customHeight="1">
      <c r="A4872" s="4">
        <v>7909</v>
      </c>
      <c r="B4872" s="4">
        <v>56577</v>
      </c>
      <c r="C4872" s="5">
        <f>DATE(2012,12,31)-425</f>
        <v>40849</v>
      </c>
      <c r="D4872" s="4" t="s">
        <v>78</v>
      </c>
      <c r="E4872" s="4">
        <v>30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3"/>
        <v>40850</v>
      </c>
    </row>
    <row r="4873" spans="1:21" ht="12" customHeight="1">
      <c r="A4873" s="4">
        <v>7940</v>
      </c>
      <c r="B4873" s="4">
        <v>56711</v>
      </c>
      <c r="C4873" s="5">
        <f>DATE(2012,12,31)-694</f>
        <v>40580</v>
      </c>
      <c r="D4873" s="4" t="s">
        <v>21</v>
      </c>
      <c r="E4873" s="4">
        <v>25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spans="1:21" ht="12" customHeight="1">
      <c r="A4874" s="4">
        <v>7947</v>
      </c>
      <c r="B4874" s="4">
        <v>56769</v>
      </c>
      <c r="C4874" s="5">
        <f>DATE(2012,12,31)-763</f>
        <v>40511</v>
      </c>
      <c r="D4874" s="4" t="s">
        <v>63</v>
      </c>
      <c r="E4874" s="4">
        <v>11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spans="1:21" ht="12" customHeight="1">
      <c r="A4875" s="4">
        <v>8040</v>
      </c>
      <c r="B4875" s="4">
        <v>57440</v>
      </c>
      <c r="C4875" s="5">
        <f>DATE(2012,12,31)-892</f>
        <v>40382</v>
      </c>
      <c r="D4875" s="4" t="s">
        <v>21</v>
      </c>
      <c r="E4875" s="4">
        <v>12</v>
      </c>
      <c r="F4875" s="4">
        <v>1171.232</v>
      </c>
      <c r="G4875" s="4">
        <v>0.04</v>
      </c>
      <c r="H4875" s="4" t="s">
        <v>56</v>
      </c>
      <c r="I4875" s="6">
        <v>-43.252000000000002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0.57999999999999996</v>
      </c>
      <c r="U4875" s="5">
        <f>C4875+7</f>
        <v>40389</v>
      </c>
    </row>
    <row r="4876" spans="1:21" ht="12" customHeight="1">
      <c r="A4876" s="4">
        <v>8108</v>
      </c>
      <c r="B4876" s="4">
        <v>57889</v>
      </c>
      <c r="C4876" s="5">
        <f>DATE(2012,12,31)-999</f>
        <v>40275</v>
      </c>
      <c r="D4876" s="4" t="s">
        <v>21</v>
      </c>
      <c r="E4876" s="4">
        <v>39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0.56999999999999995</v>
      </c>
      <c r="U4876" s="5">
        <f>C4876+4</f>
        <v>40279</v>
      </c>
    </row>
    <row r="4877" spans="1:21" ht="12" customHeight="1">
      <c r="A4877" s="4">
        <v>8188</v>
      </c>
      <c r="B4877" s="4">
        <v>58564</v>
      </c>
      <c r="C4877" s="5">
        <f>DATE(2012,12,31)-49</f>
        <v>41225</v>
      </c>
      <c r="D4877" s="4" t="s">
        <v>78</v>
      </c>
      <c r="E4877" s="4">
        <v>49</v>
      </c>
      <c r="F4877" s="4">
        <v>103.03</v>
      </c>
      <c r="G4877" s="4">
        <v>7.0000000000000007E-2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0.55000000000000004</v>
      </c>
      <c r="U4877" s="5">
        <f>C4877+1</f>
        <v>41226</v>
      </c>
    </row>
    <row r="4878" spans="1:21" ht="12" customHeight="1">
      <c r="A4878" s="4">
        <v>8346</v>
      </c>
      <c r="B4878" s="4">
        <v>59652</v>
      </c>
      <c r="C4878" s="5">
        <f>DATE(2012,12,31)-704</f>
        <v>40570</v>
      </c>
      <c r="D4878" s="4" t="s">
        <v>63</v>
      </c>
      <c r="E4878" s="4">
        <v>17</v>
      </c>
      <c r="F4878" s="4">
        <v>312.03500000000003</v>
      </c>
      <c r="G4878" s="4">
        <v>0.05</v>
      </c>
      <c r="H4878" s="4" t="s">
        <v>22</v>
      </c>
      <c r="I4878" s="6">
        <v>-55.935000000000002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spans="1:21" ht="12" customHeight="1">
      <c r="A4879" s="4">
        <v>8371</v>
      </c>
      <c r="B4879" s="4">
        <v>59783</v>
      </c>
      <c r="C4879" s="5">
        <f>DATE(2012,12,31)-865</f>
        <v>40409</v>
      </c>
      <c r="D4879" s="4" t="s">
        <v>21</v>
      </c>
      <c r="E4879" s="4">
        <v>36</v>
      </c>
      <c r="F4879" s="4">
        <v>77.430000000000007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0.55000000000000004</v>
      </c>
      <c r="U4879" s="5">
        <f>C4879+5</f>
        <v>40414</v>
      </c>
    </row>
    <row r="4880" spans="1:21" ht="12" customHeight="1">
      <c r="A4880" s="4">
        <v>30</v>
      </c>
      <c r="B4880" s="4">
        <v>195</v>
      </c>
      <c r="C4880" s="5">
        <f>DATE(2012,12,31)-735</f>
        <v>40539</v>
      </c>
      <c r="D4880" s="4" t="s">
        <v>63</v>
      </c>
      <c r="E4880" s="4">
        <v>34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36.549999999999997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spans="1:21" ht="12" customHeight="1">
      <c r="A4881" s="4">
        <v>60</v>
      </c>
      <c r="B4881" s="4">
        <v>353</v>
      </c>
      <c r="C4881" s="5">
        <f>DATE(2012,12,31)-732</f>
        <v>40542</v>
      </c>
      <c r="D4881" s="4" t="s">
        <v>21</v>
      </c>
      <c r="E4881" s="4">
        <v>21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spans="1:21" ht="12" customHeight="1">
      <c r="A4882" s="4">
        <v>74</v>
      </c>
      <c r="B4882" s="4">
        <v>448</v>
      </c>
      <c r="C4882" s="5">
        <f>DATE(2012,12,31)-499</f>
        <v>40775</v>
      </c>
      <c r="D4882" s="4" t="s">
        <v>63</v>
      </c>
      <c r="E4882" s="4">
        <v>22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65.989999999999995</v>
      </c>
      <c r="K4882" s="4">
        <v>19.989999999999998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spans="1:21" ht="12" customHeight="1">
      <c r="A4883" s="4">
        <v>137</v>
      </c>
      <c r="B4883" s="4">
        <v>871</v>
      </c>
      <c r="C4883" s="5">
        <f>DATE(2012,12,31)-413</f>
        <v>40861</v>
      </c>
      <c r="D4883" s="4" t="s">
        <v>21</v>
      </c>
      <c r="E4883" s="4">
        <v>17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spans="1:21" ht="12" customHeight="1">
      <c r="A4884" s="4">
        <v>145</v>
      </c>
      <c r="B4884" s="4">
        <v>929</v>
      </c>
      <c r="C4884" s="5">
        <f t="shared" ref="C4884:C4885" si="2054">DATE(2012,12,31)-91</f>
        <v>41183</v>
      </c>
      <c r="D4884" s="4" t="s">
        <v>30</v>
      </c>
      <c r="E4884" s="4">
        <v>21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spans="1:21" ht="12" customHeight="1">
      <c r="A4885" s="4">
        <v>146</v>
      </c>
      <c r="B4885" s="4">
        <v>929</v>
      </c>
      <c r="C4885" s="5">
        <f t="shared" si="2054"/>
        <v>41183</v>
      </c>
      <c r="D4885" s="4" t="s">
        <v>30</v>
      </c>
      <c r="E4885" s="4">
        <v>39</v>
      </c>
      <c r="F4885" s="4">
        <v>84.33</v>
      </c>
      <c r="G4885" s="4">
        <v>0.04</v>
      </c>
      <c r="H4885" s="4" t="s">
        <v>22</v>
      </c>
      <c r="I4885" s="6">
        <v>-64.290000000000006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0.55000000000000004</v>
      </c>
      <c r="U4885" s="5">
        <f t="shared" ref="U4885:U4886" si="2055">C4885+2</f>
        <v>41185</v>
      </c>
    </row>
    <row r="4886" spans="1:21" ht="12" customHeight="1">
      <c r="A4886" s="4">
        <v>156</v>
      </c>
      <c r="B4886" s="4">
        <v>967</v>
      </c>
      <c r="C4886" s="5">
        <f t="shared" ref="C4886:C4888" si="2056">DATE(2012,12,31)-194</f>
        <v>41080</v>
      </c>
      <c r="D4886" s="4" t="s">
        <v>63</v>
      </c>
      <c r="E4886" s="4">
        <v>6</v>
      </c>
      <c r="F4886" s="4">
        <v>90.56</v>
      </c>
      <c r="G4886" s="4">
        <v>0.03</v>
      </c>
      <c r="H4886" s="4" t="s">
        <v>22</v>
      </c>
      <c r="I4886" s="6">
        <v>-37.584000000000003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5"/>
        <v>41082</v>
      </c>
    </row>
    <row r="4887" spans="1:21" ht="12" customHeight="1">
      <c r="A4887" s="4">
        <v>157</v>
      </c>
      <c r="B4887" s="4">
        <v>967</v>
      </c>
      <c r="C4887" s="5">
        <f t="shared" si="2056"/>
        <v>41080</v>
      </c>
      <c r="D4887" s="4" t="s">
        <v>63</v>
      </c>
      <c r="E4887" s="4">
        <v>42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spans="1:21" ht="12" customHeight="1">
      <c r="A4888" s="4">
        <v>158</v>
      </c>
      <c r="B4888" s="4">
        <v>967</v>
      </c>
      <c r="C4888" s="5">
        <f t="shared" si="2056"/>
        <v>41080</v>
      </c>
      <c r="D4888" s="4" t="s">
        <v>63</v>
      </c>
      <c r="E4888" s="4">
        <v>48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32.479999999999997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spans="1:21" ht="12" customHeight="1">
      <c r="A4889" s="4">
        <v>235</v>
      </c>
      <c r="B4889" s="4">
        <v>1575</v>
      </c>
      <c r="C4889" s="5">
        <f t="shared" ref="C4889:C4890" si="2057">DATE(2012,12,31)-476</f>
        <v>40798</v>
      </c>
      <c r="D4889" s="4" t="s">
        <v>63</v>
      </c>
      <c r="E4889" s="4">
        <v>26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4.9800000000000004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8">C4889+2</f>
        <v>40800</v>
      </c>
    </row>
    <row r="4890" spans="1:21" ht="12" customHeight="1">
      <c r="A4890" s="4">
        <v>236</v>
      </c>
      <c r="B4890" s="4">
        <v>1575</v>
      </c>
      <c r="C4890" s="5">
        <f t="shared" si="2057"/>
        <v>40798</v>
      </c>
      <c r="D4890" s="4" t="s">
        <v>63</v>
      </c>
      <c r="E4890" s="4">
        <v>10</v>
      </c>
      <c r="F4890" s="4">
        <v>525.67399999999998</v>
      </c>
      <c r="G4890" s="4">
        <v>0.08</v>
      </c>
      <c r="H4890" s="4" t="s">
        <v>22</v>
      </c>
      <c r="I4890" s="6">
        <v>-147.01499999999999</v>
      </c>
      <c r="J4890" s="4">
        <v>65.989999999999995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0.56000000000000005</v>
      </c>
      <c r="U4890" s="5">
        <f t="shared" si="2058"/>
        <v>40800</v>
      </c>
    </row>
    <row r="4891" spans="1:21" ht="12" customHeight="1">
      <c r="A4891" s="4">
        <v>240</v>
      </c>
      <c r="B4891" s="4">
        <v>1637</v>
      </c>
      <c r="C4891" s="5">
        <f t="shared" ref="C4891:C4893" si="2059">DATE(2012,12,31)-693</f>
        <v>40581</v>
      </c>
      <c r="D4891" s="4" t="s">
        <v>45</v>
      </c>
      <c r="E4891" s="4">
        <v>36</v>
      </c>
      <c r="F4891" s="4">
        <v>1225.52</v>
      </c>
      <c r="G4891" s="4">
        <v>0.1</v>
      </c>
      <c r="H4891" s="4" t="s">
        <v>56</v>
      </c>
      <c r="I4891" s="6">
        <v>-1191.1300000000001</v>
      </c>
      <c r="J4891" s="4">
        <v>35.479999999999997</v>
      </c>
      <c r="K4891" s="4">
        <v>35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0">C4891+0</f>
        <v>40581</v>
      </c>
    </row>
    <row r="4892" spans="1:21" ht="12" customHeight="1">
      <c r="A4892" s="4">
        <v>241</v>
      </c>
      <c r="B4892" s="4">
        <v>1637</v>
      </c>
      <c r="C4892" s="5">
        <f t="shared" si="2059"/>
        <v>40581</v>
      </c>
      <c r="D4892" s="4" t="s">
        <v>45</v>
      </c>
      <c r="E4892" s="4">
        <v>10</v>
      </c>
      <c r="F4892" s="4">
        <v>1024.29</v>
      </c>
      <c r="G4892" s="4">
        <v>7.0000000000000007E-2</v>
      </c>
      <c r="H4892" s="4" t="s">
        <v>22</v>
      </c>
      <c r="I4892" s="6">
        <v>-95.52</v>
      </c>
      <c r="J4892" s="4">
        <v>99.99</v>
      </c>
      <c r="K4892" s="4">
        <v>19.989999999999998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0"/>
        <v>40581</v>
      </c>
    </row>
    <row r="4893" spans="1:21" ht="12" customHeight="1">
      <c r="A4893" s="4">
        <v>242</v>
      </c>
      <c r="B4893" s="4">
        <v>1637</v>
      </c>
      <c r="C4893" s="5">
        <f t="shared" si="2059"/>
        <v>40581</v>
      </c>
      <c r="D4893" s="4" t="s">
        <v>45</v>
      </c>
      <c r="E4893" s="4">
        <v>47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0.57999999999999996</v>
      </c>
      <c r="U4893" s="5">
        <f>C4893+2</f>
        <v>40583</v>
      </c>
    </row>
    <row r="4894" spans="1:21" ht="12" customHeight="1">
      <c r="A4894" s="4">
        <v>272</v>
      </c>
      <c r="B4894" s="4">
        <v>1888</v>
      </c>
      <c r="C4894" s="5">
        <f t="shared" ref="C4894:C4895" si="2061">DATE(2012,12,31)-793</f>
        <v>40481</v>
      </c>
      <c r="D4894" s="4" t="s">
        <v>45</v>
      </c>
      <c r="E4894" s="4">
        <v>38</v>
      </c>
      <c r="F4894" s="4">
        <v>1264.46</v>
      </c>
      <c r="G4894" s="4">
        <v>0</v>
      </c>
      <c r="H4894" s="4" t="s">
        <v>31</v>
      </c>
      <c r="I4894" s="6">
        <v>-1249.3900000000001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spans="1:21" ht="12" customHeight="1">
      <c r="A4895" s="4">
        <v>273</v>
      </c>
      <c r="B4895" s="4">
        <v>1888</v>
      </c>
      <c r="C4895" s="5">
        <f t="shared" si="2061"/>
        <v>40481</v>
      </c>
      <c r="D4895" s="4" t="s">
        <v>45</v>
      </c>
      <c r="E4895" s="4">
        <v>35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spans="1:21" ht="12" customHeight="1">
      <c r="A4896" s="4">
        <v>296</v>
      </c>
      <c r="B4896" s="4">
        <v>2052</v>
      </c>
      <c r="C4896" s="5">
        <f>DATE(2012,12,31)-263</f>
        <v>41011</v>
      </c>
      <c r="D4896" s="4" t="s">
        <v>30</v>
      </c>
      <c r="E4896" s="4">
        <v>23</v>
      </c>
      <c r="F4896" s="4">
        <v>107.93</v>
      </c>
      <c r="G4896" s="4">
        <v>0</v>
      </c>
      <c r="H4896" s="4" t="s">
        <v>22</v>
      </c>
      <c r="I4896" s="6">
        <v>-68.137500000000003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2">C4896+2</f>
        <v>41013</v>
      </c>
    </row>
    <row r="4897" spans="1:21" ht="12" customHeight="1">
      <c r="A4897" s="4">
        <v>301</v>
      </c>
      <c r="B4897" s="4">
        <v>2055</v>
      </c>
      <c r="C4897" s="5">
        <f>DATE(2012,12,31)-850</f>
        <v>40424</v>
      </c>
      <c r="D4897" s="4" t="s">
        <v>78</v>
      </c>
      <c r="E4897" s="4">
        <v>7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8.2899999999999991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2"/>
        <v>40426</v>
      </c>
    </row>
    <row r="4898" spans="1:21" ht="12" customHeight="1">
      <c r="A4898" s="4">
        <v>340</v>
      </c>
      <c r="B4898" s="4">
        <v>2309</v>
      </c>
      <c r="C4898" s="5">
        <f>DATE(2012,12,31)-485</f>
        <v>40789</v>
      </c>
      <c r="D4898" s="4" t="s">
        <v>21</v>
      </c>
      <c r="E4898" s="4">
        <v>7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2"/>
        <v>40791</v>
      </c>
    </row>
    <row r="4899" spans="1:21" ht="12" customHeight="1">
      <c r="A4899" s="4">
        <v>343</v>
      </c>
      <c r="B4899" s="4">
        <v>2341</v>
      </c>
      <c r="C4899" s="5">
        <f>DATE(2012,12,31)-947</f>
        <v>40327</v>
      </c>
      <c r="D4899" s="4" t="s">
        <v>21</v>
      </c>
      <c r="E4899" s="4">
        <v>29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spans="1:21" ht="12" customHeight="1">
      <c r="A4900" s="4">
        <v>350</v>
      </c>
      <c r="B4900" s="4">
        <v>2436</v>
      </c>
      <c r="C4900" s="5">
        <f>DATE(2012,12,31)-478</f>
        <v>40796</v>
      </c>
      <c r="D4900" s="4" t="s">
        <v>45</v>
      </c>
      <c r="E4900" s="4">
        <v>14</v>
      </c>
      <c r="F4900" s="4">
        <v>330.21</v>
      </c>
      <c r="G4900" s="4">
        <v>7.0000000000000007E-2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spans="1:21" ht="12" customHeight="1">
      <c r="A4901" s="4">
        <v>357</v>
      </c>
      <c r="B4901" s="4">
        <v>2500</v>
      </c>
      <c r="C4901" s="5">
        <f>DATE(2012,12,31)-139</f>
        <v>41135</v>
      </c>
      <c r="D4901" s="4" t="s">
        <v>30</v>
      </c>
      <c r="E4901" s="4">
        <v>5</v>
      </c>
      <c r="F4901" s="4">
        <v>22.56</v>
      </c>
      <c r="G4901" s="4">
        <v>0.04</v>
      </c>
      <c r="H4901" s="4" t="s">
        <v>22</v>
      </c>
      <c r="I4901" s="6">
        <v>-25.564499999999999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3">C4901+2</f>
        <v>41137</v>
      </c>
    </row>
    <row r="4902" spans="1:21" ht="12" customHeight="1">
      <c r="A4902" s="4">
        <v>364</v>
      </c>
      <c r="B4902" s="4">
        <v>2535</v>
      </c>
      <c r="C4902" s="5">
        <f>DATE(2012,12,31)-952</f>
        <v>40322</v>
      </c>
      <c r="D4902" s="4" t="s">
        <v>21</v>
      </c>
      <c r="E4902" s="4">
        <v>6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3"/>
        <v>40324</v>
      </c>
    </row>
    <row r="4903" spans="1:21" ht="12" customHeight="1">
      <c r="A4903" s="4">
        <v>386</v>
      </c>
      <c r="B4903" s="4">
        <v>2658</v>
      </c>
      <c r="C4903" s="5">
        <f t="shared" ref="C4903:C4904" si="2064">DATE(2012,12,31)-466</f>
        <v>40808</v>
      </c>
      <c r="D4903" s="4" t="s">
        <v>63</v>
      </c>
      <c r="E4903" s="4">
        <v>34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9.5399999999999991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spans="1:21" ht="12" customHeight="1">
      <c r="A4904" s="4">
        <v>387</v>
      </c>
      <c r="B4904" s="4">
        <v>2658</v>
      </c>
      <c r="C4904" s="5">
        <f t="shared" si="2064"/>
        <v>40808</v>
      </c>
      <c r="D4904" s="4" t="s">
        <v>63</v>
      </c>
      <c r="E4904" s="4">
        <v>32</v>
      </c>
      <c r="F4904" s="4">
        <v>473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0.57999999999999996</v>
      </c>
      <c r="U4904" s="5">
        <f>C4904+0</f>
        <v>40808</v>
      </c>
    </row>
    <row r="4905" spans="1:21" ht="12" customHeight="1">
      <c r="A4905" s="4">
        <v>436</v>
      </c>
      <c r="B4905" s="4">
        <v>2914</v>
      </c>
      <c r="C4905" s="5">
        <f>DATE(2012,12,31)-1035</f>
        <v>40239</v>
      </c>
      <c r="D4905" s="4" t="s">
        <v>63</v>
      </c>
      <c r="E4905" s="4">
        <v>3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9.5399999999999991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5">C4905+1</f>
        <v>40240</v>
      </c>
    </row>
    <row r="4906" spans="1:21" ht="12" customHeight="1">
      <c r="A4906" s="4">
        <v>441</v>
      </c>
      <c r="B4906" s="4">
        <v>2978</v>
      </c>
      <c r="C4906" s="5">
        <f t="shared" ref="C4906:C4907" si="2066">DATE(2012,12,31)-609</f>
        <v>40665</v>
      </c>
      <c r="D4906" s="4" t="s">
        <v>78</v>
      </c>
      <c r="E4906" s="4">
        <v>34</v>
      </c>
      <c r="F4906" s="4">
        <v>6264.1854999999996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19.989999999999998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5"/>
        <v>40666</v>
      </c>
    </row>
    <row r="4907" spans="1:21" ht="12" customHeight="1">
      <c r="A4907" s="4">
        <v>442</v>
      </c>
      <c r="B4907" s="4">
        <v>2978</v>
      </c>
      <c r="C4907" s="5">
        <f t="shared" si="2066"/>
        <v>40665</v>
      </c>
      <c r="D4907" s="4" t="s">
        <v>78</v>
      </c>
      <c r="E4907" s="4">
        <v>36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19.989999999999998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spans="1:21" ht="12" customHeight="1">
      <c r="A4908" s="4">
        <v>444</v>
      </c>
      <c r="B4908" s="4">
        <v>3008</v>
      </c>
      <c r="C4908" s="5">
        <f>DATE(2012,12,31)-420</f>
        <v>40854</v>
      </c>
      <c r="D4908" s="4" t="s">
        <v>63</v>
      </c>
      <c r="E4908" s="4">
        <v>41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19.989999999999998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7">C4908+1</f>
        <v>40855</v>
      </c>
    </row>
    <row r="4909" spans="1:21" ht="12" customHeight="1">
      <c r="A4909" s="4">
        <v>453</v>
      </c>
      <c r="B4909" s="4">
        <v>3078</v>
      </c>
      <c r="C4909" s="5">
        <f>DATE(2012,12,31)-1054</f>
        <v>40220</v>
      </c>
      <c r="D4909" s="4" t="s">
        <v>30</v>
      </c>
      <c r="E4909" s="4">
        <v>12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0.56000000000000005</v>
      </c>
      <c r="U4909" s="5">
        <f t="shared" si="2067"/>
        <v>40221</v>
      </c>
    </row>
    <row r="4910" spans="1:21" ht="12" customHeight="1">
      <c r="A4910" s="4">
        <v>477</v>
      </c>
      <c r="B4910" s="4">
        <v>3300</v>
      </c>
      <c r="C4910" s="5">
        <f>DATE(2012,12,31)-536</f>
        <v>40738</v>
      </c>
      <c r="D4910" s="4" t="s">
        <v>21</v>
      </c>
      <c r="E4910" s="4">
        <v>6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spans="1:21" ht="12" customHeight="1">
      <c r="A4911" s="4">
        <v>478</v>
      </c>
      <c r="B4911" s="4">
        <v>3328</v>
      </c>
      <c r="C4911" s="5">
        <f>DATE(2012,12,31)-43</f>
        <v>41231</v>
      </c>
      <c r="D4911" s="4" t="s">
        <v>21</v>
      </c>
      <c r="E4911" s="4">
        <v>12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146.05000000000001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spans="1:21" ht="12" customHeight="1">
      <c r="A4912" s="4">
        <v>514</v>
      </c>
      <c r="B4912" s="4">
        <v>3525</v>
      </c>
      <c r="C4912" s="5">
        <f>DATE(2012,12,31)-376</f>
        <v>40898</v>
      </c>
      <c r="D4912" s="4" t="s">
        <v>45</v>
      </c>
      <c r="E4912" s="4">
        <v>38</v>
      </c>
      <c r="F4912" s="4">
        <v>115.43</v>
      </c>
      <c r="G4912" s="4">
        <v>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8">C4912+2</f>
        <v>40900</v>
      </c>
    </row>
    <row r="4913" spans="1:21" ht="12" customHeight="1">
      <c r="A4913" s="4">
        <v>515</v>
      </c>
      <c r="B4913" s="4">
        <v>3526</v>
      </c>
      <c r="C4913" s="5">
        <f>DATE(2012,12,31)-657</f>
        <v>40617</v>
      </c>
      <c r="D4913" s="4" t="s">
        <v>21</v>
      </c>
      <c r="E4913" s="4">
        <v>20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8"/>
        <v>40619</v>
      </c>
    </row>
    <row r="4914" spans="1:21" ht="12" customHeight="1">
      <c r="A4914" s="4">
        <v>532</v>
      </c>
      <c r="B4914" s="4">
        <v>3621</v>
      </c>
      <c r="C4914" s="5">
        <f>DATE(2012,12,31)-971</f>
        <v>40303</v>
      </c>
      <c r="D4914" s="4" t="s">
        <v>63</v>
      </c>
      <c r="E4914" s="4">
        <v>14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spans="1:21" ht="12" customHeight="1">
      <c r="A4915" s="4">
        <v>541</v>
      </c>
      <c r="B4915" s="4">
        <v>3654</v>
      </c>
      <c r="C4915" s="5">
        <f>DATE(2012,12,31)-212</f>
        <v>41062</v>
      </c>
      <c r="D4915" s="4" t="s">
        <v>21</v>
      </c>
      <c r="E4915" s="4">
        <v>41</v>
      </c>
      <c r="F4915" s="4">
        <v>95.73</v>
      </c>
      <c r="G4915" s="4">
        <v>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spans="1:21" ht="12" customHeight="1">
      <c r="A4916" s="4">
        <v>565</v>
      </c>
      <c r="B4916" s="4">
        <v>3814</v>
      </c>
      <c r="C4916" s="5">
        <f>DATE(2012,12,31)-679</f>
        <v>40595</v>
      </c>
      <c r="D4916" s="4" t="s">
        <v>21</v>
      </c>
      <c r="E4916" s="4">
        <v>43</v>
      </c>
      <c r="F4916" s="4">
        <v>1225.4100000000001</v>
      </c>
      <c r="G4916" s="4">
        <v>0.04</v>
      </c>
      <c r="H4916" s="4" t="s">
        <v>56</v>
      </c>
      <c r="I4916" s="6">
        <v>-138.02000000000001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0.57999999999999996</v>
      </c>
      <c r="U4916" s="5">
        <f>C4916+6</f>
        <v>40601</v>
      </c>
    </row>
    <row r="4917" spans="1:21" ht="12" customHeight="1">
      <c r="A4917" s="4">
        <v>578</v>
      </c>
      <c r="B4917" s="4">
        <v>3911</v>
      </c>
      <c r="C4917" s="5">
        <f>DATE(2012,12,31)-656</f>
        <v>40618</v>
      </c>
      <c r="D4917" s="4" t="s">
        <v>45</v>
      </c>
      <c r="E4917" s="4">
        <v>24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spans="1:21" ht="12" customHeight="1">
      <c r="A4918" s="4">
        <v>607</v>
      </c>
      <c r="B4918" s="4">
        <v>4134</v>
      </c>
      <c r="C4918" s="5">
        <f t="shared" ref="C4918:C4919" si="2069">DATE(2012,12,31)-720</f>
        <v>40554</v>
      </c>
      <c r="D4918" s="4" t="s">
        <v>78</v>
      </c>
      <c r="E4918" s="4">
        <v>48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130.97999999999999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spans="1:21" ht="12" customHeight="1">
      <c r="A4919" s="4">
        <v>608</v>
      </c>
      <c r="B4919" s="4">
        <v>4134</v>
      </c>
      <c r="C4919" s="5">
        <f t="shared" si="2069"/>
        <v>40554</v>
      </c>
      <c r="D4919" s="4" t="s">
        <v>78</v>
      </c>
      <c r="E4919" s="4">
        <v>23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spans="1:21" ht="12" customHeight="1">
      <c r="A4920" s="4">
        <v>615</v>
      </c>
      <c r="B4920" s="4">
        <v>4230</v>
      </c>
      <c r="C4920" s="5">
        <f t="shared" ref="C4920:C4921" si="2070">DATE(2012,12,31)-303</f>
        <v>40971</v>
      </c>
      <c r="D4920" s="4" t="s">
        <v>78</v>
      </c>
      <c r="E4920" s="4">
        <v>18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spans="1:21" ht="12" customHeight="1">
      <c r="A4921" s="4">
        <v>616</v>
      </c>
      <c r="B4921" s="4">
        <v>4230</v>
      </c>
      <c r="C4921" s="5">
        <f t="shared" si="2070"/>
        <v>40971</v>
      </c>
      <c r="D4921" s="4" t="s">
        <v>78</v>
      </c>
      <c r="E4921" s="4">
        <v>46</v>
      </c>
      <c r="F4921" s="4">
        <v>2508.3159999999998</v>
      </c>
      <c r="G4921" s="4">
        <v>7.0000000000000007E-2</v>
      </c>
      <c r="H4921" s="4" t="s">
        <v>56</v>
      </c>
      <c r="I4921" s="6">
        <v>456.81299999999999</v>
      </c>
      <c r="J4921" s="4">
        <v>65.989999999999995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0.56000000000000005</v>
      </c>
      <c r="U4921" s="5">
        <f t="shared" ref="U4921:U4924" si="2071">C4921+2</f>
        <v>40973</v>
      </c>
    </row>
    <row r="4922" spans="1:21" ht="12" customHeight="1">
      <c r="A4922" s="4">
        <v>624</v>
      </c>
      <c r="B4922" s="4">
        <v>4324</v>
      </c>
      <c r="C4922" s="5">
        <f>DATE(2012,12,31)-534</f>
        <v>40740</v>
      </c>
      <c r="D4922" s="4" t="s">
        <v>78</v>
      </c>
      <c r="E4922" s="4">
        <v>28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1"/>
        <v>40742</v>
      </c>
    </row>
    <row r="4923" spans="1:21" ht="12" customHeight="1">
      <c r="A4923" s="4">
        <v>651</v>
      </c>
      <c r="B4923" s="4">
        <v>4581</v>
      </c>
      <c r="C4923" s="5">
        <f>DATE(2012,12,31)-119</f>
        <v>41155</v>
      </c>
      <c r="D4923" s="4" t="s">
        <v>45</v>
      </c>
      <c r="E4923" s="4">
        <v>25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19.989999999999998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1"/>
        <v>41157</v>
      </c>
    </row>
    <row r="4924" spans="1:21" ht="12" customHeight="1">
      <c r="A4924" s="4">
        <v>674</v>
      </c>
      <c r="B4924" s="4">
        <v>4706</v>
      </c>
      <c r="C4924" s="5">
        <f>DATE(2012,12,31)-3</f>
        <v>41271</v>
      </c>
      <c r="D4924" s="4" t="s">
        <v>45</v>
      </c>
      <c r="E4924" s="4">
        <v>30</v>
      </c>
      <c r="F4924" s="4">
        <v>2116.6999999999998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19.989999999999998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1"/>
        <v>41273</v>
      </c>
    </row>
    <row r="4925" spans="1:21" ht="12" customHeight="1">
      <c r="A4925" s="4">
        <v>677</v>
      </c>
      <c r="B4925" s="4">
        <v>4738</v>
      </c>
      <c r="C4925" s="5">
        <f>DATE(2012,12,31)-268</f>
        <v>41006</v>
      </c>
      <c r="D4925" s="4" t="s">
        <v>30</v>
      </c>
      <c r="E4925" s="4">
        <v>2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spans="1:21" ht="12" customHeight="1">
      <c r="A4926" s="4">
        <v>683</v>
      </c>
      <c r="B4926" s="4">
        <v>4771</v>
      </c>
      <c r="C4926" s="5">
        <f>DATE(2012,12,31)-18</f>
        <v>41256</v>
      </c>
      <c r="D4926" s="4" t="s">
        <v>78</v>
      </c>
      <c r="E4926" s="4">
        <v>4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spans="1:21" ht="12" customHeight="1">
      <c r="A4927" s="4">
        <v>691</v>
      </c>
      <c r="B4927" s="4">
        <v>4804</v>
      </c>
      <c r="C4927" s="5">
        <f>DATE(2012,12,31)-339</f>
        <v>40935</v>
      </c>
      <c r="D4927" s="4" t="s">
        <v>30</v>
      </c>
      <c r="E4927" s="4">
        <v>13</v>
      </c>
      <c r="F4927" s="4">
        <v>463.83</v>
      </c>
      <c r="G4927" s="4">
        <v>0</v>
      </c>
      <c r="H4927" s="4" t="s">
        <v>22</v>
      </c>
      <c r="I4927" s="6">
        <v>103.26</v>
      </c>
      <c r="J4927" s="4">
        <v>33.979999999999997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spans="1:21" ht="12" customHeight="1">
      <c r="A4928" s="4">
        <v>716</v>
      </c>
      <c r="B4928" s="4">
        <v>5094</v>
      </c>
      <c r="C4928" s="5">
        <f>DATE(2012,12,31)-1009</f>
        <v>40265</v>
      </c>
      <c r="D4928" s="4" t="s">
        <v>45</v>
      </c>
      <c r="E4928" s="4">
        <v>2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4.2699999999999996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spans="1:21" ht="12" customHeight="1">
      <c r="A4929" s="4">
        <v>721</v>
      </c>
      <c r="B4929" s="4">
        <v>5188</v>
      </c>
      <c r="C4929" s="5">
        <f>DATE(2012,12,31)-671</f>
        <v>40603</v>
      </c>
      <c r="D4929" s="4" t="s">
        <v>45</v>
      </c>
      <c r="E4929" s="4">
        <v>24</v>
      </c>
      <c r="F4929" s="4">
        <v>192.8</v>
      </c>
      <c r="G4929" s="4">
        <v>0.05</v>
      </c>
      <c r="H4929" s="4" t="s">
        <v>22</v>
      </c>
      <c r="I4929" s="6">
        <v>31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spans="1:21" ht="12" customHeight="1">
      <c r="A4930" s="4">
        <v>722</v>
      </c>
      <c r="B4930" s="4">
        <v>5189</v>
      </c>
      <c r="C4930" s="5">
        <f>DATE(2012,12,31)-767</f>
        <v>40507</v>
      </c>
      <c r="D4930" s="4" t="s">
        <v>21</v>
      </c>
      <c r="E4930" s="4">
        <v>12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2">C4930+7</f>
        <v>40514</v>
      </c>
    </row>
    <row r="4931" spans="1:21" ht="12" customHeight="1">
      <c r="A4931" s="4">
        <v>753</v>
      </c>
      <c r="B4931" s="4">
        <v>5408</v>
      </c>
      <c r="C4931" s="5">
        <f t="shared" ref="C4931:C4932" si="2073">DATE(2012,12,31)-164</f>
        <v>41110</v>
      </c>
      <c r="D4931" s="4" t="s">
        <v>21</v>
      </c>
      <c r="E4931" s="4">
        <v>20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2"/>
        <v>41117</v>
      </c>
    </row>
    <row r="4932" spans="1:21" ht="12" customHeight="1">
      <c r="A4932" s="4">
        <v>754</v>
      </c>
      <c r="B4932" s="4">
        <v>5408</v>
      </c>
      <c r="C4932" s="5">
        <f t="shared" si="2073"/>
        <v>41110</v>
      </c>
      <c r="D4932" s="4" t="s">
        <v>21</v>
      </c>
      <c r="E4932" s="4">
        <v>11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spans="1:21" ht="12" customHeight="1">
      <c r="A4933" s="4">
        <v>763</v>
      </c>
      <c r="B4933" s="4">
        <v>5472</v>
      </c>
      <c r="C4933" s="5">
        <f t="shared" ref="C4933:C4935" si="2074">DATE(2012,12,31)-996</f>
        <v>40278</v>
      </c>
      <c r="D4933" s="4" t="s">
        <v>21</v>
      </c>
      <c r="E4933" s="4">
        <v>32</v>
      </c>
      <c r="F4933" s="4">
        <v>216.08</v>
      </c>
      <c r="G4933" s="4">
        <v>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spans="1:21" ht="12" customHeight="1">
      <c r="A4934" s="4">
        <v>764</v>
      </c>
      <c r="B4934" s="4">
        <v>5472</v>
      </c>
      <c r="C4934" s="5">
        <f t="shared" si="2074"/>
        <v>40278</v>
      </c>
      <c r="D4934" s="4" t="s">
        <v>21</v>
      </c>
      <c r="E4934" s="4">
        <v>27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spans="1:21" ht="12" customHeight="1">
      <c r="A4935" s="4">
        <v>765</v>
      </c>
      <c r="B4935" s="4">
        <v>5472</v>
      </c>
      <c r="C4935" s="5">
        <f t="shared" si="2074"/>
        <v>40278</v>
      </c>
      <c r="D4935" s="4" t="s">
        <v>21</v>
      </c>
      <c r="E4935" s="4">
        <v>12</v>
      </c>
      <c r="F4935" s="4">
        <v>1098.1490000000001</v>
      </c>
      <c r="G4935" s="4">
        <v>0.09</v>
      </c>
      <c r="H4935" s="4" t="s">
        <v>22</v>
      </c>
      <c r="I4935" s="6">
        <v>-182.97399999999999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0.57999999999999996</v>
      </c>
      <c r="U4935" s="5">
        <f t="shared" ref="U4935:U4937" si="2075">C4935+2</f>
        <v>40280</v>
      </c>
    </row>
    <row r="4936" spans="1:21" ht="12" customHeight="1">
      <c r="A4936" s="4">
        <v>799</v>
      </c>
      <c r="B4936" s="4">
        <v>5702</v>
      </c>
      <c r="C4936" s="5">
        <f>DATE(2012,12,31)-847</f>
        <v>40427</v>
      </c>
      <c r="D4936" s="4" t="s">
        <v>45</v>
      </c>
      <c r="E4936" s="4">
        <v>20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19.989999999999998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5"/>
        <v>40429</v>
      </c>
    </row>
    <row r="4937" spans="1:21" ht="12" customHeight="1">
      <c r="A4937" s="4">
        <v>827</v>
      </c>
      <c r="B4937" s="4">
        <v>5958</v>
      </c>
      <c r="C4937" s="5">
        <f t="shared" ref="C4937:C4938" si="2076">DATE(2012,12,31)-473</f>
        <v>40801</v>
      </c>
      <c r="D4937" s="4" t="s">
        <v>63</v>
      </c>
      <c r="E4937" s="4">
        <v>3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5"/>
        <v>40803</v>
      </c>
    </row>
    <row r="4938" spans="1:21" ht="12" customHeight="1">
      <c r="A4938" s="4">
        <v>828</v>
      </c>
      <c r="B4938" s="4">
        <v>5958</v>
      </c>
      <c r="C4938" s="5">
        <f t="shared" si="2076"/>
        <v>40801</v>
      </c>
      <c r="D4938" s="4" t="s">
        <v>63</v>
      </c>
      <c r="E4938" s="4">
        <v>21</v>
      </c>
      <c r="F4938" s="4">
        <v>2629.6640000000002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0.55000000000000004</v>
      </c>
      <c r="U4938" s="5">
        <f>C4938+0</f>
        <v>40801</v>
      </c>
    </row>
    <row r="4939" spans="1:21" ht="12" customHeight="1">
      <c r="A4939" s="4">
        <v>836</v>
      </c>
      <c r="B4939" s="4">
        <v>5989</v>
      </c>
      <c r="C4939" s="5">
        <f t="shared" ref="C4939:C4940" si="2077">DATE(2012,12,31)-444</f>
        <v>40830</v>
      </c>
      <c r="D4939" s="4" t="s">
        <v>63</v>
      </c>
      <c r="E4939" s="4">
        <v>6</v>
      </c>
      <c r="F4939" s="4">
        <v>155.47999999999999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spans="1:21" ht="12" customHeight="1">
      <c r="A4940" s="4">
        <v>837</v>
      </c>
      <c r="B4940" s="4">
        <v>5989</v>
      </c>
      <c r="C4940" s="5">
        <f t="shared" si="2077"/>
        <v>40830</v>
      </c>
      <c r="D4940" s="4" t="s">
        <v>63</v>
      </c>
      <c r="E4940" s="4">
        <v>21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8">C4940+1</f>
        <v>40831</v>
      </c>
    </row>
    <row r="4941" spans="1:21" ht="12" customHeight="1">
      <c r="A4941" s="4">
        <v>838</v>
      </c>
      <c r="B4941" s="4">
        <v>5990</v>
      </c>
      <c r="C4941" s="5">
        <f>DATE(2012,12,31)-999</f>
        <v>40275</v>
      </c>
      <c r="D4941" s="4" t="s">
        <v>78</v>
      </c>
      <c r="E4941" s="4">
        <v>9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8"/>
        <v>40276</v>
      </c>
    </row>
    <row r="4942" spans="1:21" ht="12" customHeight="1">
      <c r="A4942" s="4">
        <v>846</v>
      </c>
      <c r="B4942" s="4">
        <v>6054</v>
      </c>
      <c r="C4942" s="5">
        <f t="shared" ref="C4942:C4943" si="2079">DATE(2012,12,31)-480</f>
        <v>40794</v>
      </c>
      <c r="D4942" s="4" t="s">
        <v>21</v>
      </c>
      <c r="E4942" s="4">
        <v>6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spans="1:21" ht="12" customHeight="1">
      <c r="A4943" s="4">
        <v>847</v>
      </c>
      <c r="B4943" s="4">
        <v>6054</v>
      </c>
      <c r="C4943" s="5">
        <f t="shared" si="2079"/>
        <v>40794</v>
      </c>
      <c r="D4943" s="4" t="s">
        <v>21</v>
      </c>
      <c r="E4943" s="4">
        <v>43</v>
      </c>
      <c r="F4943" s="4">
        <v>643.30999999999995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0.57999999999999996</v>
      </c>
      <c r="U4943" s="5">
        <f>C4943+5</f>
        <v>40799</v>
      </c>
    </row>
    <row r="4944" spans="1:21" ht="12" customHeight="1">
      <c r="A4944" s="4">
        <v>909</v>
      </c>
      <c r="B4944" s="4">
        <v>6531</v>
      </c>
      <c r="C4944" s="5">
        <f t="shared" ref="C4944:C4945" si="2080">DATE(2012,12,31)-898</f>
        <v>40376</v>
      </c>
      <c r="D4944" s="4" t="s">
        <v>30</v>
      </c>
      <c r="E4944" s="4">
        <v>42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1">C4944+2</f>
        <v>40378</v>
      </c>
    </row>
    <row r="4945" spans="1:21" ht="12" customHeight="1">
      <c r="A4945" s="4">
        <v>910</v>
      </c>
      <c r="B4945" s="4">
        <v>6531</v>
      </c>
      <c r="C4945" s="5">
        <f t="shared" si="2080"/>
        <v>40376</v>
      </c>
      <c r="D4945" s="4" t="s">
        <v>30</v>
      </c>
      <c r="E4945" s="4">
        <v>28</v>
      </c>
      <c r="F4945" s="4">
        <v>541.95000000000005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4.0999999999999996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1"/>
        <v>40378</v>
      </c>
    </row>
    <row r="4946" spans="1:21" ht="12" customHeight="1">
      <c r="A4946" s="4">
        <v>915</v>
      </c>
      <c r="B4946" s="4">
        <v>6564</v>
      </c>
      <c r="C4946" s="5">
        <f>DATE(2012,12,31)-710</f>
        <v>40564</v>
      </c>
      <c r="D4946" s="4" t="s">
        <v>21</v>
      </c>
      <c r="E4946" s="4">
        <v>26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2">C4946+0</f>
        <v>40564</v>
      </c>
    </row>
    <row r="4947" spans="1:21" ht="12" customHeight="1">
      <c r="A4947" s="4">
        <v>916</v>
      </c>
      <c r="B4947" s="4">
        <v>6566</v>
      </c>
      <c r="C4947" s="5">
        <f>DATE(2012,12,31)-590</f>
        <v>40684</v>
      </c>
      <c r="D4947" s="4" t="s">
        <v>78</v>
      </c>
      <c r="E4947" s="4">
        <v>21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33.979999999999997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2"/>
        <v>40684</v>
      </c>
    </row>
    <row r="4948" spans="1:21" ht="12" customHeight="1">
      <c r="A4948" s="4">
        <v>925</v>
      </c>
      <c r="B4948" s="4">
        <v>6693</v>
      </c>
      <c r="C4948" s="5">
        <f>DATE(2012,12,31)-221</f>
        <v>41053</v>
      </c>
      <c r="D4948" s="4" t="s">
        <v>78</v>
      </c>
      <c r="E4948" s="4">
        <v>16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3">C4948+2</f>
        <v>41055</v>
      </c>
    </row>
    <row r="4949" spans="1:21" ht="12" customHeight="1">
      <c r="A4949" s="4">
        <v>931</v>
      </c>
      <c r="B4949" s="4">
        <v>6753</v>
      </c>
      <c r="C4949" s="5">
        <f>DATE(2012,12,31)-827</f>
        <v>40447</v>
      </c>
      <c r="D4949" s="4" t="s">
        <v>21</v>
      </c>
      <c r="E4949" s="4">
        <v>7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3"/>
        <v>40449</v>
      </c>
    </row>
    <row r="4950" spans="1:21" ht="12" customHeight="1">
      <c r="A4950" s="4">
        <v>937</v>
      </c>
      <c r="B4950" s="4">
        <v>6788</v>
      </c>
      <c r="C4950" s="5">
        <f t="shared" ref="C4950:C4951" si="2084">DATE(2012,12,31)-515</f>
        <v>40759</v>
      </c>
      <c r="D4950" s="4" t="s">
        <v>45</v>
      </c>
      <c r="E4950" s="4">
        <v>41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0.57999999999999996</v>
      </c>
      <c r="U4950" s="5">
        <f t="shared" si="2083"/>
        <v>40761</v>
      </c>
    </row>
    <row r="4951" spans="1:21" ht="12" customHeight="1">
      <c r="A4951" s="4">
        <v>938</v>
      </c>
      <c r="B4951" s="4">
        <v>6788</v>
      </c>
      <c r="C4951" s="5">
        <f t="shared" si="2084"/>
        <v>40759</v>
      </c>
      <c r="D4951" s="4" t="s">
        <v>45</v>
      </c>
      <c r="E4951" s="4">
        <v>6</v>
      </c>
      <c r="F4951" s="4">
        <v>11.15</v>
      </c>
      <c r="G4951" s="4">
        <v>7.0000000000000007E-2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5">C4951+1</f>
        <v>40760</v>
      </c>
    </row>
    <row r="4952" spans="1:21" ht="12" customHeight="1">
      <c r="A4952" s="4">
        <v>954</v>
      </c>
      <c r="B4952" s="4">
        <v>6886</v>
      </c>
      <c r="C4952" s="5">
        <f>DATE(2012,12,31)-347</f>
        <v>40927</v>
      </c>
      <c r="D4952" s="4" t="s">
        <v>30</v>
      </c>
      <c r="E4952" s="4">
        <v>46</v>
      </c>
      <c r="F4952" s="4">
        <v>8177.07</v>
      </c>
      <c r="G4952" s="4">
        <v>0.08</v>
      </c>
      <c r="H4952" s="4" t="s">
        <v>22</v>
      </c>
      <c r="I4952" s="6">
        <v>2385.3000000000002</v>
      </c>
      <c r="J4952" s="4">
        <v>178.47</v>
      </c>
      <c r="K4952" s="4">
        <v>19.989999999999998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0.55000000000000004</v>
      </c>
      <c r="U4952" s="5">
        <f t="shared" si="2085"/>
        <v>40928</v>
      </c>
    </row>
    <row r="4953" spans="1:21" ht="12" customHeight="1">
      <c r="A4953" s="4">
        <v>969</v>
      </c>
      <c r="B4953" s="4">
        <v>7042</v>
      </c>
      <c r="C4953" s="5">
        <f>DATE(2012,12,31)-358</f>
        <v>40916</v>
      </c>
      <c r="D4953" s="4" t="s">
        <v>63</v>
      </c>
      <c r="E4953" s="4">
        <v>4</v>
      </c>
      <c r="F4953" s="4">
        <v>1187.864</v>
      </c>
      <c r="G4953" s="4">
        <v>7.0000000000000007E-2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6">C4953+2</f>
        <v>40918</v>
      </c>
    </row>
    <row r="4954" spans="1:21" ht="12" customHeight="1">
      <c r="A4954" s="4">
        <v>996</v>
      </c>
      <c r="B4954" s="4">
        <v>7174</v>
      </c>
      <c r="C4954" s="5">
        <f>DATE(2012,12,31)-296</f>
        <v>40978</v>
      </c>
      <c r="D4954" s="4" t="s">
        <v>45</v>
      </c>
      <c r="E4954" s="4">
        <v>10</v>
      </c>
      <c r="F4954" s="4">
        <v>141.91999999999999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6"/>
        <v>40980</v>
      </c>
    </row>
    <row r="4955" spans="1:21" ht="12" customHeight="1">
      <c r="A4955" s="4">
        <v>1023</v>
      </c>
      <c r="B4955" s="4">
        <v>7458</v>
      </c>
      <c r="C4955" s="5">
        <f>DATE(2012,12,31)-271</f>
        <v>41003</v>
      </c>
      <c r="D4955" s="4" t="s">
        <v>78</v>
      </c>
      <c r="E4955" s="4">
        <v>9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39.479999999999997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6"/>
        <v>41005</v>
      </c>
    </row>
    <row r="4956" spans="1:21" ht="12" customHeight="1">
      <c r="A4956" s="4">
        <v>1056</v>
      </c>
      <c r="B4956" s="4">
        <v>7812</v>
      </c>
      <c r="C4956" s="5">
        <f t="shared" ref="C4956:C4957" si="2087">DATE(2012,12,31)-621</f>
        <v>40653</v>
      </c>
      <c r="D4956" s="4" t="s">
        <v>21</v>
      </c>
      <c r="E4956" s="4">
        <v>17</v>
      </c>
      <c r="F4956" s="4">
        <v>475.9</v>
      </c>
      <c r="G4956" s="4">
        <v>0.04</v>
      </c>
      <c r="H4956" s="4" t="s">
        <v>22</v>
      </c>
      <c r="I4956" s="6">
        <v>-5.1799999999999926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spans="1:21" ht="12" customHeight="1">
      <c r="A4957" s="4">
        <v>1057</v>
      </c>
      <c r="B4957" s="4">
        <v>7812</v>
      </c>
      <c r="C4957" s="5">
        <f t="shared" si="2087"/>
        <v>40653</v>
      </c>
      <c r="D4957" s="4" t="s">
        <v>21</v>
      </c>
      <c r="E4957" s="4">
        <v>12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spans="1:21" ht="12" customHeight="1">
      <c r="A4958" s="4">
        <v>1059</v>
      </c>
      <c r="B4958" s="4">
        <v>7840</v>
      </c>
      <c r="C4958" s="5">
        <f>DATE(2012,12,31)-723</f>
        <v>40551</v>
      </c>
      <c r="D4958" s="4" t="s">
        <v>21</v>
      </c>
      <c r="E4958" s="4">
        <v>34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4.8899999999999997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spans="1:21" ht="12" customHeight="1">
      <c r="A4959" s="4">
        <v>1081</v>
      </c>
      <c r="B4959" s="4">
        <v>7938</v>
      </c>
      <c r="C4959" s="5">
        <f>DATE(2012,12,31)-1024</f>
        <v>40250</v>
      </c>
      <c r="D4959" s="4" t="s">
        <v>63</v>
      </c>
      <c r="E4959" s="4">
        <v>16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8">C4959+2</f>
        <v>40252</v>
      </c>
    </row>
    <row r="4960" spans="1:21" ht="12" customHeight="1">
      <c r="A4960" s="4">
        <v>1086</v>
      </c>
      <c r="B4960" s="4">
        <v>8001</v>
      </c>
      <c r="C4960" s="5">
        <f t="shared" ref="C4960:C4961" si="2089">DATE(2012,12,31)-773</f>
        <v>40501</v>
      </c>
      <c r="D4960" s="4" t="s">
        <v>30</v>
      </c>
      <c r="E4960" s="4">
        <v>15</v>
      </c>
      <c r="F4960" s="4">
        <v>37.700000000000003</v>
      </c>
      <c r="G4960" s="4">
        <v>0.1</v>
      </c>
      <c r="H4960" s="4" t="s">
        <v>22</v>
      </c>
      <c r="I4960" s="6">
        <v>-81.08</v>
      </c>
      <c r="J4960" s="4">
        <v>2.1800000000000002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8"/>
        <v>40503</v>
      </c>
    </row>
    <row r="4961" spans="1:21" ht="12" customHeight="1">
      <c r="A4961" s="4">
        <v>1087</v>
      </c>
      <c r="B4961" s="4">
        <v>8001</v>
      </c>
      <c r="C4961" s="5">
        <f t="shared" si="2089"/>
        <v>40501</v>
      </c>
      <c r="D4961" s="4" t="s">
        <v>30</v>
      </c>
      <c r="E4961" s="4">
        <v>47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8"/>
        <v>40503</v>
      </c>
    </row>
    <row r="4962" spans="1:21" ht="12" customHeight="1">
      <c r="A4962" s="4">
        <v>1102</v>
      </c>
      <c r="B4962" s="4">
        <v>8101</v>
      </c>
      <c r="C4962" s="5">
        <f t="shared" ref="C4962:C4963" si="2090">DATE(2012,12,31)-1033</f>
        <v>40241</v>
      </c>
      <c r="D4962" s="4" t="s">
        <v>63</v>
      </c>
      <c r="E4962" s="4">
        <v>35</v>
      </c>
      <c r="F4962" s="4">
        <v>3491.71</v>
      </c>
      <c r="G4962" s="4">
        <v>0.04</v>
      </c>
      <c r="H4962" s="4" t="s">
        <v>31</v>
      </c>
      <c r="I4962" s="6">
        <v>-1216.6400000000001</v>
      </c>
      <c r="J4962" s="4">
        <v>95.95</v>
      </c>
      <c r="K4962" s="4">
        <v>74.349999999999994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0.56999999999999995</v>
      </c>
      <c r="U4962" s="5">
        <f t="shared" si="2088"/>
        <v>40243</v>
      </c>
    </row>
    <row r="4963" spans="1:21" ht="12" customHeight="1">
      <c r="A4963" s="4">
        <v>1103</v>
      </c>
      <c r="B4963" s="4">
        <v>8101</v>
      </c>
      <c r="C4963" s="5">
        <f t="shared" si="2090"/>
        <v>40241</v>
      </c>
      <c r="D4963" s="4" t="s">
        <v>63</v>
      </c>
      <c r="E4963" s="4">
        <v>15</v>
      </c>
      <c r="F4963" s="4">
        <v>485.16</v>
      </c>
      <c r="G4963" s="4">
        <v>0.1</v>
      </c>
      <c r="H4963" s="4" t="s">
        <v>22</v>
      </c>
      <c r="I4963" s="6">
        <v>-9.3199999999999932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0.56000000000000005</v>
      </c>
      <c r="U4963" s="5">
        <f t="shared" si="2088"/>
        <v>40243</v>
      </c>
    </row>
    <row r="4964" spans="1:21" ht="12" customHeight="1">
      <c r="A4964" s="4">
        <v>1177</v>
      </c>
      <c r="B4964" s="4">
        <v>8582</v>
      </c>
      <c r="C4964" s="5">
        <f>DATE(2012,12,31)-772</f>
        <v>40502</v>
      </c>
      <c r="D4964" s="4" t="s">
        <v>21</v>
      </c>
      <c r="E4964" s="4">
        <v>15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spans="1:21" ht="12" customHeight="1">
      <c r="A4965" s="4">
        <v>1204</v>
      </c>
      <c r="B4965" s="4">
        <v>8832</v>
      </c>
      <c r="C4965" s="5">
        <f>DATE(2012,12,31)-333</f>
        <v>40941</v>
      </c>
      <c r="D4965" s="4" t="s">
        <v>21</v>
      </c>
      <c r="E4965" s="4">
        <v>39</v>
      </c>
      <c r="F4965" s="4">
        <v>647.80999999999995</v>
      </c>
      <c r="G4965" s="4">
        <v>0.1</v>
      </c>
      <c r="H4965" s="4" t="s">
        <v>22</v>
      </c>
      <c r="I4965" s="6">
        <v>8.6500000000000057</v>
      </c>
      <c r="J4965" s="4">
        <v>17.670000000000002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spans="1:21" ht="12" customHeight="1">
      <c r="A4966" s="4">
        <v>1212</v>
      </c>
      <c r="B4966" s="4">
        <v>8901</v>
      </c>
      <c r="C4966" s="5">
        <f>DATE(2012,12,31)-499</f>
        <v>40775</v>
      </c>
      <c r="D4966" s="4" t="s">
        <v>21</v>
      </c>
      <c r="E4966" s="4">
        <v>15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spans="1:21" ht="12" customHeight="1">
      <c r="A4967" s="4">
        <v>1249</v>
      </c>
      <c r="B4967" s="4">
        <v>9091</v>
      </c>
      <c r="C4967" s="5">
        <f t="shared" ref="C4967:C4968" si="2091">DATE(2012,12,31)-781</f>
        <v>40493</v>
      </c>
      <c r="D4967" s="4" t="s">
        <v>30</v>
      </c>
      <c r="E4967" s="4">
        <v>42</v>
      </c>
      <c r="F4967" s="4">
        <v>605.77</v>
      </c>
      <c r="G4967" s="4">
        <v>0.05</v>
      </c>
      <c r="H4967" s="4" t="s">
        <v>22</v>
      </c>
      <c r="I4967" s="6">
        <v>129.33000000000001</v>
      </c>
      <c r="J4967" s="4">
        <v>14.34</v>
      </c>
      <c r="K4967" s="4">
        <v>5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2">C4967+1</f>
        <v>40494</v>
      </c>
    </row>
    <row r="4968" spans="1:21" ht="12" customHeight="1">
      <c r="A4968" s="4">
        <v>1250</v>
      </c>
      <c r="B4968" s="4">
        <v>9091</v>
      </c>
      <c r="C4968" s="5">
        <f t="shared" si="2091"/>
        <v>40493</v>
      </c>
      <c r="D4968" s="4" t="s">
        <v>30</v>
      </c>
      <c r="E4968" s="4">
        <v>44</v>
      </c>
      <c r="F4968" s="4">
        <v>1480.91</v>
      </c>
      <c r="G4968" s="4">
        <v>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2"/>
        <v>40494</v>
      </c>
    </row>
    <row r="4969" spans="1:21" ht="12" customHeight="1">
      <c r="A4969" s="4">
        <v>1253</v>
      </c>
      <c r="B4969" s="4">
        <v>9093</v>
      </c>
      <c r="C4969" s="5">
        <f>DATE(2012,12,31)-388</f>
        <v>40886</v>
      </c>
      <c r="D4969" s="4" t="s">
        <v>63</v>
      </c>
      <c r="E4969" s="4">
        <v>36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8.1199999999999992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spans="1:21" ht="12" customHeight="1">
      <c r="A4970" s="4">
        <v>1274</v>
      </c>
      <c r="B4970" s="4">
        <v>9251</v>
      </c>
      <c r="C4970" s="5">
        <f>DATE(2012,12,31)-855</f>
        <v>40419</v>
      </c>
      <c r="D4970" s="4" t="s">
        <v>63</v>
      </c>
      <c r="E4970" s="4">
        <v>38</v>
      </c>
      <c r="F4970" s="4">
        <v>3632.6</v>
      </c>
      <c r="G4970" s="4">
        <v>0</v>
      </c>
      <c r="H4970" s="4" t="s">
        <v>31</v>
      </c>
      <c r="I4970" s="6">
        <v>-400.33</v>
      </c>
      <c r="J4970" s="4">
        <v>89.99</v>
      </c>
      <c r="K4970" s="4">
        <v>42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3">C4970+2</f>
        <v>40421</v>
      </c>
    </row>
    <row r="4971" spans="1:21" ht="12" customHeight="1">
      <c r="A4971" s="4">
        <v>1282</v>
      </c>
      <c r="B4971" s="4">
        <v>9344</v>
      </c>
      <c r="C4971" s="5">
        <f t="shared" ref="C4971:C4972" si="2094">DATE(2012,12,31)-391</f>
        <v>40883</v>
      </c>
      <c r="D4971" s="4" t="s">
        <v>21</v>
      </c>
      <c r="E4971" s="4">
        <v>18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3"/>
        <v>40885</v>
      </c>
    </row>
    <row r="4972" spans="1:21" ht="12" customHeight="1">
      <c r="A4972" s="4">
        <v>1283</v>
      </c>
      <c r="B4972" s="4">
        <v>9344</v>
      </c>
      <c r="C4972" s="5">
        <f t="shared" si="2094"/>
        <v>40883</v>
      </c>
      <c r="D4972" s="4" t="s">
        <v>21</v>
      </c>
      <c r="E4972" s="4">
        <v>31</v>
      </c>
      <c r="F4972" s="4">
        <v>3448.6455000000001</v>
      </c>
      <c r="G4972" s="4">
        <v>0.02</v>
      </c>
      <c r="H4972" s="4" t="s">
        <v>22</v>
      </c>
      <c r="I4972" s="6">
        <v>900.41399999999999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0.55000000000000004</v>
      </c>
      <c r="U4972" s="5">
        <f>C4972+0</f>
        <v>40883</v>
      </c>
    </row>
    <row r="4973" spans="1:21" ht="12" customHeight="1">
      <c r="A4973" s="4">
        <v>1342</v>
      </c>
      <c r="B4973" s="4">
        <v>9824</v>
      </c>
      <c r="C4973" s="5">
        <f t="shared" ref="C4973:C4975" si="2095">DATE(2012,12,31)-709</f>
        <v>40565</v>
      </c>
      <c r="D4973" s="4" t="s">
        <v>78</v>
      </c>
      <c r="E4973" s="4">
        <v>39</v>
      </c>
      <c r="F4973" s="4">
        <v>1939.66</v>
      </c>
      <c r="G4973" s="4">
        <v>0.03</v>
      </c>
      <c r="H4973" s="4" t="s">
        <v>56</v>
      </c>
      <c r="I4973" s="6">
        <v>540.66999999999996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6">C4973+2</f>
        <v>40567</v>
      </c>
    </row>
    <row r="4974" spans="1:21" ht="12" customHeight="1">
      <c r="A4974" s="4">
        <v>1343</v>
      </c>
      <c r="B4974" s="4">
        <v>9824</v>
      </c>
      <c r="C4974" s="5">
        <f t="shared" si="2095"/>
        <v>40565</v>
      </c>
      <c r="D4974" s="4" t="s">
        <v>78</v>
      </c>
      <c r="E4974" s="4">
        <v>5</v>
      </c>
      <c r="F4974" s="4">
        <v>21.56</v>
      </c>
      <c r="G4974" s="4">
        <v>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6"/>
        <v>40567</v>
      </c>
    </row>
    <row r="4975" spans="1:21" ht="12" customHeight="1">
      <c r="A4975" s="4">
        <v>1344</v>
      </c>
      <c r="B4975" s="4">
        <v>9824</v>
      </c>
      <c r="C4975" s="5">
        <f t="shared" si="2095"/>
        <v>40565</v>
      </c>
      <c r="D4975" s="4" t="s">
        <v>78</v>
      </c>
      <c r="E4975" s="4">
        <v>43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0.55000000000000004</v>
      </c>
      <c r="U4975" s="5">
        <f t="shared" si="2096"/>
        <v>40567</v>
      </c>
    </row>
    <row r="4976" spans="1:21" ht="12" customHeight="1">
      <c r="A4976" s="4">
        <v>1390</v>
      </c>
      <c r="B4976" s="4">
        <v>10080</v>
      </c>
      <c r="C4976" s="5">
        <f>DATE(2012,12,31)-1053</f>
        <v>40221</v>
      </c>
      <c r="D4976" s="4" t="s">
        <v>21</v>
      </c>
      <c r="E4976" s="4">
        <v>20</v>
      </c>
      <c r="F4976" s="4">
        <v>637.04</v>
      </c>
      <c r="G4976" s="4">
        <v>0</v>
      </c>
      <c r="H4976" s="4" t="s">
        <v>22</v>
      </c>
      <c r="I4976" s="6">
        <v>-26.83</v>
      </c>
      <c r="J4976" s="4">
        <v>30.73</v>
      </c>
      <c r="K4976" s="4">
        <v>4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spans="1:21" ht="12" customHeight="1">
      <c r="A4977" s="4">
        <v>1393</v>
      </c>
      <c r="B4977" s="4">
        <v>10117</v>
      </c>
      <c r="C4977" s="5">
        <f t="shared" ref="C4977:C4978" si="2097">DATE(2012,12,31)-776</f>
        <v>40498</v>
      </c>
      <c r="D4977" s="4" t="s">
        <v>63</v>
      </c>
      <c r="E4977" s="4">
        <v>6</v>
      </c>
      <c r="F4977" s="4">
        <v>64.37</v>
      </c>
      <c r="G4977" s="4">
        <v>7.0000000000000007E-2</v>
      </c>
      <c r="H4977" s="4" t="s">
        <v>56</v>
      </c>
      <c r="I4977" s="6">
        <v>-6.9574999999999996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spans="1:21" ht="12" customHeight="1">
      <c r="A4978" s="4">
        <v>1394</v>
      </c>
      <c r="B4978" s="4">
        <v>10117</v>
      </c>
      <c r="C4978" s="5">
        <f t="shared" si="2097"/>
        <v>40498</v>
      </c>
      <c r="D4978" s="4" t="s">
        <v>63</v>
      </c>
      <c r="E4978" s="4">
        <v>10</v>
      </c>
      <c r="F4978" s="4">
        <v>4588.55</v>
      </c>
      <c r="G4978" s="4">
        <v>0.01</v>
      </c>
      <c r="H4978" s="4" t="s">
        <v>22</v>
      </c>
      <c r="I4978" s="6">
        <v>-266.62400000000002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spans="1:21" ht="12" customHeight="1">
      <c r="A4979" s="4">
        <v>1410</v>
      </c>
      <c r="B4979" s="4">
        <v>10245</v>
      </c>
      <c r="C4979" s="5">
        <f>DATE(2012,12,31)-687</f>
        <v>40587</v>
      </c>
      <c r="D4979" s="4" t="s">
        <v>63</v>
      </c>
      <c r="E4979" s="4">
        <v>27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spans="1:21" ht="12" customHeight="1">
      <c r="A4980" s="4">
        <v>1427</v>
      </c>
      <c r="B4980" s="4">
        <v>10339</v>
      </c>
      <c r="C4980" s="5">
        <f>DATE(2012,12,31)-447</f>
        <v>40827</v>
      </c>
      <c r="D4980" s="4" t="s">
        <v>21</v>
      </c>
      <c r="E4980" s="4">
        <v>49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spans="1:21" ht="12" customHeight="1">
      <c r="A4981" s="4">
        <v>1451</v>
      </c>
      <c r="B4981" s="4">
        <v>10466</v>
      </c>
      <c r="C4981" s="5">
        <f>DATE(2012,12,31)-6</f>
        <v>41268</v>
      </c>
      <c r="D4981" s="4" t="s">
        <v>30</v>
      </c>
      <c r="E4981" s="4">
        <v>27</v>
      </c>
      <c r="F4981" s="4">
        <v>114.86</v>
      </c>
      <c r="G4981" s="4">
        <v>7.0000000000000007E-2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0.56000000000000005</v>
      </c>
      <c r="U4981" s="5">
        <f t="shared" ref="U4981:U4982" si="2098">C4981+1</f>
        <v>41269</v>
      </c>
    </row>
    <row r="4982" spans="1:21" ht="12" customHeight="1">
      <c r="A4982" s="4">
        <v>1465</v>
      </c>
      <c r="B4982" s="4">
        <v>10563</v>
      </c>
      <c r="C4982" s="5">
        <f t="shared" ref="C4982:C4983" si="2099">DATE(2012,12,31)-824</f>
        <v>40450</v>
      </c>
      <c r="D4982" s="4" t="s">
        <v>78</v>
      </c>
      <c r="E4982" s="4">
        <v>38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289.52999999999997</v>
      </c>
      <c r="K4982" s="4">
        <v>19.989999999999998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0.56000000000000005</v>
      </c>
      <c r="U4982" s="5">
        <f t="shared" si="2098"/>
        <v>40451</v>
      </c>
    </row>
    <row r="4983" spans="1:21" ht="12" customHeight="1">
      <c r="A4983" s="4">
        <v>1466</v>
      </c>
      <c r="B4983" s="4">
        <v>10563</v>
      </c>
      <c r="C4983" s="5">
        <f t="shared" si="2099"/>
        <v>40450</v>
      </c>
      <c r="D4983" s="4" t="s">
        <v>78</v>
      </c>
      <c r="E4983" s="4">
        <v>50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spans="1:21" ht="12" customHeight="1">
      <c r="A4984" s="4">
        <v>1483</v>
      </c>
      <c r="B4984" s="4">
        <v>10662</v>
      </c>
      <c r="C4984" s="5">
        <f>DATE(2012,12,31)-599</f>
        <v>40675</v>
      </c>
      <c r="D4984" s="4" t="s">
        <v>21</v>
      </c>
      <c r="E4984" s="4">
        <v>45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spans="1:21" ht="12" customHeight="1">
      <c r="A4985" s="4">
        <v>1514</v>
      </c>
      <c r="B4985" s="4">
        <v>10948</v>
      </c>
      <c r="C4985" s="5">
        <f>DATE(2012,12,31)-140</f>
        <v>41134</v>
      </c>
      <c r="D4985" s="4" t="s">
        <v>63</v>
      </c>
      <c r="E4985" s="4">
        <v>50</v>
      </c>
      <c r="F4985" s="4">
        <v>193.11</v>
      </c>
      <c r="G4985" s="4">
        <v>0.08</v>
      </c>
      <c r="H4985" s="4" t="s">
        <v>22</v>
      </c>
      <c r="I4985" s="6">
        <v>-263.76400000000001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spans="1:21" ht="12" customHeight="1">
      <c r="A4986" s="4">
        <v>1530</v>
      </c>
      <c r="B4986" s="4">
        <v>11014</v>
      </c>
      <c r="C4986" s="5">
        <f>DATE(2012,12,31)-846</f>
        <v>40428</v>
      </c>
      <c r="D4986" s="4" t="s">
        <v>30</v>
      </c>
      <c r="E4986" s="4">
        <v>13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spans="1:21" ht="12" customHeight="1">
      <c r="A4987" s="4">
        <v>1555</v>
      </c>
      <c r="B4987" s="4">
        <v>11236</v>
      </c>
      <c r="C4987" s="5">
        <f t="shared" ref="C4987:C4988" si="2100">DATE(2012,12,31)-793</f>
        <v>40481</v>
      </c>
      <c r="D4987" s="4" t="s">
        <v>30</v>
      </c>
      <c r="E4987" s="4">
        <v>45</v>
      </c>
      <c r="F4987" s="4">
        <v>298.57</v>
      </c>
      <c r="G4987" s="4">
        <v>7.0000000000000007E-2</v>
      </c>
      <c r="H4987" s="4" t="s">
        <v>22</v>
      </c>
      <c r="I4987" s="6">
        <v>74.069999999999993</v>
      </c>
      <c r="J4987" s="4">
        <v>6.88</v>
      </c>
      <c r="K4987" s="4">
        <v>2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1">C4987+0</f>
        <v>40481</v>
      </c>
    </row>
    <row r="4988" spans="1:21" ht="12" customHeight="1">
      <c r="A4988" s="4">
        <v>1556</v>
      </c>
      <c r="B4988" s="4">
        <v>11236</v>
      </c>
      <c r="C4988" s="5">
        <f t="shared" si="2100"/>
        <v>40481</v>
      </c>
      <c r="D4988" s="4" t="s">
        <v>30</v>
      </c>
      <c r="E4988" s="4">
        <v>15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1"/>
        <v>40481</v>
      </c>
    </row>
    <row r="4989" spans="1:21" ht="12" customHeight="1">
      <c r="A4989" s="4">
        <v>1612</v>
      </c>
      <c r="B4989" s="4">
        <v>11682</v>
      </c>
      <c r="C4989" s="5">
        <f>DATE(2012,12,31)-911</f>
        <v>40363</v>
      </c>
      <c r="D4989" s="4" t="s">
        <v>21</v>
      </c>
      <c r="E4989" s="4">
        <v>5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spans="1:21" ht="12" customHeight="1">
      <c r="A4990" s="4">
        <v>1630</v>
      </c>
      <c r="B4990" s="4">
        <v>11780</v>
      </c>
      <c r="C4990" s="5">
        <f>DATE(2012,12,31)-832</f>
        <v>40442</v>
      </c>
      <c r="D4990" s="4" t="s">
        <v>78</v>
      </c>
      <c r="E4990" s="4">
        <v>7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spans="1:21" ht="12" customHeight="1">
      <c r="A4991" s="4">
        <v>1668</v>
      </c>
      <c r="B4991" s="4">
        <v>12039</v>
      </c>
      <c r="C4991" s="5">
        <f>DATE(2012,12,31)-929</f>
        <v>40345</v>
      </c>
      <c r="D4991" s="4" t="s">
        <v>30</v>
      </c>
      <c r="E4991" s="4">
        <v>13</v>
      </c>
      <c r="F4991" s="4">
        <v>2048.5679999999998</v>
      </c>
      <c r="G4991" s="4">
        <v>0.1</v>
      </c>
      <c r="H4991" s="4" t="s">
        <v>22</v>
      </c>
      <c r="I4991" s="6">
        <v>-259.98500000000001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0.56000000000000005</v>
      </c>
      <c r="U4991" s="5">
        <f>C4991+2</f>
        <v>40347</v>
      </c>
    </row>
    <row r="4992" spans="1:21" ht="12" customHeight="1">
      <c r="A4992" s="4">
        <v>1669</v>
      </c>
      <c r="B4992" s="4">
        <v>12066</v>
      </c>
      <c r="C4992" s="5">
        <f>DATE(2012,12,31)-694</f>
        <v>40580</v>
      </c>
      <c r="D4992" s="4" t="s">
        <v>63</v>
      </c>
      <c r="E4992" s="4">
        <v>27</v>
      </c>
      <c r="F4992" s="4">
        <v>4442.049</v>
      </c>
      <c r="G4992" s="4">
        <v>0.1</v>
      </c>
      <c r="H4992" s="4" t="s">
        <v>22</v>
      </c>
      <c r="I4992" s="6">
        <v>720.95399999999995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spans="1:21" ht="12" customHeight="1">
      <c r="A4993" s="4">
        <v>1708</v>
      </c>
      <c r="B4993" s="4">
        <v>12262</v>
      </c>
      <c r="C4993" s="5">
        <f>DATE(2012,12,31)-387</f>
        <v>40887</v>
      </c>
      <c r="D4993" s="4" t="s">
        <v>21</v>
      </c>
      <c r="E4993" s="4">
        <v>45</v>
      </c>
      <c r="F4993" s="4">
        <v>1212.9280000000001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spans="1:21" ht="12" customHeight="1">
      <c r="A4994" s="4">
        <v>1746</v>
      </c>
      <c r="B4994" s="4">
        <v>12486</v>
      </c>
      <c r="C4994" s="5">
        <f t="shared" ref="C4994:C4995" si="2102">DATE(2012,12,31)-680</f>
        <v>40594</v>
      </c>
      <c r="D4994" s="4" t="s">
        <v>30</v>
      </c>
      <c r="E4994" s="4">
        <v>31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3">C4994+1</f>
        <v>40595</v>
      </c>
    </row>
    <row r="4995" spans="1:21" ht="12" customHeight="1">
      <c r="A4995" s="4">
        <v>1747</v>
      </c>
      <c r="B4995" s="4">
        <v>12486</v>
      </c>
      <c r="C4995" s="5">
        <f t="shared" si="2102"/>
        <v>40594</v>
      </c>
      <c r="D4995" s="4" t="s">
        <v>30</v>
      </c>
      <c r="E4995" s="4">
        <v>42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3"/>
        <v>40595</v>
      </c>
    </row>
    <row r="4996" spans="1:21" ht="12" customHeight="1">
      <c r="A4996" s="4">
        <v>1755</v>
      </c>
      <c r="B4996" s="4">
        <v>12580</v>
      </c>
      <c r="C4996" s="5">
        <f>DATE(2012,12,31)-1083</f>
        <v>40191</v>
      </c>
      <c r="D4996" s="4" t="s">
        <v>21</v>
      </c>
      <c r="E4996" s="4">
        <v>50</v>
      </c>
      <c r="F4996" s="4">
        <v>8038.08</v>
      </c>
      <c r="G4996" s="4">
        <v>0.1</v>
      </c>
      <c r="H4996" s="4" t="s">
        <v>22</v>
      </c>
      <c r="I4996" s="6">
        <v>2821.4050000000002</v>
      </c>
      <c r="J4996" s="4">
        <v>172.99</v>
      </c>
      <c r="K4996" s="4">
        <v>19.989999999999998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spans="1:21" ht="12" customHeight="1">
      <c r="A4997" s="4">
        <v>1758</v>
      </c>
      <c r="B4997" s="4">
        <v>12612</v>
      </c>
      <c r="C4997" s="5">
        <f t="shared" ref="C4997:C4998" si="2104">DATE(2012,12,31)-741</f>
        <v>40533</v>
      </c>
      <c r="D4997" s="4" t="s">
        <v>21</v>
      </c>
      <c r="E4997" s="4">
        <v>29</v>
      </c>
      <c r="F4997" s="4">
        <v>2360.98</v>
      </c>
      <c r="G4997" s="4">
        <v>0.02</v>
      </c>
      <c r="H4997" s="4" t="s">
        <v>22</v>
      </c>
      <c r="I4997" s="6">
        <v>611.92999999999995</v>
      </c>
      <c r="J4997" s="4">
        <v>78.650000000000006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spans="1:21" ht="12" customHeight="1">
      <c r="A4998" s="4">
        <v>1759</v>
      </c>
      <c r="B4998" s="4">
        <v>12612</v>
      </c>
      <c r="C4998" s="5">
        <f t="shared" si="2104"/>
        <v>40533</v>
      </c>
      <c r="D4998" s="4" t="s">
        <v>21</v>
      </c>
      <c r="E4998" s="4">
        <v>49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5">C4998+5</f>
        <v>40538</v>
      </c>
    </row>
    <row r="4999" spans="1:21" ht="12" customHeight="1">
      <c r="A4999" s="4">
        <v>1774</v>
      </c>
      <c r="B4999" s="4">
        <v>12708</v>
      </c>
      <c r="C4999" s="5">
        <f>DATE(2012,12,31)-1089</f>
        <v>40185</v>
      </c>
      <c r="D4999" s="4" t="s">
        <v>21</v>
      </c>
      <c r="E4999" s="4">
        <v>44</v>
      </c>
      <c r="F4999" s="4">
        <v>159.41</v>
      </c>
      <c r="G4999" s="4">
        <v>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5"/>
        <v>40190</v>
      </c>
    </row>
    <row r="5000" spans="1:21" ht="12" customHeight="1">
      <c r="A5000" s="4">
        <v>1808</v>
      </c>
      <c r="B5000" s="4">
        <v>12930</v>
      </c>
      <c r="C5000" s="5">
        <f>DATE(2012,12,31)-403</f>
        <v>40871</v>
      </c>
      <c r="D5000" s="4" t="s">
        <v>30</v>
      </c>
      <c r="E5000" s="4">
        <v>49</v>
      </c>
      <c r="F5000" s="4">
        <v>1147.6400000000001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0.55000000000000004</v>
      </c>
      <c r="U5000" s="5">
        <f t="shared" ref="U5000:U5004" si="2106">C5000+1</f>
        <v>40872</v>
      </c>
    </row>
    <row r="5001" spans="1:21" ht="12" customHeight="1">
      <c r="A5001" s="4">
        <v>1812</v>
      </c>
      <c r="B5001" s="4">
        <v>12965</v>
      </c>
      <c r="C5001" s="5">
        <f t="shared" ref="C5001:C5002" si="2107">DATE(2012,12,31)-920</f>
        <v>40354</v>
      </c>
      <c r="D5001" s="4" t="s">
        <v>63</v>
      </c>
      <c r="E5001" s="4">
        <v>7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6"/>
        <v>40355</v>
      </c>
    </row>
    <row r="5002" spans="1:21" ht="12" customHeight="1">
      <c r="A5002" s="4">
        <v>1813</v>
      </c>
      <c r="B5002" s="4">
        <v>12965</v>
      </c>
      <c r="C5002" s="5">
        <f t="shared" si="2107"/>
        <v>40354</v>
      </c>
      <c r="D5002" s="4" t="s">
        <v>63</v>
      </c>
      <c r="E5002" s="4">
        <v>21</v>
      </c>
      <c r="F5002" s="4">
        <v>90.78</v>
      </c>
      <c r="G5002" s="4">
        <v>0.06</v>
      </c>
      <c r="H5002" s="4" t="s">
        <v>22</v>
      </c>
      <c r="I5002" s="6">
        <v>-71.840499999999992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6"/>
        <v>40355</v>
      </c>
    </row>
    <row r="5003" spans="1:21" ht="12" customHeight="1">
      <c r="A5003" s="4">
        <v>1822</v>
      </c>
      <c r="B5003" s="4">
        <v>13090</v>
      </c>
      <c r="C5003" s="5">
        <f>DATE(2012,12,31)-889</f>
        <v>40385</v>
      </c>
      <c r="D5003" s="4" t="s">
        <v>45</v>
      </c>
      <c r="E5003" s="4">
        <v>15</v>
      </c>
      <c r="F5003" s="4">
        <v>150.19999999999999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4.3899999999999997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6"/>
        <v>40386</v>
      </c>
    </row>
    <row r="5004" spans="1:21" ht="12" customHeight="1">
      <c r="A5004" s="4">
        <v>1836</v>
      </c>
      <c r="B5004" s="4">
        <v>13157</v>
      </c>
      <c r="C5004" s="5">
        <f>DATE(2012,12,31)-324</f>
        <v>40950</v>
      </c>
      <c r="D5004" s="4" t="s">
        <v>63</v>
      </c>
      <c r="E5004" s="4">
        <v>2</v>
      </c>
      <c r="F5004" s="4">
        <v>38.93</v>
      </c>
      <c r="G5004" s="4">
        <v>7.0000000000000007E-2</v>
      </c>
      <c r="H5004" s="4" t="s">
        <v>22</v>
      </c>
      <c r="I5004" s="6">
        <v>-102.432</v>
      </c>
      <c r="J5004" s="4">
        <v>20.99</v>
      </c>
      <c r="K5004" s="4">
        <v>4.8099999999999996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0.57999999999999996</v>
      </c>
      <c r="U5004" s="5">
        <f t="shared" si="2106"/>
        <v>40951</v>
      </c>
    </row>
    <row r="5005" spans="1:21" ht="12" customHeight="1">
      <c r="A5005" s="4">
        <v>1887</v>
      </c>
      <c r="B5005" s="4">
        <v>13569</v>
      </c>
      <c r="C5005" s="5">
        <f t="shared" ref="C5005:C5006" si="2108">DATE(2012,12,31)-631</f>
        <v>40643</v>
      </c>
      <c r="D5005" s="4" t="s">
        <v>78</v>
      </c>
      <c r="E5005" s="4">
        <v>13</v>
      </c>
      <c r="F5005" s="4">
        <v>563.17999999999995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spans="1:21" ht="12" customHeight="1">
      <c r="A5006" s="4">
        <v>1888</v>
      </c>
      <c r="B5006" s="4">
        <v>13569</v>
      </c>
      <c r="C5006" s="5">
        <f t="shared" si="2108"/>
        <v>40643</v>
      </c>
      <c r="D5006" s="4" t="s">
        <v>78</v>
      </c>
      <c r="E5006" s="4">
        <v>16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09">C5006+1</f>
        <v>40644</v>
      </c>
    </row>
    <row r="5007" spans="1:21" ht="12" customHeight="1">
      <c r="A5007" s="4">
        <v>1889</v>
      </c>
      <c r="B5007" s="4">
        <v>13570</v>
      </c>
      <c r="C5007" s="5">
        <f t="shared" ref="C5007:C5008" si="2110">DATE(2012,12,31)-29</f>
        <v>41245</v>
      </c>
      <c r="D5007" s="4" t="s">
        <v>45</v>
      </c>
      <c r="E5007" s="4">
        <v>2</v>
      </c>
      <c r="F5007" s="4">
        <v>16.97</v>
      </c>
      <c r="G5007" s="4">
        <v>0.04</v>
      </c>
      <c r="H5007" s="4" t="s">
        <v>22</v>
      </c>
      <c r="I5007" s="6">
        <v>-8.8000000000000007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09"/>
        <v>41246</v>
      </c>
    </row>
    <row r="5008" spans="1:21" ht="12" customHeight="1">
      <c r="A5008" s="4">
        <v>1890</v>
      </c>
      <c r="B5008" s="4">
        <v>13570</v>
      </c>
      <c r="C5008" s="5">
        <f t="shared" si="2110"/>
        <v>41245</v>
      </c>
      <c r="D5008" s="4" t="s">
        <v>45</v>
      </c>
      <c r="E5008" s="4">
        <v>42</v>
      </c>
      <c r="F5008" s="4">
        <v>4077.7559999999994</v>
      </c>
      <c r="G5008" s="4">
        <v>0.04</v>
      </c>
      <c r="H5008" s="4" t="s">
        <v>22</v>
      </c>
      <c r="I5008" s="6">
        <v>1086.9570000000001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0.56999999999999995</v>
      </c>
      <c r="U5008" s="5">
        <f>C5008+0</f>
        <v>41245</v>
      </c>
    </row>
    <row r="5009" spans="1:21" ht="12" customHeight="1">
      <c r="A5009" s="4">
        <v>1911</v>
      </c>
      <c r="B5009" s="4">
        <v>13668</v>
      </c>
      <c r="C5009" s="5">
        <f>DATE(2012,12,31)-311</f>
        <v>40963</v>
      </c>
      <c r="D5009" s="4" t="s">
        <v>78</v>
      </c>
      <c r="E5009" s="4">
        <v>42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1">C5009+2</f>
        <v>40965</v>
      </c>
    </row>
    <row r="5010" spans="1:21" ht="12" customHeight="1">
      <c r="A5010" s="4">
        <v>1943</v>
      </c>
      <c r="B5010" s="4">
        <v>13923</v>
      </c>
      <c r="C5010" s="5">
        <f>DATE(2012,12,31)-176</f>
        <v>41098</v>
      </c>
      <c r="D5010" s="4" t="s">
        <v>30</v>
      </c>
      <c r="E5010" s="4">
        <v>28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1"/>
        <v>41100</v>
      </c>
    </row>
    <row r="5011" spans="1:21" ht="12" customHeight="1">
      <c r="A5011" s="4">
        <v>1949</v>
      </c>
      <c r="B5011" s="4">
        <v>13958</v>
      </c>
      <c r="C5011" s="5">
        <f>DATE(2012,12,31)-1073</f>
        <v>40201</v>
      </c>
      <c r="D5011" s="4" t="s">
        <v>21</v>
      </c>
      <c r="E5011" s="4">
        <v>11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0.55000000000000004</v>
      </c>
      <c r="U5011" s="5">
        <f>C5011+9</f>
        <v>40210</v>
      </c>
    </row>
    <row r="5012" spans="1:21" ht="12" customHeight="1">
      <c r="A5012" s="4">
        <v>1957</v>
      </c>
      <c r="B5012" s="4">
        <v>13991</v>
      </c>
      <c r="C5012" s="5">
        <f t="shared" ref="C5012:C5013" si="2112">DATE(2012,12,31)-300</f>
        <v>40974</v>
      </c>
      <c r="D5012" s="4" t="s">
        <v>30</v>
      </c>
      <c r="E5012" s="4">
        <v>24</v>
      </c>
      <c r="F5012" s="4">
        <v>170.7</v>
      </c>
      <c r="G5012" s="4">
        <v>0</v>
      </c>
      <c r="H5012" s="4" t="s">
        <v>22</v>
      </c>
      <c r="I5012" s="6">
        <v>-37.880000000000003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spans="1:21" ht="12" customHeight="1">
      <c r="A5013" s="4">
        <v>1958</v>
      </c>
      <c r="B5013" s="4">
        <v>13991</v>
      </c>
      <c r="C5013" s="5">
        <f t="shared" si="2112"/>
        <v>40974</v>
      </c>
      <c r="D5013" s="4" t="s">
        <v>30</v>
      </c>
      <c r="E5013" s="4">
        <v>21</v>
      </c>
      <c r="F5013" s="4">
        <v>1839.4480000000001</v>
      </c>
      <c r="G5013" s="4">
        <v>7.0000000000000007E-2</v>
      </c>
      <c r="H5013" s="4" t="s">
        <v>22</v>
      </c>
      <c r="I5013" s="6">
        <v>-742.88</v>
      </c>
      <c r="J5013" s="4">
        <v>111.96</v>
      </c>
      <c r="K5013" s="4">
        <v>69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spans="1:21" ht="12" customHeight="1">
      <c r="A5014" s="4">
        <v>1964</v>
      </c>
      <c r="B5014" s="4">
        <v>14048</v>
      </c>
      <c r="C5014" s="5">
        <f t="shared" ref="C5014:C5016" si="2113">DATE(2012,12,31)-959</f>
        <v>40315</v>
      </c>
      <c r="D5014" s="4" t="s">
        <v>45</v>
      </c>
      <c r="E5014" s="4">
        <v>47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spans="1:21" ht="12" customHeight="1">
      <c r="A5015" s="4">
        <v>1965</v>
      </c>
      <c r="B5015" s="4">
        <v>14048</v>
      </c>
      <c r="C5015" s="5">
        <f t="shared" si="2113"/>
        <v>40315</v>
      </c>
      <c r="D5015" s="4" t="s">
        <v>45</v>
      </c>
      <c r="E5015" s="4">
        <v>5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4">C5015+2</f>
        <v>40317</v>
      </c>
    </row>
    <row r="5016" spans="1:21" ht="12" customHeight="1">
      <c r="A5016" s="4">
        <v>1966</v>
      </c>
      <c r="B5016" s="4">
        <v>14048</v>
      </c>
      <c r="C5016" s="5">
        <f t="shared" si="2113"/>
        <v>40315</v>
      </c>
      <c r="D5016" s="4" t="s">
        <v>45</v>
      </c>
      <c r="E5016" s="4">
        <v>40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4"/>
        <v>40317</v>
      </c>
    </row>
    <row r="5017" spans="1:21" ht="12" customHeight="1">
      <c r="A5017" s="4">
        <v>2024</v>
      </c>
      <c r="B5017" s="4">
        <v>14434</v>
      </c>
      <c r="C5017" s="5">
        <f>DATE(2012,12,31)-685</f>
        <v>40589</v>
      </c>
      <c r="D5017" s="4" t="s">
        <v>45</v>
      </c>
      <c r="E5017" s="4">
        <v>39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4"/>
        <v>40591</v>
      </c>
    </row>
    <row r="5018" spans="1:21" ht="12" customHeight="1">
      <c r="A5018" s="4">
        <v>2050</v>
      </c>
      <c r="B5018" s="4">
        <v>14630</v>
      </c>
      <c r="C5018" s="5">
        <f>DATE(2012,12,31)-76</f>
        <v>41198</v>
      </c>
      <c r="D5018" s="4" t="s">
        <v>21</v>
      </c>
      <c r="E5018" s="4">
        <v>17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spans="1:21" ht="12" customHeight="1">
      <c r="A5019" s="4">
        <v>2075</v>
      </c>
      <c r="B5019" s="4">
        <v>14851</v>
      </c>
      <c r="C5019" s="5">
        <f t="shared" ref="C5019:C5020" si="2115">DATE(2012,12,31)-234</f>
        <v>41040</v>
      </c>
      <c r="D5019" s="4" t="s">
        <v>45</v>
      </c>
      <c r="E5019" s="4">
        <v>6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spans="1:21" ht="12" customHeight="1">
      <c r="A5020" s="4">
        <v>2076</v>
      </c>
      <c r="B5020" s="4">
        <v>14851</v>
      </c>
      <c r="C5020" s="5">
        <f t="shared" si="2115"/>
        <v>41040</v>
      </c>
      <c r="D5020" s="4" t="s">
        <v>45</v>
      </c>
      <c r="E5020" s="4">
        <v>26</v>
      </c>
      <c r="F5020" s="4">
        <v>1443.2660000000001</v>
      </c>
      <c r="G5020" s="4">
        <v>0.08</v>
      </c>
      <c r="H5020" s="4" t="s">
        <v>22</v>
      </c>
      <c r="I5020" s="6">
        <v>156.114</v>
      </c>
      <c r="J5020" s="4">
        <v>65.989999999999995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0.56000000000000005</v>
      </c>
      <c r="U5020" s="5">
        <f>C5020+2</f>
        <v>41042</v>
      </c>
    </row>
    <row r="5021" spans="1:21" ht="12" customHeight="1">
      <c r="A5021" s="4">
        <v>2088</v>
      </c>
      <c r="B5021" s="4">
        <v>14950</v>
      </c>
      <c r="C5021" s="5">
        <f>DATE(2012,12,31)-827</f>
        <v>40447</v>
      </c>
      <c r="D5021" s="4" t="s">
        <v>21</v>
      </c>
      <c r="E5021" s="4">
        <v>48</v>
      </c>
      <c r="F5021" s="4">
        <v>525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spans="1:21" ht="12" customHeight="1">
      <c r="A5022" s="4">
        <v>2095</v>
      </c>
      <c r="B5022" s="4">
        <v>14981</v>
      </c>
      <c r="C5022" s="5">
        <f t="shared" ref="C5022:C5023" si="2116">DATE(2012,12,31)-797</f>
        <v>40477</v>
      </c>
      <c r="D5022" s="4" t="s">
        <v>63</v>
      </c>
      <c r="E5022" s="4">
        <v>8</v>
      </c>
      <c r="F5022" s="4">
        <v>279.77</v>
      </c>
      <c r="G5022" s="4">
        <v>7.0000000000000007E-2</v>
      </c>
      <c r="H5022" s="4" t="s">
        <v>22</v>
      </c>
      <c r="I5022" s="6">
        <v>-14.02</v>
      </c>
      <c r="J5022" s="4">
        <v>34.76</v>
      </c>
      <c r="K5022" s="4">
        <v>8.2200000000000006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0.56999999999999995</v>
      </c>
      <c r="U5022" s="5">
        <f>C5022+1</f>
        <v>40478</v>
      </c>
    </row>
    <row r="5023" spans="1:21" ht="12" customHeight="1">
      <c r="A5023" s="4">
        <v>2096</v>
      </c>
      <c r="B5023" s="4">
        <v>14981</v>
      </c>
      <c r="C5023" s="5">
        <f t="shared" si="2116"/>
        <v>40477</v>
      </c>
      <c r="D5023" s="4" t="s">
        <v>63</v>
      </c>
      <c r="E5023" s="4">
        <v>8</v>
      </c>
      <c r="F5023" s="4">
        <v>154.21</v>
      </c>
      <c r="G5023" s="4">
        <v>0.03</v>
      </c>
      <c r="H5023" s="4" t="s">
        <v>31</v>
      </c>
      <c r="I5023" s="6">
        <v>-160.38999999999999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7">C5023+2</f>
        <v>40479</v>
      </c>
    </row>
    <row r="5024" spans="1:21" ht="12" customHeight="1">
      <c r="A5024" s="4">
        <v>2128</v>
      </c>
      <c r="B5024" s="4">
        <v>15202</v>
      </c>
      <c r="C5024" s="5">
        <f>DATE(2012,12,31)-906</f>
        <v>40368</v>
      </c>
      <c r="D5024" s="4" t="s">
        <v>30</v>
      </c>
      <c r="E5024" s="4">
        <v>36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39.979999999999997</v>
      </c>
      <c r="K5024" s="4">
        <v>9.1999999999999993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7"/>
        <v>40370</v>
      </c>
    </row>
    <row r="5025" spans="1:21" ht="12" customHeight="1">
      <c r="A5025" s="4">
        <v>2131</v>
      </c>
      <c r="B5025" s="4">
        <v>15206</v>
      </c>
      <c r="C5025" s="5">
        <f>DATE(2012,12,31)-788</f>
        <v>40486</v>
      </c>
      <c r="D5025" s="4" t="s">
        <v>21</v>
      </c>
      <c r="E5025" s="4">
        <v>35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150.97999999999999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spans="1:21" ht="12" customHeight="1">
      <c r="A5026" s="4">
        <v>2162</v>
      </c>
      <c r="B5026" s="4">
        <v>15616</v>
      </c>
      <c r="C5026" s="5">
        <f t="shared" ref="C5026:C5027" si="2118">DATE(2012,12,31)-283</f>
        <v>40991</v>
      </c>
      <c r="D5026" s="4" t="s">
        <v>78</v>
      </c>
      <c r="E5026" s="4">
        <v>12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spans="1:21" ht="12" customHeight="1">
      <c r="A5027" s="4">
        <v>2163</v>
      </c>
      <c r="B5027" s="4">
        <v>15616</v>
      </c>
      <c r="C5027" s="5">
        <f t="shared" si="2118"/>
        <v>40991</v>
      </c>
      <c r="D5027" s="4" t="s">
        <v>78</v>
      </c>
      <c r="E5027" s="4">
        <v>34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0.56999999999999995</v>
      </c>
      <c r="U5027" s="5">
        <f>C5027+2</f>
        <v>40993</v>
      </c>
    </row>
    <row r="5028" spans="1:21" ht="12" customHeight="1">
      <c r="A5028" s="4">
        <v>2274</v>
      </c>
      <c r="B5028" s="4">
        <v>16356</v>
      </c>
      <c r="C5028" s="5">
        <f>DATE(2012,12,31)-517</f>
        <v>40757</v>
      </c>
      <c r="D5028" s="4" t="s">
        <v>78</v>
      </c>
      <c r="E5028" s="4">
        <v>6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0.55000000000000004</v>
      </c>
      <c r="U5028" s="5">
        <f>C5028+1</f>
        <v>40758</v>
      </c>
    </row>
    <row r="5029" spans="1:21" ht="12" customHeight="1">
      <c r="A5029" s="4">
        <v>2287</v>
      </c>
      <c r="B5029" s="4">
        <v>16481</v>
      </c>
      <c r="C5029" s="5">
        <f t="shared" ref="C5029:C5030" si="2119">DATE(2012,12,31)-682</f>
        <v>40592</v>
      </c>
      <c r="D5029" s="4" t="s">
        <v>21</v>
      </c>
      <c r="E5029" s="4">
        <v>50</v>
      </c>
      <c r="F5029" s="4">
        <v>3089.06</v>
      </c>
      <c r="G5029" s="4">
        <v>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0.56000000000000005</v>
      </c>
      <c r="U5029" s="5">
        <f t="shared" ref="U5029:U5030" si="2120">C5029+5</f>
        <v>40597</v>
      </c>
    </row>
    <row r="5030" spans="1:21" ht="12" customHeight="1">
      <c r="A5030" s="4">
        <v>2288</v>
      </c>
      <c r="B5030" s="4">
        <v>16481</v>
      </c>
      <c r="C5030" s="5">
        <f t="shared" si="2119"/>
        <v>40592</v>
      </c>
      <c r="D5030" s="4" t="s">
        <v>21</v>
      </c>
      <c r="E5030" s="4">
        <v>47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0.56000000000000005</v>
      </c>
      <c r="U5030" s="5">
        <f t="shared" si="2120"/>
        <v>40597</v>
      </c>
    </row>
    <row r="5031" spans="1:21" ht="12" customHeight="1">
      <c r="A5031" s="4">
        <v>2308</v>
      </c>
      <c r="B5031" s="4">
        <v>16641</v>
      </c>
      <c r="C5031" s="5">
        <f>DATE(2012,12,31)-966</f>
        <v>40308</v>
      </c>
      <c r="D5031" s="4" t="s">
        <v>30</v>
      </c>
      <c r="E5031" s="4">
        <v>33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spans="1:21" ht="12" customHeight="1">
      <c r="A5032" s="4">
        <v>2309</v>
      </c>
      <c r="B5032" s="4">
        <v>16642</v>
      </c>
      <c r="C5032" s="5">
        <f>DATE(2012,12,31)-670</f>
        <v>40604</v>
      </c>
      <c r="D5032" s="4" t="s">
        <v>45</v>
      </c>
      <c r="E5032" s="4">
        <v>46</v>
      </c>
      <c r="F5032" s="4">
        <v>7640.2249999999995</v>
      </c>
      <c r="G5032" s="4">
        <v>7.0000000000000007E-2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1">C5032+2</f>
        <v>40606</v>
      </c>
    </row>
    <row r="5033" spans="1:21" ht="12" customHeight="1">
      <c r="A5033" s="4">
        <v>2319</v>
      </c>
      <c r="B5033" s="4">
        <v>16709</v>
      </c>
      <c r="C5033" s="5">
        <f>DATE(2012,12,31)-86</f>
        <v>41188</v>
      </c>
      <c r="D5033" s="4" t="s">
        <v>30</v>
      </c>
      <c r="E5033" s="4">
        <v>3</v>
      </c>
      <c r="F5033" s="4">
        <v>24.36</v>
      </c>
      <c r="G5033" s="4">
        <v>7.0000000000000007E-2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1"/>
        <v>41190</v>
      </c>
    </row>
    <row r="5034" spans="1:21" ht="12" customHeight="1">
      <c r="A5034" s="4">
        <v>2354</v>
      </c>
      <c r="B5034" s="4">
        <v>16992</v>
      </c>
      <c r="C5034" s="5">
        <f>DATE(2012,12,31)-750</f>
        <v>40524</v>
      </c>
      <c r="D5034" s="4" t="s">
        <v>30</v>
      </c>
      <c r="E5034" s="4">
        <v>15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0.57999999999999996</v>
      </c>
      <c r="U5034" s="5">
        <f>C5034+1</f>
        <v>40525</v>
      </c>
    </row>
    <row r="5035" spans="1:21" ht="12" customHeight="1">
      <c r="A5035" s="4">
        <v>2356</v>
      </c>
      <c r="B5035" s="4">
        <v>16995</v>
      </c>
      <c r="C5035" s="5">
        <f>DATE(2012,12,31)-744</f>
        <v>40530</v>
      </c>
      <c r="D5035" s="4" t="s">
        <v>45</v>
      </c>
      <c r="E5035" s="4">
        <v>42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1.1399999999999999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2">C5035+2</f>
        <v>40532</v>
      </c>
    </row>
    <row r="5036" spans="1:21" ht="12" customHeight="1">
      <c r="A5036" s="4">
        <v>2365</v>
      </c>
      <c r="B5036" s="4">
        <v>17093</v>
      </c>
      <c r="C5036" s="5">
        <f>DATE(2012,12,31)-324</f>
        <v>40950</v>
      </c>
      <c r="D5036" s="4" t="s">
        <v>45</v>
      </c>
      <c r="E5036" s="4">
        <v>50</v>
      </c>
      <c r="F5036" s="4">
        <v>4550.0600000000004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0.57999999999999996</v>
      </c>
      <c r="U5036" s="5">
        <f t="shared" si="2122"/>
        <v>40952</v>
      </c>
    </row>
    <row r="5037" spans="1:21" ht="12" customHeight="1">
      <c r="A5037" s="4">
        <v>2414</v>
      </c>
      <c r="B5037" s="4">
        <v>17510</v>
      </c>
      <c r="C5037" s="5">
        <f>DATE(2012,12,31)-62</f>
        <v>41212</v>
      </c>
      <c r="D5037" s="4" t="s">
        <v>78</v>
      </c>
      <c r="E5037" s="4">
        <v>28</v>
      </c>
      <c r="F5037" s="4">
        <v>462.12</v>
      </c>
      <c r="G5037" s="4">
        <v>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spans="1:21" ht="12" customHeight="1">
      <c r="A5038" s="4">
        <v>2417</v>
      </c>
      <c r="B5038" s="4">
        <v>17542</v>
      </c>
      <c r="C5038" s="5">
        <f>DATE(2012,12,31)-853</f>
        <v>40421</v>
      </c>
      <c r="D5038" s="4" t="s">
        <v>21</v>
      </c>
      <c r="E5038" s="4">
        <v>37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spans="1:21" ht="12" customHeight="1">
      <c r="A5039" s="4">
        <v>2421</v>
      </c>
      <c r="B5039" s="4">
        <v>17568</v>
      </c>
      <c r="C5039" s="5">
        <f>DATE(2012,12,31)-815</f>
        <v>40459</v>
      </c>
      <c r="D5039" s="4" t="s">
        <v>45</v>
      </c>
      <c r="E5039" s="4">
        <v>31</v>
      </c>
      <c r="F5039" s="4">
        <v>512.87</v>
      </c>
      <c r="G5039" s="4">
        <v>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3">C5039+1</f>
        <v>40460</v>
      </c>
    </row>
    <row r="5040" spans="1:21" ht="12" customHeight="1">
      <c r="A5040" s="4">
        <v>2422</v>
      </c>
      <c r="B5040" s="4">
        <v>17571</v>
      </c>
      <c r="C5040" s="5">
        <f t="shared" ref="C5040:C5041" si="2124">DATE(2012,12,31)-291</f>
        <v>40983</v>
      </c>
      <c r="D5040" s="4" t="s">
        <v>45</v>
      </c>
      <c r="E5040" s="4">
        <v>32</v>
      </c>
      <c r="F5040" s="4">
        <v>102.59</v>
      </c>
      <c r="G5040" s="4">
        <v>0.01</v>
      </c>
      <c r="H5040" s="4" t="s">
        <v>22</v>
      </c>
      <c r="I5040" s="6">
        <v>8.8800000000000008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3"/>
        <v>40984</v>
      </c>
    </row>
    <row r="5041" spans="1:21" ht="12" customHeight="1">
      <c r="A5041" s="4">
        <v>2423</v>
      </c>
      <c r="B5041" s="4">
        <v>17571</v>
      </c>
      <c r="C5041" s="5">
        <f t="shared" si="2124"/>
        <v>40983</v>
      </c>
      <c r="D5041" s="4" t="s">
        <v>45</v>
      </c>
      <c r="E5041" s="4">
        <v>50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32.979999999999997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spans="1:21" ht="12" customHeight="1">
      <c r="A5042" s="4">
        <v>2439</v>
      </c>
      <c r="B5042" s="4">
        <v>17700</v>
      </c>
      <c r="C5042" s="5">
        <f>DATE(2012,12,31)-65</f>
        <v>41209</v>
      </c>
      <c r="D5042" s="4" t="s">
        <v>78</v>
      </c>
      <c r="E5042" s="4">
        <v>20</v>
      </c>
      <c r="F5042" s="4">
        <v>2305.75</v>
      </c>
      <c r="G5042" s="4">
        <v>0.03</v>
      </c>
      <c r="H5042" s="4" t="s">
        <v>22</v>
      </c>
      <c r="I5042" s="6">
        <v>-530.67999999999995</v>
      </c>
      <c r="J5042" s="4">
        <v>113.64</v>
      </c>
      <c r="K5042" s="4">
        <v>35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5">C5042+1</f>
        <v>41210</v>
      </c>
    </row>
    <row r="5043" spans="1:21" ht="12" customHeight="1">
      <c r="A5043" s="4">
        <v>2440</v>
      </c>
      <c r="B5043" s="4">
        <v>17701</v>
      </c>
      <c r="C5043" s="5">
        <f>DATE(2012,12,31)-224</f>
        <v>41050</v>
      </c>
      <c r="D5043" s="4" t="s">
        <v>78</v>
      </c>
      <c r="E5043" s="4">
        <v>21</v>
      </c>
      <c r="F5043" s="4">
        <v>80.45</v>
      </c>
      <c r="G5043" s="4">
        <v>0.09</v>
      </c>
      <c r="H5043" s="4" t="s">
        <v>22</v>
      </c>
      <c r="I5043" s="6">
        <v>-60.961500000000001</v>
      </c>
      <c r="J5043" s="4">
        <v>3.74</v>
      </c>
      <c r="K5043" s="4">
        <v>4.6900000000000004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5"/>
        <v>41051</v>
      </c>
    </row>
    <row r="5044" spans="1:21" ht="12" customHeight="1">
      <c r="A5044" s="4">
        <v>2450</v>
      </c>
      <c r="B5044" s="4">
        <v>17799</v>
      </c>
      <c r="C5044" s="5">
        <f>DATE(2012,12,31)-102</f>
        <v>41172</v>
      </c>
      <c r="D5044" s="4" t="s">
        <v>63</v>
      </c>
      <c r="E5044" s="4">
        <v>8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spans="1:21" ht="12" customHeight="1">
      <c r="A5045" s="4">
        <v>2515</v>
      </c>
      <c r="B5045" s="4">
        <v>18275</v>
      </c>
      <c r="C5045" s="5">
        <f>DATE(2012,12,31)-356</f>
        <v>40918</v>
      </c>
      <c r="D5045" s="4" t="s">
        <v>21</v>
      </c>
      <c r="E5045" s="4">
        <v>25</v>
      </c>
      <c r="F5045" s="4">
        <v>322.73</v>
      </c>
      <c r="G5045" s="4">
        <v>7.0000000000000007E-2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spans="1:21" ht="12" customHeight="1">
      <c r="A5046" s="4">
        <v>2549</v>
      </c>
      <c r="B5046" s="4">
        <v>18466</v>
      </c>
      <c r="C5046" s="5">
        <f t="shared" ref="C5046:C5047" si="2126">DATE(2012,12,31)-224</f>
        <v>41050</v>
      </c>
      <c r="D5046" s="4" t="s">
        <v>21</v>
      </c>
      <c r="E5046" s="4">
        <v>25</v>
      </c>
      <c r="F5046" s="4">
        <v>270.16000000000003</v>
      </c>
      <c r="G5046" s="4">
        <v>0.09</v>
      </c>
      <c r="H5046" s="4" t="s">
        <v>22</v>
      </c>
      <c r="I5046" s="6">
        <v>16.920000000000002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spans="1:21" ht="12" customHeight="1">
      <c r="A5047" s="4">
        <v>2550</v>
      </c>
      <c r="B5047" s="4">
        <v>18466</v>
      </c>
      <c r="C5047" s="5">
        <f t="shared" si="2126"/>
        <v>41050</v>
      </c>
      <c r="D5047" s="4" t="s">
        <v>21</v>
      </c>
      <c r="E5047" s="4">
        <v>24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7">C5047+0</f>
        <v>41050</v>
      </c>
    </row>
    <row r="5048" spans="1:21" ht="12" customHeight="1">
      <c r="A5048" s="4">
        <v>2563</v>
      </c>
      <c r="B5048" s="4">
        <v>18530</v>
      </c>
      <c r="C5048" s="5">
        <f t="shared" ref="C5048:C5049" si="2128">DATE(2012,12,31)-731</f>
        <v>40543</v>
      </c>
      <c r="D5048" s="4" t="s">
        <v>45</v>
      </c>
      <c r="E5048" s="4">
        <v>2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7"/>
        <v>40543</v>
      </c>
    </row>
    <row r="5049" spans="1:21" ht="12" customHeight="1">
      <c r="A5049" s="4">
        <v>2564</v>
      </c>
      <c r="B5049" s="4">
        <v>18530</v>
      </c>
      <c r="C5049" s="5">
        <f t="shared" si="2128"/>
        <v>40543</v>
      </c>
      <c r="D5049" s="4" t="s">
        <v>45</v>
      </c>
      <c r="E5049" s="4">
        <v>25</v>
      </c>
      <c r="F5049" s="4">
        <v>1491.5205000000001</v>
      </c>
      <c r="G5049" s="4">
        <v>0</v>
      </c>
      <c r="H5049" s="4" t="s">
        <v>22</v>
      </c>
      <c r="I5049" s="6">
        <v>286.36200000000002</v>
      </c>
      <c r="J5049" s="4">
        <v>65.989999999999995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0.57999999999999996</v>
      </c>
      <c r="U5049" s="5">
        <f>C5049+2</f>
        <v>40545</v>
      </c>
    </row>
    <row r="5050" spans="1:21" ht="12" customHeight="1">
      <c r="A5050" s="4">
        <v>2607</v>
      </c>
      <c r="B5050" s="4">
        <v>18849</v>
      </c>
      <c r="C5050" s="5">
        <f t="shared" ref="C5050:C5051" si="2129">DATE(2012,12,31)-148</f>
        <v>41126</v>
      </c>
      <c r="D5050" s="4" t="s">
        <v>30</v>
      </c>
      <c r="E5050" s="4">
        <v>43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spans="1:21" ht="12" customHeight="1">
      <c r="A5051" s="4">
        <v>2608</v>
      </c>
      <c r="B5051" s="4">
        <v>18849</v>
      </c>
      <c r="C5051" s="5">
        <f t="shared" si="2129"/>
        <v>41126</v>
      </c>
      <c r="D5051" s="4" t="s">
        <v>30</v>
      </c>
      <c r="E5051" s="4">
        <v>39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8.7799999999999994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spans="1:21" ht="12" customHeight="1">
      <c r="A5052" s="4">
        <v>2625</v>
      </c>
      <c r="B5052" s="4">
        <v>19040</v>
      </c>
      <c r="C5052" s="5">
        <f>DATE(2012,12,31)-378</f>
        <v>40896</v>
      </c>
      <c r="D5052" s="4" t="s">
        <v>30</v>
      </c>
      <c r="E5052" s="4">
        <v>10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spans="1:21" ht="12" customHeight="1">
      <c r="A5053" s="4">
        <v>2626</v>
      </c>
      <c r="B5053" s="4">
        <v>19041</v>
      </c>
      <c r="C5053" s="5">
        <f t="shared" ref="C5053:C5054" si="2130">DATE(2012,12,31)-524</f>
        <v>40750</v>
      </c>
      <c r="D5053" s="4" t="s">
        <v>21</v>
      </c>
      <c r="E5053" s="4">
        <v>3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spans="1:21" ht="12" customHeight="1">
      <c r="A5054" s="4">
        <v>2627</v>
      </c>
      <c r="B5054" s="4">
        <v>19041</v>
      </c>
      <c r="C5054" s="5">
        <f t="shared" si="2130"/>
        <v>40750</v>
      </c>
      <c r="D5054" s="4" t="s">
        <v>21</v>
      </c>
      <c r="E5054" s="4">
        <v>43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0.56000000000000005</v>
      </c>
      <c r="U5054" s="5">
        <f>C5054+9</f>
        <v>40759</v>
      </c>
    </row>
    <row r="5055" spans="1:21" ht="12" customHeight="1">
      <c r="A5055" s="4">
        <v>2647</v>
      </c>
      <c r="B5055" s="4">
        <v>19143</v>
      </c>
      <c r="C5055" s="5">
        <f>DATE(2012,12,31)-57</f>
        <v>41217</v>
      </c>
      <c r="D5055" s="4" t="s">
        <v>30</v>
      </c>
      <c r="E5055" s="4">
        <v>3</v>
      </c>
      <c r="F5055" s="4">
        <v>2421.02</v>
      </c>
      <c r="G5055" s="4">
        <v>7.0000000000000007E-2</v>
      </c>
      <c r="H5055" s="4" t="s">
        <v>31</v>
      </c>
      <c r="I5055" s="6">
        <v>-1943.1711000000003</v>
      </c>
      <c r="J5055" s="4">
        <v>810.98</v>
      </c>
      <c r="K5055" s="4">
        <v>16.059999999999999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0.56000000000000005</v>
      </c>
      <c r="U5055" s="5">
        <f>C5055+1</f>
        <v>41218</v>
      </c>
    </row>
    <row r="5056" spans="1:21" ht="12" customHeight="1">
      <c r="A5056" s="4">
        <v>2665</v>
      </c>
      <c r="B5056" s="4">
        <v>19264</v>
      </c>
      <c r="C5056" s="5">
        <f t="shared" ref="C5056:C5057" si="2131">DATE(2012,12,31)-459</f>
        <v>40815</v>
      </c>
      <c r="D5056" s="4" t="s">
        <v>30</v>
      </c>
      <c r="E5056" s="4">
        <v>40</v>
      </c>
      <c r="F5056" s="4">
        <v>161.72</v>
      </c>
      <c r="G5056" s="4">
        <v>0.09</v>
      </c>
      <c r="H5056" s="4" t="s">
        <v>22</v>
      </c>
      <c r="I5056" s="6">
        <v>-134.71100000000001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spans="1:21" ht="12" customHeight="1">
      <c r="A5057" s="4">
        <v>2666</v>
      </c>
      <c r="B5057" s="4">
        <v>19264</v>
      </c>
      <c r="C5057" s="5">
        <f t="shared" si="2131"/>
        <v>40815</v>
      </c>
      <c r="D5057" s="4" t="s">
        <v>30</v>
      </c>
      <c r="E5057" s="4">
        <v>23</v>
      </c>
      <c r="F5057" s="4">
        <v>107.75</v>
      </c>
      <c r="G5057" s="4">
        <v>7.0000000000000007E-2</v>
      </c>
      <c r="H5057" s="4" t="s">
        <v>22</v>
      </c>
      <c r="I5057" s="6">
        <v>24.17</v>
      </c>
      <c r="J5057" s="4">
        <v>4.7300000000000004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spans="1:21" ht="12" customHeight="1">
      <c r="A5058" s="4">
        <v>2667</v>
      </c>
      <c r="B5058" s="4">
        <v>19296</v>
      </c>
      <c r="C5058" s="5">
        <f>DATE(2012,12,31)-996</f>
        <v>40278</v>
      </c>
      <c r="D5058" s="4" t="s">
        <v>30</v>
      </c>
      <c r="E5058" s="4">
        <v>43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2">C5058+2</f>
        <v>40280</v>
      </c>
    </row>
    <row r="5059" spans="1:21" ht="12" customHeight="1">
      <c r="A5059" s="4">
        <v>2686</v>
      </c>
      <c r="B5059" s="4">
        <v>19430</v>
      </c>
      <c r="C5059" s="5">
        <f>DATE(2012,12,31)-779</f>
        <v>40495</v>
      </c>
      <c r="D5059" s="4" t="s">
        <v>78</v>
      </c>
      <c r="E5059" s="4">
        <v>39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2"/>
        <v>40497</v>
      </c>
    </row>
    <row r="5060" spans="1:21" ht="12" customHeight="1">
      <c r="A5060" s="4">
        <v>2700</v>
      </c>
      <c r="B5060" s="4">
        <v>19524</v>
      </c>
      <c r="C5060" s="5">
        <f>DATE(2012,12,31)-1082</f>
        <v>40192</v>
      </c>
      <c r="D5060" s="4" t="s">
        <v>78</v>
      </c>
      <c r="E5060" s="4">
        <v>9</v>
      </c>
      <c r="F5060" s="4">
        <v>92.02</v>
      </c>
      <c r="G5060" s="4">
        <v>7.0000000000000007E-2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spans="1:21" ht="12" customHeight="1">
      <c r="A5061" s="4">
        <v>2703</v>
      </c>
      <c r="B5061" s="4">
        <v>19556</v>
      </c>
      <c r="C5061" s="5">
        <f t="shared" ref="C5061:C5063" si="2133">DATE(2012,12,31)-732</f>
        <v>40542</v>
      </c>
      <c r="D5061" s="4" t="s">
        <v>45</v>
      </c>
      <c r="E5061" s="4">
        <v>45</v>
      </c>
      <c r="F5061" s="4">
        <v>5785.59</v>
      </c>
      <c r="G5061" s="4">
        <v>7.0000000000000007E-2</v>
      </c>
      <c r="H5061" s="4" t="s">
        <v>31</v>
      </c>
      <c r="I5061" s="6">
        <v>-423.77</v>
      </c>
      <c r="J5061" s="4">
        <v>130.97999999999999</v>
      </c>
      <c r="K5061" s="4">
        <v>30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spans="1:21" ht="12" customHeight="1">
      <c r="A5062" s="4">
        <v>2704</v>
      </c>
      <c r="B5062" s="4">
        <v>19556</v>
      </c>
      <c r="C5062" s="5">
        <f t="shared" si="2133"/>
        <v>40542</v>
      </c>
      <c r="D5062" s="4" t="s">
        <v>45</v>
      </c>
      <c r="E5062" s="4">
        <v>22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4.8600000000000003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spans="1:21" ht="12" customHeight="1">
      <c r="A5063" s="4">
        <v>2705</v>
      </c>
      <c r="B5063" s="4">
        <v>19556</v>
      </c>
      <c r="C5063" s="5">
        <f t="shared" si="2133"/>
        <v>40542</v>
      </c>
      <c r="D5063" s="4" t="s">
        <v>45</v>
      </c>
      <c r="E5063" s="4">
        <v>35</v>
      </c>
      <c r="F5063" s="4">
        <v>3238.143</v>
      </c>
      <c r="G5063" s="4">
        <v>0.08</v>
      </c>
      <c r="H5063" s="4" t="s">
        <v>22</v>
      </c>
      <c r="I5063" s="6">
        <v>727.36199999999997</v>
      </c>
      <c r="J5063" s="4">
        <v>115.99</v>
      </c>
      <c r="K5063" s="4">
        <v>4.2300000000000004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0.56000000000000005</v>
      </c>
      <c r="U5063" s="5">
        <f>C5063+28</f>
        <v>40570</v>
      </c>
    </row>
    <row r="5064" spans="1:21" ht="12" customHeight="1">
      <c r="A5064" s="4">
        <v>2746</v>
      </c>
      <c r="B5064" s="4">
        <v>19815</v>
      </c>
      <c r="C5064" s="5">
        <f>DATE(2012,12,31)-1012</f>
        <v>40262</v>
      </c>
      <c r="D5064" s="4" t="s">
        <v>45</v>
      </c>
      <c r="E5064" s="4">
        <v>33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4.9800000000000004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spans="1:21" ht="12" customHeight="1">
      <c r="A5065" s="4">
        <v>2783</v>
      </c>
      <c r="B5065" s="4">
        <v>20096</v>
      </c>
      <c r="C5065" s="5">
        <f>DATE(2012,12,31)-134</f>
        <v>41140</v>
      </c>
      <c r="D5065" s="4" t="s">
        <v>21</v>
      </c>
      <c r="E5065" s="4">
        <v>35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spans="1:21" ht="12" customHeight="1">
      <c r="A5066" s="4">
        <v>2791</v>
      </c>
      <c r="B5066" s="4">
        <v>20132</v>
      </c>
      <c r="C5066" s="5">
        <f>DATE(2012,12,31)-959</f>
        <v>40315</v>
      </c>
      <c r="D5066" s="4" t="s">
        <v>21</v>
      </c>
      <c r="E5066" s="4">
        <v>30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270.97000000000003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0.56000000000000005</v>
      </c>
      <c r="U5066" s="5">
        <f t="shared" ref="U5066:U5068" si="2134">C5066+7</f>
        <v>40322</v>
      </c>
    </row>
    <row r="5067" spans="1:21" ht="12" customHeight="1">
      <c r="A5067" s="4">
        <v>2802</v>
      </c>
      <c r="B5067" s="4">
        <v>20225</v>
      </c>
      <c r="C5067" s="5">
        <f t="shared" ref="C5067:C5068" si="2135">DATE(2012,12,31)-889</f>
        <v>40385</v>
      </c>
      <c r="D5067" s="4" t="s">
        <v>21</v>
      </c>
      <c r="E5067" s="4">
        <v>33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4"/>
        <v>40392</v>
      </c>
    </row>
    <row r="5068" spans="1:21" ht="12" customHeight="1">
      <c r="A5068" s="4">
        <v>2803</v>
      </c>
      <c r="B5068" s="4">
        <v>20225</v>
      </c>
      <c r="C5068" s="5">
        <f t="shared" si="2135"/>
        <v>40385</v>
      </c>
      <c r="D5068" s="4" t="s">
        <v>21</v>
      </c>
      <c r="E5068" s="4">
        <v>22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4"/>
        <v>40392</v>
      </c>
    </row>
    <row r="5069" spans="1:21" ht="12" customHeight="1">
      <c r="A5069" s="4">
        <v>2818</v>
      </c>
      <c r="B5069" s="4">
        <v>20325</v>
      </c>
      <c r="C5069" s="5">
        <f t="shared" ref="C5069:C5070" si="2136">DATE(2012,12,31)-912</f>
        <v>40362</v>
      </c>
      <c r="D5069" s="4" t="s">
        <v>78</v>
      </c>
      <c r="E5069" s="4">
        <v>35</v>
      </c>
      <c r="F5069" s="4">
        <v>4043.29</v>
      </c>
      <c r="G5069" s="4">
        <v>0.06</v>
      </c>
      <c r="H5069" s="4" t="s">
        <v>31</v>
      </c>
      <c r="I5069" s="6">
        <v>-34.304099999999998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spans="1:21" ht="12" customHeight="1">
      <c r="A5070" s="4">
        <v>2819</v>
      </c>
      <c r="B5070" s="4">
        <v>20325</v>
      </c>
      <c r="C5070" s="5">
        <f t="shared" si="2136"/>
        <v>40362</v>
      </c>
      <c r="D5070" s="4" t="s">
        <v>78</v>
      </c>
      <c r="E5070" s="4">
        <v>24</v>
      </c>
      <c r="F5070" s="4">
        <v>870.48</v>
      </c>
      <c r="G5070" s="4">
        <v>7.0000000000000007E-2</v>
      </c>
      <c r="H5070" s="4" t="s">
        <v>22</v>
      </c>
      <c r="I5070" s="6">
        <v>104.37</v>
      </c>
      <c r="J5070" s="4">
        <v>36.549999999999997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7">C5070+3</f>
        <v>40365</v>
      </c>
    </row>
    <row r="5071" spans="1:21" ht="12" customHeight="1">
      <c r="A5071" s="4">
        <v>2833</v>
      </c>
      <c r="B5071" s="4">
        <v>20450</v>
      </c>
      <c r="C5071" s="5">
        <f>DATE(2012,12,31)-24</f>
        <v>41250</v>
      </c>
      <c r="D5071" s="4" t="s">
        <v>78</v>
      </c>
      <c r="E5071" s="4">
        <v>26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259.70999999999998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7"/>
        <v>41253</v>
      </c>
    </row>
    <row r="5072" spans="1:21" ht="12" customHeight="1">
      <c r="A5072" s="4">
        <v>2865</v>
      </c>
      <c r="B5072" s="4">
        <v>20679</v>
      </c>
      <c r="C5072" s="5">
        <f>DATE(2012,12,31)-870</f>
        <v>40404</v>
      </c>
      <c r="D5072" s="4" t="s">
        <v>63</v>
      </c>
      <c r="E5072" s="4">
        <v>32</v>
      </c>
      <c r="F5072" s="4">
        <v>4976.6000000000004</v>
      </c>
      <c r="G5072" s="4">
        <v>0.06</v>
      </c>
      <c r="H5072" s="4" t="s">
        <v>22</v>
      </c>
      <c r="I5072" s="6">
        <v>601.88</v>
      </c>
      <c r="J5072" s="4">
        <v>161.55000000000001</v>
      </c>
      <c r="K5072" s="4">
        <v>19.989999999999998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spans="1:21" ht="12" customHeight="1">
      <c r="A5073" s="4">
        <v>2894</v>
      </c>
      <c r="B5073" s="4">
        <v>20898</v>
      </c>
      <c r="C5073" s="5">
        <f>DATE(2012,12,31)-428</f>
        <v>40846</v>
      </c>
      <c r="D5073" s="4" t="s">
        <v>63</v>
      </c>
      <c r="E5073" s="4">
        <v>33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65.989999999999995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0.56000000000000005</v>
      </c>
      <c r="U5073" s="5">
        <f>C5073+2</f>
        <v>40848</v>
      </c>
    </row>
    <row r="5074" spans="1:21" ht="12" customHeight="1">
      <c r="A5074" s="4">
        <v>2911</v>
      </c>
      <c r="B5074" s="4">
        <v>20995</v>
      </c>
      <c r="C5074" s="5">
        <f>DATE(2012,12,31)-279</f>
        <v>40995</v>
      </c>
      <c r="D5074" s="4" t="s">
        <v>63</v>
      </c>
      <c r="E5074" s="4">
        <v>37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150.97999999999999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spans="1:21" ht="12" customHeight="1">
      <c r="A5075" s="4">
        <v>2923</v>
      </c>
      <c r="B5075" s="4">
        <v>21159</v>
      </c>
      <c r="C5075" s="5">
        <f>DATE(2012,12,31)-573</f>
        <v>40701</v>
      </c>
      <c r="D5075" s="4" t="s">
        <v>21</v>
      </c>
      <c r="E5075" s="4">
        <v>5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2.0299999999999998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0.56999999999999995</v>
      </c>
      <c r="U5075" s="5">
        <f>C5075+4</f>
        <v>40705</v>
      </c>
    </row>
    <row r="5076" spans="1:21" ht="12" customHeight="1">
      <c r="A5076" s="4">
        <v>2926</v>
      </c>
      <c r="B5076" s="4">
        <v>21191</v>
      </c>
      <c r="C5076" s="5">
        <f>DATE(2012,12,31)-47</f>
        <v>41227</v>
      </c>
      <c r="D5076" s="4" t="s">
        <v>30</v>
      </c>
      <c r="E5076" s="4">
        <v>48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8">C5076+0</f>
        <v>41227</v>
      </c>
    </row>
    <row r="5077" spans="1:21" ht="12" customHeight="1">
      <c r="A5077" s="4">
        <v>2948</v>
      </c>
      <c r="B5077" s="4">
        <v>21346</v>
      </c>
      <c r="C5077" s="5">
        <f>DATE(2012,12,31)-573</f>
        <v>40701</v>
      </c>
      <c r="D5077" s="4" t="s">
        <v>30</v>
      </c>
      <c r="E5077" s="4">
        <v>46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8"/>
        <v>40701</v>
      </c>
    </row>
    <row r="5078" spans="1:21" ht="12" customHeight="1">
      <c r="A5078" s="4">
        <v>2970</v>
      </c>
      <c r="B5078" s="4">
        <v>21475</v>
      </c>
      <c r="C5078" s="5">
        <f t="shared" ref="C5078:C5079" si="2139">DATE(2012,12,31)-680</f>
        <v>40594</v>
      </c>
      <c r="D5078" s="4" t="s">
        <v>78</v>
      </c>
      <c r="E5078" s="4">
        <v>39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spans="1:21" ht="12" customHeight="1">
      <c r="A5079" s="4">
        <v>2971</v>
      </c>
      <c r="B5079" s="4">
        <v>21475</v>
      </c>
      <c r="C5079" s="5">
        <f t="shared" si="2139"/>
        <v>40594</v>
      </c>
      <c r="D5079" s="4" t="s">
        <v>78</v>
      </c>
      <c r="E5079" s="4">
        <v>15</v>
      </c>
      <c r="F5079" s="4">
        <v>4956.7839999999997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0">C5079+1</f>
        <v>40595</v>
      </c>
    </row>
    <row r="5080" spans="1:21" ht="12" customHeight="1">
      <c r="A5080" s="4">
        <v>2981</v>
      </c>
      <c r="B5080" s="4">
        <v>21539</v>
      </c>
      <c r="C5080" s="5">
        <f t="shared" ref="C5080:C5081" si="2141">DATE(2012,12,31)-906</f>
        <v>40368</v>
      </c>
      <c r="D5080" s="4" t="s">
        <v>63</v>
      </c>
      <c r="E5080" s="4">
        <v>18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0"/>
        <v>40369</v>
      </c>
    </row>
    <row r="5081" spans="1:21" ht="12" customHeight="1">
      <c r="A5081" s="4">
        <v>2982</v>
      </c>
      <c r="B5081" s="4">
        <v>21539</v>
      </c>
      <c r="C5081" s="5">
        <f t="shared" si="2141"/>
        <v>40368</v>
      </c>
      <c r="D5081" s="4" t="s">
        <v>63</v>
      </c>
      <c r="E5081" s="4">
        <v>39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spans="1:21" ht="12" customHeight="1">
      <c r="A5082" s="4">
        <v>3008</v>
      </c>
      <c r="B5082" s="4">
        <v>21639</v>
      </c>
      <c r="C5082" s="5">
        <f t="shared" ref="C5082:C5085" si="2142">DATE(2012,12,31)-698</f>
        <v>40576</v>
      </c>
      <c r="D5082" s="4" t="s">
        <v>45</v>
      </c>
      <c r="E5082" s="4">
        <v>24</v>
      </c>
      <c r="F5082" s="4">
        <v>145.15</v>
      </c>
      <c r="G5082" s="4">
        <v>7.0000000000000007E-2</v>
      </c>
      <c r="H5082" s="4" t="s">
        <v>22</v>
      </c>
      <c r="I5082" s="6">
        <v>-169.16499999999999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spans="1:21" ht="12" customHeight="1">
      <c r="A5083" s="4">
        <v>3009</v>
      </c>
      <c r="B5083" s="4">
        <v>21639</v>
      </c>
      <c r="C5083" s="5">
        <f t="shared" si="2142"/>
        <v>40576</v>
      </c>
      <c r="D5083" s="4" t="s">
        <v>45</v>
      </c>
      <c r="E5083" s="4">
        <v>3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39.979999999999997</v>
      </c>
      <c r="K5083" s="4">
        <v>9.1999999999999993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spans="1:21" ht="12" customHeight="1">
      <c r="A5084" s="4">
        <v>3010</v>
      </c>
      <c r="B5084" s="4">
        <v>21639</v>
      </c>
      <c r="C5084" s="5">
        <f t="shared" si="2142"/>
        <v>40576</v>
      </c>
      <c r="D5084" s="4" t="s">
        <v>45</v>
      </c>
      <c r="E5084" s="4">
        <v>38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3">C5084+0</f>
        <v>40576</v>
      </c>
    </row>
    <row r="5085" spans="1:21" ht="12" customHeight="1">
      <c r="A5085" s="4">
        <v>3011</v>
      </c>
      <c r="B5085" s="4">
        <v>21639</v>
      </c>
      <c r="C5085" s="5">
        <f t="shared" si="2142"/>
        <v>40576</v>
      </c>
      <c r="D5085" s="4" t="s">
        <v>45</v>
      </c>
      <c r="E5085" s="4">
        <v>23</v>
      </c>
      <c r="F5085" s="4">
        <v>158.99</v>
      </c>
      <c r="G5085" s="4">
        <v>7.0000000000000007E-2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3"/>
        <v>40576</v>
      </c>
    </row>
    <row r="5086" spans="1:21" ht="12" customHeight="1">
      <c r="A5086" s="4">
        <v>3025</v>
      </c>
      <c r="B5086" s="4">
        <v>21760</v>
      </c>
      <c r="C5086" s="5">
        <f>DATE(2012,12,31)-701</f>
        <v>40573</v>
      </c>
      <c r="D5086" s="4" t="s">
        <v>45</v>
      </c>
      <c r="E5086" s="4">
        <v>9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0.56000000000000005</v>
      </c>
      <c r="U5086" s="5">
        <f>C5086+1</f>
        <v>40574</v>
      </c>
    </row>
    <row r="5087" spans="1:21" ht="12" customHeight="1">
      <c r="A5087" s="4">
        <v>3038</v>
      </c>
      <c r="B5087" s="4">
        <v>21827</v>
      </c>
      <c r="C5087" s="5">
        <f t="shared" ref="C5087:C5088" si="2144">DATE(2012,12,31)-52</f>
        <v>41222</v>
      </c>
      <c r="D5087" s="4" t="s">
        <v>45</v>
      </c>
      <c r="E5087" s="4">
        <v>25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0.56000000000000005</v>
      </c>
      <c r="U5087" s="5">
        <f>C5087+2</f>
        <v>41224</v>
      </c>
    </row>
    <row r="5088" spans="1:21" ht="12" customHeight="1">
      <c r="A5088" s="4">
        <v>3039</v>
      </c>
      <c r="B5088" s="4">
        <v>21827</v>
      </c>
      <c r="C5088" s="5">
        <f t="shared" si="2144"/>
        <v>41222</v>
      </c>
      <c r="D5088" s="4" t="s">
        <v>45</v>
      </c>
      <c r="E5088" s="4">
        <v>21</v>
      </c>
      <c r="F5088" s="4">
        <v>1560.96</v>
      </c>
      <c r="G5088" s="4">
        <v>7.0000000000000007E-2</v>
      </c>
      <c r="H5088" s="4" t="s">
        <v>56</v>
      </c>
      <c r="I5088" s="6">
        <v>-120.27</v>
      </c>
      <c r="J5088" s="4">
        <v>73.98</v>
      </c>
      <c r="K5088" s="4">
        <v>4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spans="1:21" ht="12" customHeight="1">
      <c r="A5089" s="4">
        <v>3055</v>
      </c>
      <c r="B5089" s="4">
        <v>21890</v>
      </c>
      <c r="C5089" s="5">
        <f>DATE(2012,12,31)-707</f>
        <v>40567</v>
      </c>
      <c r="D5089" s="4" t="s">
        <v>45</v>
      </c>
      <c r="E5089" s="4">
        <v>44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spans="1:21" ht="12" customHeight="1">
      <c r="A5090" s="4">
        <v>3063</v>
      </c>
      <c r="B5090" s="4">
        <v>21927</v>
      </c>
      <c r="C5090" s="5">
        <f>DATE(2012,12,31)-387</f>
        <v>40887</v>
      </c>
      <c r="D5090" s="4" t="s">
        <v>30</v>
      </c>
      <c r="E5090" s="4">
        <v>23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spans="1:21" ht="12" customHeight="1">
      <c r="A5091" s="4">
        <v>3068</v>
      </c>
      <c r="B5091" s="4">
        <v>21988</v>
      </c>
      <c r="C5091" s="5">
        <f>DATE(2012,12,31)-1009</f>
        <v>40265</v>
      </c>
      <c r="D5091" s="4" t="s">
        <v>63</v>
      </c>
      <c r="E5091" s="4">
        <v>4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0.56999999999999995</v>
      </c>
      <c r="U5091" s="5">
        <f t="shared" ref="U5091:U5092" si="2145">C5091+2</f>
        <v>40267</v>
      </c>
    </row>
    <row r="5092" spans="1:21" ht="12" customHeight="1">
      <c r="A5092" s="4">
        <v>3124</v>
      </c>
      <c r="B5092" s="4">
        <v>22433</v>
      </c>
      <c r="C5092" s="5">
        <f>DATE(2012,12,31)-669</f>
        <v>40605</v>
      </c>
      <c r="D5092" s="4" t="s">
        <v>78</v>
      </c>
      <c r="E5092" s="4">
        <v>44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0.56999999999999995</v>
      </c>
      <c r="U5092" s="5">
        <f t="shared" si="2145"/>
        <v>40607</v>
      </c>
    </row>
    <row r="5093" spans="1:21" ht="12" customHeight="1">
      <c r="A5093" s="4">
        <v>3127</v>
      </c>
      <c r="B5093" s="4">
        <v>22465</v>
      </c>
      <c r="C5093" s="5">
        <f>DATE(2012,12,31)-163</f>
        <v>41111</v>
      </c>
      <c r="D5093" s="4" t="s">
        <v>45</v>
      </c>
      <c r="E5093" s="4">
        <v>4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spans="1:21" ht="12" customHeight="1">
      <c r="A5094" s="4">
        <v>3128</v>
      </c>
      <c r="B5094" s="4">
        <v>22466</v>
      </c>
      <c r="C5094" s="5">
        <f t="shared" ref="C5094:C5095" si="2146">DATE(2012,12,31)-278</f>
        <v>40996</v>
      </c>
      <c r="D5094" s="4" t="s">
        <v>21</v>
      </c>
      <c r="E5094" s="4">
        <v>31</v>
      </c>
      <c r="F5094" s="4">
        <v>5404.18</v>
      </c>
      <c r="G5094" s="4">
        <v>7.0000000000000007E-2</v>
      </c>
      <c r="H5094" s="4" t="s">
        <v>31</v>
      </c>
      <c r="I5094" s="6">
        <v>241.06</v>
      </c>
      <c r="J5094" s="4">
        <v>180.98</v>
      </c>
      <c r="K5094" s="4">
        <v>30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7">C5094+7</f>
        <v>41003</v>
      </c>
    </row>
    <row r="5095" spans="1:21" ht="12" customHeight="1">
      <c r="A5095" s="4">
        <v>3129</v>
      </c>
      <c r="B5095" s="4">
        <v>22466</v>
      </c>
      <c r="C5095" s="5">
        <f t="shared" si="2146"/>
        <v>40996</v>
      </c>
      <c r="D5095" s="4" t="s">
        <v>21</v>
      </c>
      <c r="E5095" s="4">
        <v>40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7"/>
        <v>41003</v>
      </c>
    </row>
    <row r="5096" spans="1:21" ht="12" customHeight="1">
      <c r="A5096" s="4">
        <v>3136</v>
      </c>
      <c r="B5096" s="4">
        <v>22497</v>
      </c>
      <c r="C5096" s="5">
        <f>DATE(2012,12,31)-247</f>
        <v>41027</v>
      </c>
      <c r="D5096" s="4" t="s">
        <v>63</v>
      </c>
      <c r="E5096" s="4">
        <v>37</v>
      </c>
      <c r="F5096" s="4">
        <v>3259.25</v>
      </c>
      <c r="G5096" s="4">
        <v>0.04</v>
      </c>
      <c r="H5096" s="4" t="s">
        <v>31</v>
      </c>
      <c r="I5096" s="6">
        <v>580.33000000000004</v>
      </c>
      <c r="J5096" s="4">
        <v>90.97</v>
      </c>
      <c r="K5096" s="4">
        <v>28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spans="1:21" ht="12" customHeight="1">
      <c r="A5097" s="4">
        <v>3152</v>
      </c>
      <c r="B5097" s="4">
        <v>22627</v>
      </c>
      <c r="C5097" s="5">
        <f>DATE(2012,12,31)-1003</f>
        <v>40271</v>
      </c>
      <c r="D5097" s="4" t="s">
        <v>21</v>
      </c>
      <c r="E5097" s="4">
        <v>46</v>
      </c>
      <c r="F5097" s="4">
        <v>6803</v>
      </c>
      <c r="G5097" s="4">
        <v>0.03</v>
      </c>
      <c r="H5097" s="4" t="s">
        <v>31</v>
      </c>
      <c r="I5097" s="6">
        <v>-1061.68</v>
      </c>
      <c r="J5097" s="4">
        <v>150.97999999999999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spans="1:21" ht="12" customHeight="1">
      <c r="A5098" s="4">
        <v>3165</v>
      </c>
      <c r="B5098" s="4">
        <v>22752</v>
      </c>
      <c r="C5098" s="5">
        <f>DATE(2012,12,31)-24</f>
        <v>41250</v>
      </c>
      <c r="D5098" s="4" t="s">
        <v>21</v>
      </c>
      <c r="E5098" s="4">
        <v>2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spans="1:21" ht="12" customHeight="1">
      <c r="A5099" s="4">
        <v>3176</v>
      </c>
      <c r="B5099" s="4">
        <v>22848</v>
      </c>
      <c r="C5099" s="5">
        <f t="shared" ref="C5099:C5101" si="2148">DATE(2012,12,31)-387</f>
        <v>40887</v>
      </c>
      <c r="D5099" s="4" t="s">
        <v>45</v>
      </c>
      <c r="E5099" s="4">
        <v>20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4.4800000000000004</v>
      </c>
      <c r="K5099" s="4">
        <v>49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spans="1:21" ht="12" customHeight="1">
      <c r="A5100" s="4">
        <v>3177</v>
      </c>
      <c r="B5100" s="4">
        <v>22848</v>
      </c>
      <c r="C5100" s="5">
        <f t="shared" si="2148"/>
        <v>40887</v>
      </c>
      <c r="D5100" s="4" t="s">
        <v>45</v>
      </c>
      <c r="E5100" s="4">
        <v>45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130.97999999999999</v>
      </c>
      <c r="K5100" s="4">
        <v>30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49">C5100+2</f>
        <v>40889</v>
      </c>
    </row>
    <row r="5101" spans="1:21" ht="12" customHeight="1">
      <c r="A5101" s="4">
        <v>3178</v>
      </c>
      <c r="B5101" s="4">
        <v>22848</v>
      </c>
      <c r="C5101" s="5">
        <f t="shared" si="2148"/>
        <v>40887</v>
      </c>
      <c r="D5101" s="4" t="s">
        <v>45</v>
      </c>
      <c r="E5101" s="4">
        <v>4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49"/>
        <v>40889</v>
      </c>
    </row>
    <row r="5102" spans="1:21" ht="12" customHeight="1">
      <c r="A5102" s="4">
        <v>3183</v>
      </c>
      <c r="B5102" s="4">
        <v>22850</v>
      </c>
      <c r="C5102" s="5">
        <f>DATE(2012,12,31)-611</f>
        <v>40663</v>
      </c>
      <c r="D5102" s="4" t="s">
        <v>63</v>
      </c>
      <c r="E5102" s="4">
        <v>4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spans="1:21" ht="12" customHeight="1">
      <c r="A5103" s="4">
        <v>3192</v>
      </c>
      <c r="B5103" s="4">
        <v>22912</v>
      </c>
      <c r="C5103" s="5">
        <f>DATE(2012,12,31)-807</f>
        <v>40467</v>
      </c>
      <c r="D5103" s="4" t="s">
        <v>21</v>
      </c>
      <c r="E5103" s="4">
        <v>33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19.989999999999998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spans="1:21" ht="12" customHeight="1">
      <c r="A5104" s="4">
        <v>3193</v>
      </c>
      <c r="B5104" s="4">
        <v>22913</v>
      </c>
      <c r="C5104" s="5">
        <f t="shared" ref="C5104:C5106" si="2150">DATE(2012,12,31)-920</f>
        <v>40354</v>
      </c>
      <c r="D5104" s="4" t="s">
        <v>78</v>
      </c>
      <c r="E5104" s="4">
        <v>32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4.9800000000000004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spans="1:21" ht="12" customHeight="1">
      <c r="A5105" s="4">
        <v>3194</v>
      </c>
      <c r="B5105" s="4">
        <v>22913</v>
      </c>
      <c r="C5105" s="5">
        <f t="shared" si="2150"/>
        <v>40354</v>
      </c>
      <c r="D5105" s="4" t="s">
        <v>78</v>
      </c>
      <c r="E5105" s="4">
        <v>24</v>
      </c>
      <c r="F5105" s="4">
        <v>6568.0240000000013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spans="1:21" ht="12" customHeight="1">
      <c r="A5106" s="4">
        <v>3195</v>
      </c>
      <c r="B5106" s="4">
        <v>22913</v>
      </c>
      <c r="C5106" s="5">
        <f t="shared" si="2150"/>
        <v>40354</v>
      </c>
      <c r="D5106" s="4" t="s">
        <v>78</v>
      </c>
      <c r="E5106" s="4">
        <v>50</v>
      </c>
      <c r="F5106" s="4">
        <v>1579.028</v>
      </c>
      <c r="G5106" s="4">
        <v>0.02</v>
      </c>
      <c r="H5106" s="4" t="s">
        <v>22</v>
      </c>
      <c r="I5106" s="6">
        <v>624.97799999999995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1">C5106+1</f>
        <v>40355</v>
      </c>
    </row>
    <row r="5107" spans="1:21" ht="12" customHeight="1">
      <c r="A5107" s="4">
        <v>3196</v>
      </c>
      <c r="B5107" s="4">
        <v>22914</v>
      </c>
      <c r="C5107" s="5">
        <f>DATE(2012,12,31)-353</f>
        <v>40921</v>
      </c>
      <c r="D5107" s="4" t="s">
        <v>78</v>
      </c>
      <c r="E5107" s="4">
        <v>30</v>
      </c>
      <c r="F5107" s="4">
        <v>336.65</v>
      </c>
      <c r="G5107" s="4">
        <v>7.0000000000000007E-2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1"/>
        <v>40922</v>
      </c>
    </row>
    <row r="5108" spans="1:21" ht="12" customHeight="1">
      <c r="A5108" s="4">
        <v>3226</v>
      </c>
      <c r="B5108" s="4">
        <v>23168</v>
      </c>
      <c r="C5108" s="5">
        <f>DATE(2012,12,31)-838</f>
        <v>40436</v>
      </c>
      <c r="D5108" s="4" t="s">
        <v>21</v>
      </c>
      <c r="E5108" s="4">
        <v>46</v>
      </c>
      <c r="F5108" s="4">
        <v>23949.51</v>
      </c>
      <c r="G5108" s="4">
        <v>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spans="1:21" ht="12" customHeight="1">
      <c r="A5109" s="4">
        <v>3242</v>
      </c>
      <c r="B5109" s="4">
        <v>23235</v>
      </c>
      <c r="C5109" s="5">
        <f>DATE(2012,12,31)-545</f>
        <v>40729</v>
      </c>
      <c r="D5109" s="4" t="s">
        <v>30</v>
      </c>
      <c r="E5109" s="4">
        <v>6</v>
      </c>
      <c r="F5109" s="4">
        <v>17.43</v>
      </c>
      <c r="G5109" s="4">
        <v>0.02</v>
      </c>
      <c r="H5109" s="4" t="s">
        <v>22</v>
      </c>
      <c r="I5109" s="6">
        <v>2.4500000000000002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2">C5109+2</f>
        <v>40731</v>
      </c>
    </row>
    <row r="5110" spans="1:21" ht="12" customHeight="1">
      <c r="A5110" s="4">
        <v>3243</v>
      </c>
      <c r="B5110" s="4">
        <v>23238</v>
      </c>
      <c r="C5110" s="5">
        <f>DATE(2012,12,31)-1006</f>
        <v>40268</v>
      </c>
      <c r="D5110" s="4" t="s">
        <v>45</v>
      </c>
      <c r="E5110" s="4">
        <v>25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2"/>
        <v>40270</v>
      </c>
    </row>
    <row r="5111" spans="1:21" ht="12" customHeight="1">
      <c r="A5111" s="4">
        <v>3251</v>
      </c>
      <c r="B5111" s="4">
        <v>23297</v>
      </c>
      <c r="C5111" s="5">
        <f t="shared" ref="C5111:C5112" si="2153">DATE(2012,12,31)-182</f>
        <v>41092</v>
      </c>
      <c r="D5111" s="4" t="s">
        <v>78</v>
      </c>
      <c r="E5111" s="4">
        <v>20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2"/>
        <v>41094</v>
      </c>
    </row>
    <row r="5112" spans="1:21" ht="12" customHeight="1">
      <c r="A5112" s="4">
        <v>3252</v>
      </c>
      <c r="B5112" s="4">
        <v>23297</v>
      </c>
      <c r="C5112" s="5">
        <f t="shared" si="2153"/>
        <v>41092</v>
      </c>
      <c r="D5112" s="4" t="s">
        <v>78</v>
      </c>
      <c r="E5112" s="4">
        <v>34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2"/>
        <v>41094</v>
      </c>
    </row>
    <row r="5113" spans="1:21" ht="12" customHeight="1">
      <c r="A5113" s="4">
        <v>3253</v>
      </c>
      <c r="B5113" s="4">
        <v>23301</v>
      </c>
      <c r="C5113" s="5">
        <f t="shared" ref="C5113:C5114" si="2154">DATE(2012,12,31)-623</f>
        <v>40651</v>
      </c>
      <c r="D5113" s="4" t="s">
        <v>30</v>
      </c>
      <c r="E5113" s="4">
        <v>4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2"/>
        <v>40653</v>
      </c>
    </row>
    <row r="5114" spans="1:21" ht="12" customHeight="1">
      <c r="A5114" s="4">
        <v>3254</v>
      </c>
      <c r="B5114" s="4">
        <v>23301</v>
      </c>
      <c r="C5114" s="5">
        <f t="shared" si="2154"/>
        <v>40651</v>
      </c>
      <c r="D5114" s="4" t="s">
        <v>30</v>
      </c>
      <c r="E5114" s="4">
        <v>3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2"/>
        <v>40653</v>
      </c>
    </row>
    <row r="5115" spans="1:21" ht="12" customHeight="1">
      <c r="A5115" s="4">
        <v>3257</v>
      </c>
      <c r="B5115" s="4">
        <v>23329</v>
      </c>
      <c r="C5115" s="5">
        <f t="shared" ref="C5115:C5116" si="2155">DATE(2012,12,31)-736</f>
        <v>40538</v>
      </c>
      <c r="D5115" s="4" t="s">
        <v>21</v>
      </c>
      <c r="E5115" s="4">
        <v>4</v>
      </c>
      <c r="F5115" s="4">
        <v>31.118499999999997</v>
      </c>
      <c r="G5115" s="4">
        <v>0.05</v>
      </c>
      <c r="H5115" s="4" t="s">
        <v>22</v>
      </c>
      <c r="I5115" s="6">
        <v>-46.904000000000003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spans="1:21" ht="12" customHeight="1">
      <c r="A5116" s="4">
        <v>3258</v>
      </c>
      <c r="B5116" s="4">
        <v>23329</v>
      </c>
      <c r="C5116" s="5">
        <f t="shared" si="2155"/>
        <v>40538</v>
      </c>
      <c r="D5116" s="4" t="s">
        <v>21</v>
      </c>
      <c r="E5116" s="4">
        <v>47</v>
      </c>
      <c r="F5116" s="4">
        <v>4829.4534999999996</v>
      </c>
      <c r="G5116" s="4">
        <v>0.05</v>
      </c>
      <c r="H5116" s="4" t="s">
        <v>22</v>
      </c>
      <c r="I5116" s="6">
        <v>1235.1510000000001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0.55000000000000004</v>
      </c>
      <c r="U5116" s="5">
        <f>C5116+4</f>
        <v>40542</v>
      </c>
    </row>
    <row r="5117" spans="1:21" ht="12" customHeight="1">
      <c r="A5117" s="4">
        <v>3268</v>
      </c>
      <c r="B5117" s="4">
        <v>23366</v>
      </c>
      <c r="C5117" s="5">
        <f t="shared" ref="C5117:C5118" si="2156">DATE(2012,12,31)-773</f>
        <v>40501</v>
      </c>
      <c r="D5117" s="4" t="s">
        <v>45</v>
      </c>
      <c r="E5117" s="4">
        <v>12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spans="1:21" ht="12" customHeight="1">
      <c r="A5118" s="4">
        <v>3269</v>
      </c>
      <c r="B5118" s="4">
        <v>23366</v>
      </c>
      <c r="C5118" s="5">
        <f t="shared" si="2156"/>
        <v>40501</v>
      </c>
      <c r="D5118" s="4" t="s">
        <v>45</v>
      </c>
      <c r="E5118" s="4">
        <v>5</v>
      </c>
      <c r="F5118" s="4">
        <v>297.85000000000002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19.989999999999998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spans="1:21" ht="12" customHeight="1">
      <c r="A5119" s="4">
        <v>3272</v>
      </c>
      <c r="B5119" s="4">
        <v>23395</v>
      </c>
      <c r="C5119" s="5">
        <f>DATE(2012,12,31)-65</f>
        <v>41209</v>
      </c>
      <c r="D5119" s="4" t="s">
        <v>63</v>
      </c>
      <c r="E5119" s="4">
        <v>31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39.479999999999997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spans="1:21" ht="12" customHeight="1">
      <c r="A5120" s="4">
        <v>3292</v>
      </c>
      <c r="B5120" s="4">
        <v>23555</v>
      </c>
      <c r="C5120" s="5">
        <f t="shared" ref="C5120:C5121" si="2157">DATE(2012,12,31)-20</f>
        <v>41254</v>
      </c>
      <c r="D5120" s="4" t="s">
        <v>30</v>
      </c>
      <c r="E5120" s="4">
        <v>29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8">C5120+1</f>
        <v>41255</v>
      </c>
    </row>
    <row r="5121" spans="1:21" ht="12" customHeight="1">
      <c r="A5121" s="4">
        <v>3293</v>
      </c>
      <c r="B5121" s="4">
        <v>23555</v>
      </c>
      <c r="C5121" s="5">
        <f t="shared" si="2157"/>
        <v>41254</v>
      </c>
      <c r="D5121" s="4" t="s">
        <v>30</v>
      </c>
      <c r="E5121" s="4">
        <v>5</v>
      </c>
      <c r="F5121" s="4">
        <v>284.45249999999999</v>
      </c>
      <c r="G5121" s="4">
        <v>0.06</v>
      </c>
      <c r="H5121" s="4" t="s">
        <v>22</v>
      </c>
      <c r="I5121" s="6">
        <v>-254.78200000000001</v>
      </c>
      <c r="J5121" s="4">
        <v>65.989999999999995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0.57999999999999996</v>
      </c>
      <c r="U5121" s="5">
        <f t="shared" si="2158"/>
        <v>41255</v>
      </c>
    </row>
    <row r="5122" spans="1:21" ht="12" customHeight="1">
      <c r="A5122" s="4">
        <v>3304</v>
      </c>
      <c r="B5122" s="4">
        <v>23617</v>
      </c>
      <c r="C5122" s="5">
        <f>DATE(2012,12,31)-606</f>
        <v>40668</v>
      </c>
      <c r="D5122" s="4" t="s">
        <v>45</v>
      </c>
      <c r="E5122" s="4">
        <v>6</v>
      </c>
      <c r="F5122" s="4">
        <v>247.34</v>
      </c>
      <c r="G5122" s="4">
        <v>0.04</v>
      </c>
      <c r="H5122" s="4" t="s">
        <v>56</v>
      </c>
      <c r="I5122" s="6">
        <v>63.605499999999999</v>
      </c>
      <c r="J5122" s="4">
        <v>37.700000000000003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spans="1:21" ht="12" customHeight="1">
      <c r="A5123" s="4">
        <v>3314</v>
      </c>
      <c r="B5123" s="4">
        <v>23680</v>
      </c>
      <c r="C5123" s="5">
        <f>DATE(2012,12,31)-786</f>
        <v>40488</v>
      </c>
      <c r="D5123" s="4" t="s">
        <v>45</v>
      </c>
      <c r="E5123" s="4">
        <v>8</v>
      </c>
      <c r="F5123" s="4">
        <v>2029.4960000000001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spans="1:21" ht="12" customHeight="1">
      <c r="A5124" s="4">
        <v>3318</v>
      </c>
      <c r="B5124" s="4">
        <v>23719</v>
      </c>
      <c r="C5124" s="5">
        <f>DATE(2012,12,31)-890</f>
        <v>40384</v>
      </c>
      <c r="D5124" s="4" t="s">
        <v>78</v>
      </c>
      <c r="E5124" s="4">
        <v>17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spans="1:21" ht="12" customHeight="1">
      <c r="A5125" s="4">
        <v>3440</v>
      </c>
      <c r="B5125" s="4">
        <v>24548</v>
      </c>
      <c r="C5125" s="5">
        <f>DATE(2012,12,31)-658</f>
        <v>40616</v>
      </c>
      <c r="D5125" s="4" t="s">
        <v>30</v>
      </c>
      <c r="E5125" s="4">
        <v>32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spans="1:21" ht="12" customHeight="1">
      <c r="A5126" s="4">
        <v>3451</v>
      </c>
      <c r="B5126" s="4">
        <v>24610</v>
      </c>
      <c r="C5126" s="5">
        <f>DATE(2012,12,31)-1078</f>
        <v>40196</v>
      </c>
      <c r="D5126" s="4" t="s">
        <v>45</v>
      </c>
      <c r="E5126" s="4">
        <v>4</v>
      </c>
      <c r="F5126" s="4">
        <v>883.31</v>
      </c>
      <c r="G5126" s="4">
        <v>0.01</v>
      </c>
      <c r="H5126" s="4" t="s">
        <v>31</v>
      </c>
      <c r="I5126" s="6">
        <v>-79.959999999999994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0.57999999999999996</v>
      </c>
      <c r="U5126" s="5">
        <f t="shared" ref="U5126:U5130" si="2159">C5126+2</f>
        <v>40198</v>
      </c>
    </row>
    <row r="5127" spans="1:21" ht="12" customHeight="1">
      <c r="A5127" s="4">
        <v>3467</v>
      </c>
      <c r="B5127" s="4">
        <v>24677</v>
      </c>
      <c r="C5127" s="5">
        <f>DATE(2012,12,31)-301</f>
        <v>40973</v>
      </c>
      <c r="D5127" s="4" t="s">
        <v>21</v>
      </c>
      <c r="E5127" s="4">
        <v>44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59"/>
        <v>40975</v>
      </c>
    </row>
    <row r="5128" spans="1:21" ht="12" customHeight="1">
      <c r="A5128" s="4">
        <v>3537</v>
      </c>
      <c r="B5128" s="4">
        <v>25157</v>
      </c>
      <c r="C5128" s="5">
        <f>DATE(2012,12,31)-951</f>
        <v>40323</v>
      </c>
      <c r="D5128" s="4" t="s">
        <v>45</v>
      </c>
      <c r="E5128" s="4">
        <v>24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59"/>
        <v>40325</v>
      </c>
    </row>
    <row r="5129" spans="1:21" ht="12" customHeight="1">
      <c r="A5129" s="4">
        <v>3561</v>
      </c>
      <c r="B5129" s="4">
        <v>25378</v>
      </c>
      <c r="C5129" s="5">
        <f>DATE(2012,12,31)-379</f>
        <v>40895</v>
      </c>
      <c r="D5129" s="4" t="s">
        <v>45</v>
      </c>
      <c r="E5129" s="4">
        <v>48</v>
      </c>
      <c r="F5129" s="4">
        <v>3713.0124999999998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0.56999999999999995</v>
      </c>
      <c r="U5129" s="5">
        <f t="shared" si="2159"/>
        <v>40897</v>
      </c>
    </row>
    <row r="5130" spans="1:21" ht="12" customHeight="1">
      <c r="A5130" s="4">
        <v>3574</v>
      </c>
      <c r="B5130" s="4">
        <v>25476</v>
      </c>
      <c r="C5130" s="5">
        <f t="shared" ref="C5130:C5131" si="2160">DATE(2012,12,31)-90</f>
        <v>41184</v>
      </c>
      <c r="D5130" s="4" t="s">
        <v>45</v>
      </c>
      <c r="E5130" s="4">
        <v>21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35.409999999999997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59"/>
        <v>41186</v>
      </c>
    </row>
    <row r="5131" spans="1:21" ht="12" customHeight="1">
      <c r="A5131" s="4">
        <v>3575</v>
      </c>
      <c r="B5131" s="4">
        <v>25476</v>
      </c>
      <c r="C5131" s="5">
        <f t="shared" si="2160"/>
        <v>41184</v>
      </c>
      <c r="D5131" s="4" t="s">
        <v>45</v>
      </c>
      <c r="E5131" s="4">
        <v>4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spans="1:21" ht="12" customHeight="1">
      <c r="A5132" s="4">
        <v>3607</v>
      </c>
      <c r="B5132" s="4">
        <v>25797</v>
      </c>
      <c r="C5132" s="5">
        <f>DATE(2012,12,31)-121</f>
        <v>41153</v>
      </c>
      <c r="D5132" s="4" t="s">
        <v>45</v>
      </c>
      <c r="E5132" s="4">
        <v>28</v>
      </c>
      <c r="F5132" s="4">
        <v>925.43</v>
      </c>
      <c r="G5132" s="4">
        <v>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1">C5132+2</f>
        <v>41155</v>
      </c>
    </row>
    <row r="5133" spans="1:21" ht="12" customHeight="1">
      <c r="A5133" s="4">
        <v>3625</v>
      </c>
      <c r="B5133" s="4">
        <v>25889</v>
      </c>
      <c r="C5133" s="5">
        <f>DATE(2012,12,31)-937</f>
        <v>40337</v>
      </c>
      <c r="D5133" s="4" t="s">
        <v>21</v>
      </c>
      <c r="E5133" s="4">
        <v>23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1"/>
        <v>40339</v>
      </c>
    </row>
    <row r="5134" spans="1:21" ht="12" customHeight="1">
      <c r="A5134" s="4">
        <v>3637</v>
      </c>
      <c r="B5134" s="4">
        <v>25986</v>
      </c>
      <c r="C5134" s="5">
        <f>DATE(2012,12,31)-192</f>
        <v>41082</v>
      </c>
      <c r="D5134" s="4" t="s">
        <v>63</v>
      </c>
      <c r="E5134" s="4">
        <v>48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spans="1:21" ht="12" customHeight="1">
      <c r="A5135" s="4">
        <v>3640</v>
      </c>
      <c r="B5135" s="4">
        <v>26021</v>
      </c>
      <c r="C5135" s="5">
        <f>DATE(2012,12,31)-108</f>
        <v>41166</v>
      </c>
      <c r="D5135" s="4" t="s">
        <v>78</v>
      </c>
      <c r="E5135" s="4">
        <v>17</v>
      </c>
      <c r="F5135" s="4">
        <v>328.62700000000001</v>
      </c>
      <c r="G5135" s="4">
        <v>0</v>
      </c>
      <c r="H5135" s="4" t="s">
        <v>22</v>
      </c>
      <c r="I5135" s="6">
        <v>-7.766</v>
      </c>
      <c r="J5135" s="4">
        <v>20.99</v>
      </c>
      <c r="K5135" s="4">
        <v>4.8099999999999996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0.57999999999999996</v>
      </c>
      <c r="U5135" s="5">
        <f>C5135+2</f>
        <v>41168</v>
      </c>
    </row>
    <row r="5136" spans="1:21" ht="12" customHeight="1">
      <c r="A5136" s="4">
        <v>3647</v>
      </c>
      <c r="B5136" s="4">
        <v>26055</v>
      </c>
      <c r="C5136" s="5">
        <f>DATE(2012,12,31)-36</f>
        <v>41238</v>
      </c>
      <c r="D5136" s="4" t="s">
        <v>45</v>
      </c>
      <c r="E5136" s="4">
        <v>46</v>
      </c>
      <c r="F5136" s="4">
        <v>6733.52</v>
      </c>
      <c r="G5136" s="4">
        <v>0.04</v>
      </c>
      <c r="H5136" s="4" t="s">
        <v>22</v>
      </c>
      <c r="I5136" s="6">
        <v>246</v>
      </c>
      <c r="J5136" s="4">
        <v>152.47999999999999</v>
      </c>
      <c r="K5136" s="4">
        <v>4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2">C5136+1</f>
        <v>41239</v>
      </c>
    </row>
    <row r="5137" spans="1:21" ht="12" customHeight="1">
      <c r="A5137" s="4">
        <v>3667</v>
      </c>
      <c r="B5137" s="4">
        <v>26274</v>
      </c>
      <c r="C5137" s="5">
        <f>DATE(2012,12,31)-202</f>
        <v>41072</v>
      </c>
      <c r="D5137" s="4" t="s">
        <v>45</v>
      </c>
      <c r="E5137" s="4">
        <v>41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2"/>
        <v>41073</v>
      </c>
    </row>
    <row r="5138" spans="1:21" ht="12" customHeight="1">
      <c r="A5138" s="4">
        <v>3675</v>
      </c>
      <c r="B5138" s="4">
        <v>26306</v>
      </c>
      <c r="C5138" s="5">
        <f>DATE(2012,12,31)-62</f>
        <v>41212</v>
      </c>
      <c r="D5138" s="4" t="s">
        <v>21</v>
      </c>
      <c r="E5138" s="4">
        <v>39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spans="1:21" ht="12" customHeight="1">
      <c r="A5139" s="4">
        <v>3700</v>
      </c>
      <c r="B5139" s="4">
        <v>26437</v>
      </c>
      <c r="C5139" s="5">
        <f t="shared" ref="C5139:C5140" si="2163">DATE(2012,12,31)-399</f>
        <v>40875</v>
      </c>
      <c r="D5139" s="4" t="s">
        <v>78</v>
      </c>
      <c r="E5139" s="4">
        <v>4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0.55000000000000004</v>
      </c>
      <c r="U5139" s="5">
        <f>C5139+1</f>
        <v>40876</v>
      </c>
    </row>
    <row r="5140" spans="1:21" ht="12" customHeight="1">
      <c r="A5140" s="4">
        <v>3701</v>
      </c>
      <c r="B5140" s="4">
        <v>26437</v>
      </c>
      <c r="C5140" s="5">
        <f t="shared" si="2163"/>
        <v>40875</v>
      </c>
      <c r="D5140" s="4" t="s">
        <v>78</v>
      </c>
      <c r="E5140" s="4">
        <v>48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spans="1:21" ht="12" customHeight="1">
      <c r="A5141" s="4">
        <v>3705</v>
      </c>
      <c r="B5141" s="4">
        <v>26464</v>
      </c>
      <c r="C5141" s="5">
        <f t="shared" ref="C5141:C5142" si="2164">DATE(2012,12,31)-386</f>
        <v>40888</v>
      </c>
      <c r="D5141" s="4" t="s">
        <v>30</v>
      </c>
      <c r="E5141" s="4">
        <v>25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spans="1:21" ht="12" customHeight="1">
      <c r="A5142" s="4">
        <v>3706</v>
      </c>
      <c r="B5142" s="4">
        <v>26464</v>
      </c>
      <c r="C5142" s="5">
        <f t="shared" si="2164"/>
        <v>40888</v>
      </c>
      <c r="D5142" s="4" t="s">
        <v>30</v>
      </c>
      <c r="E5142" s="4">
        <v>26</v>
      </c>
      <c r="F5142" s="4">
        <v>1280.6500000000001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0.55000000000000004</v>
      </c>
      <c r="U5142" s="5">
        <f>C5142+1</f>
        <v>40889</v>
      </c>
    </row>
    <row r="5143" spans="1:21" ht="12" customHeight="1">
      <c r="A5143" s="4">
        <v>3727</v>
      </c>
      <c r="B5143" s="4">
        <v>26631</v>
      </c>
      <c r="C5143" s="5">
        <f>DATE(2012,12,31)-791</f>
        <v>40483</v>
      </c>
      <c r="D5143" s="4" t="s">
        <v>78</v>
      </c>
      <c r="E5143" s="4">
        <v>37</v>
      </c>
      <c r="F5143" s="4">
        <v>231.65</v>
      </c>
      <c r="G5143" s="4">
        <v>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spans="1:21" ht="12" customHeight="1">
      <c r="A5144" s="4">
        <v>3751</v>
      </c>
      <c r="B5144" s="4">
        <v>26786</v>
      </c>
      <c r="C5144" s="5">
        <f>DATE(2012,12,31)-999</f>
        <v>40275</v>
      </c>
      <c r="D5144" s="4" t="s">
        <v>63</v>
      </c>
      <c r="E5144" s="4">
        <v>29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0.57999999999999996</v>
      </c>
      <c r="U5144" s="5">
        <f t="shared" ref="U5144:U5145" si="2165">C5144+1</f>
        <v>40276</v>
      </c>
    </row>
    <row r="5145" spans="1:21" ht="12" customHeight="1">
      <c r="A5145" s="4">
        <v>3778</v>
      </c>
      <c r="B5145" s="4">
        <v>26976</v>
      </c>
      <c r="C5145" s="5">
        <f t="shared" ref="C5145:C5147" si="2166">DATE(2012,12,31)-591</f>
        <v>40683</v>
      </c>
      <c r="D5145" s="4" t="s">
        <v>45</v>
      </c>
      <c r="E5145" s="4">
        <v>44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5"/>
        <v>40684</v>
      </c>
    </row>
    <row r="5146" spans="1:21" ht="12" customHeight="1">
      <c r="A5146" s="4">
        <v>3779</v>
      </c>
      <c r="B5146" s="4">
        <v>26976</v>
      </c>
      <c r="C5146" s="5">
        <f t="shared" si="2166"/>
        <v>40683</v>
      </c>
      <c r="D5146" s="4" t="s">
        <v>45</v>
      </c>
      <c r="E5146" s="4">
        <v>28</v>
      </c>
      <c r="F5146" s="4">
        <v>1417.21</v>
      </c>
      <c r="G5146" s="4">
        <v>7.0000000000000007E-2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spans="1:21" ht="12" customHeight="1">
      <c r="A5147" s="4">
        <v>3780</v>
      </c>
      <c r="B5147" s="4">
        <v>26976</v>
      </c>
      <c r="C5147" s="5">
        <f t="shared" si="2166"/>
        <v>40683</v>
      </c>
      <c r="D5147" s="4" t="s">
        <v>45</v>
      </c>
      <c r="E5147" s="4">
        <v>11</v>
      </c>
      <c r="F5147" s="4">
        <v>1154.9375</v>
      </c>
      <c r="G5147" s="4">
        <v>0.04</v>
      </c>
      <c r="H5147" s="4" t="s">
        <v>56</v>
      </c>
      <c r="I5147" s="6">
        <v>-176.05500000000001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0.56999999999999995</v>
      </c>
      <c r="U5147" s="5">
        <f t="shared" ref="U5147:U5148" si="2167">C5147+1</f>
        <v>40684</v>
      </c>
    </row>
    <row r="5148" spans="1:21" ht="12" customHeight="1">
      <c r="A5148" s="4">
        <v>3814</v>
      </c>
      <c r="B5148" s="4">
        <v>27169</v>
      </c>
      <c r="C5148" s="5">
        <f>DATE(2012,12,31)-477</f>
        <v>40797</v>
      </c>
      <c r="D5148" s="4" t="s">
        <v>45</v>
      </c>
      <c r="E5148" s="4">
        <v>16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7"/>
        <v>40798</v>
      </c>
    </row>
    <row r="5149" spans="1:21" ht="12" customHeight="1">
      <c r="A5149" s="4">
        <v>3837</v>
      </c>
      <c r="B5149" s="4">
        <v>27363</v>
      </c>
      <c r="C5149" s="5">
        <f>DATE(2012,12,31)-440</f>
        <v>40834</v>
      </c>
      <c r="D5149" s="4" t="s">
        <v>63</v>
      </c>
      <c r="E5149" s="4">
        <v>6</v>
      </c>
      <c r="F5149" s="4">
        <v>646.14</v>
      </c>
      <c r="G5149" s="4">
        <v>7.0000000000000007E-2</v>
      </c>
      <c r="H5149" s="4" t="s">
        <v>22</v>
      </c>
      <c r="I5149" s="6">
        <v>-265.62</v>
      </c>
      <c r="J5149" s="4">
        <v>101.41</v>
      </c>
      <c r="K5149" s="4">
        <v>35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8">C5149+2</f>
        <v>40836</v>
      </c>
    </row>
    <row r="5150" spans="1:21" ht="12" customHeight="1">
      <c r="A5150" s="4">
        <v>3858</v>
      </c>
      <c r="B5150" s="4">
        <v>27524</v>
      </c>
      <c r="C5150" s="5">
        <f>DATE(2012,12,31)-1064</f>
        <v>40210</v>
      </c>
      <c r="D5150" s="4" t="s">
        <v>45</v>
      </c>
      <c r="E5150" s="4">
        <v>50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8"/>
        <v>40212</v>
      </c>
    </row>
    <row r="5151" spans="1:21" ht="12" customHeight="1">
      <c r="A5151" s="4">
        <v>3862</v>
      </c>
      <c r="B5151" s="4">
        <v>27554</v>
      </c>
      <c r="C5151" s="5">
        <f>DATE(2012,12,31)-662</f>
        <v>40612</v>
      </c>
      <c r="D5151" s="4" t="s">
        <v>78</v>
      </c>
      <c r="E5151" s="4">
        <v>45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8"/>
        <v>40614</v>
      </c>
    </row>
    <row r="5152" spans="1:21" ht="12" customHeight="1">
      <c r="A5152" s="4">
        <v>3879</v>
      </c>
      <c r="B5152" s="4">
        <v>27712</v>
      </c>
      <c r="C5152" s="5">
        <f>DATE(2012,12,31)-1033</f>
        <v>40241</v>
      </c>
      <c r="D5152" s="4" t="s">
        <v>21</v>
      </c>
      <c r="E5152" s="4">
        <v>20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4.8600000000000003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spans="1:21" ht="12" customHeight="1">
      <c r="A5153" s="4">
        <v>3880</v>
      </c>
      <c r="B5153" s="4">
        <v>27715</v>
      </c>
      <c r="C5153" s="5">
        <f>DATE(2012,12,31)-469</f>
        <v>40805</v>
      </c>
      <c r="D5153" s="4" t="s">
        <v>30</v>
      </c>
      <c r="E5153" s="4">
        <v>12</v>
      </c>
      <c r="F5153" s="4">
        <v>94.52</v>
      </c>
      <c r="G5153" s="4">
        <v>0.06</v>
      </c>
      <c r="H5153" s="4" t="s">
        <v>22</v>
      </c>
      <c r="I5153" s="6">
        <v>-36.225000000000001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spans="1:21" ht="12" customHeight="1">
      <c r="A5154" s="4">
        <v>3882</v>
      </c>
      <c r="B5154" s="4">
        <v>27744</v>
      </c>
      <c r="C5154" s="5">
        <f>DATE(2012,12,31)-881</f>
        <v>40393</v>
      </c>
      <c r="D5154" s="4" t="s">
        <v>78</v>
      </c>
      <c r="E5154" s="4">
        <v>22</v>
      </c>
      <c r="F5154" s="4">
        <v>106.69</v>
      </c>
      <c r="G5154" s="4">
        <v>0.01</v>
      </c>
      <c r="H5154" s="4" t="s">
        <v>22</v>
      </c>
      <c r="I5154" s="6">
        <v>-76.601500000000001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spans="1:21" ht="12" customHeight="1">
      <c r="A5155" s="4">
        <v>3883</v>
      </c>
      <c r="B5155" s="4">
        <v>27745</v>
      </c>
      <c r="C5155" s="5">
        <f>DATE(2012,12,31)-833</f>
        <v>40441</v>
      </c>
      <c r="D5155" s="4" t="s">
        <v>21</v>
      </c>
      <c r="E5155" s="4">
        <v>41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146.05000000000001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spans="1:21" ht="12" customHeight="1">
      <c r="A5156" s="4">
        <v>3917</v>
      </c>
      <c r="B5156" s="4">
        <v>27936</v>
      </c>
      <c r="C5156" s="5">
        <f>DATE(2012,12,31)-543</f>
        <v>40731</v>
      </c>
      <c r="D5156" s="4" t="s">
        <v>30</v>
      </c>
      <c r="E5156" s="4">
        <v>3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0.56999999999999995</v>
      </c>
      <c r="U5156" s="5">
        <f>C5156+2</f>
        <v>40733</v>
      </c>
    </row>
    <row r="5157" spans="1:21" ht="12" customHeight="1">
      <c r="A5157" s="4">
        <v>3930</v>
      </c>
      <c r="B5157" s="4">
        <v>28007</v>
      </c>
      <c r="C5157" s="5">
        <f t="shared" ref="C5157:C5159" si="2169">DATE(2012,12,31)-998</f>
        <v>40276</v>
      </c>
      <c r="D5157" s="4" t="s">
        <v>45</v>
      </c>
      <c r="E5157" s="4">
        <v>23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0">C5157+1</f>
        <v>40277</v>
      </c>
    </row>
    <row r="5158" spans="1:21" ht="12" customHeight="1">
      <c r="A5158" s="4">
        <v>3931</v>
      </c>
      <c r="B5158" s="4">
        <v>28007</v>
      </c>
      <c r="C5158" s="5">
        <f t="shared" si="2169"/>
        <v>40276</v>
      </c>
      <c r="D5158" s="4" t="s">
        <v>45</v>
      </c>
      <c r="E5158" s="4">
        <v>20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0.57999999999999996</v>
      </c>
      <c r="U5158" s="5">
        <f t="shared" si="2170"/>
        <v>40277</v>
      </c>
    </row>
    <row r="5159" spans="1:21" ht="12" customHeight="1">
      <c r="A5159" s="4">
        <v>3932</v>
      </c>
      <c r="B5159" s="4">
        <v>28007</v>
      </c>
      <c r="C5159" s="5">
        <f t="shared" si="2169"/>
        <v>40276</v>
      </c>
      <c r="D5159" s="4" t="s">
        <v>45</v>
      </c>
      <c r="E5159" s="4">
        <v>20</v>
      </c>
      <c r="F5159" s="4">
        <v>257.33999999999997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0"/>
        <v>40277</v>
      </c>
    </row>
    <row r="5160" spans="1:21" ht="12" customHeight="1">
      <c r="A5160" s="4">
        <v>3944</v>
      </c>
      <c r="B5160" s="4">
        <v>28129</v>
      </c>
      <c r="C5160" s="5">
        <f>DATE(2012,12,31)-340</f>
        <v>40934</v>
      </c>
      <c r="D5160" s="4" t="s">
        <v>63</v>
      </c>
      <c r="E5160" s="4">
        <v>5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0"/>
        <v>40935</v>
      </c>
    </row>
    <row r="5161" spans="1:21" ht="12" customHeight="1">
      <c r="A5161" s="4">
        <v>3954</v>
      </c>
      <c r="B5161" s="4">
        <v>28224</v>
      </c>
      <c r="C5161" s="5">
        <f>DATE(2012,12,31)-12</f>
        <v>41262</v>
      </c>
      <c r="D5161" s="4" t="s">
        <v>78</v>
      </c>
      <c r="E5161" s="4">
        <v>25</v>
      </c>
      <c r="F5161" s="4">
        <v>163.41</v>
      </c>
      <c r="G5161" s="4">
        <v>7.0000000000000007E-2</v>
      </c>
      <c r="H5161" s="4" t="s">
        <v>22</v>
      </c>
      <c r="I5161" s="6">
        <v>-91.275500000000008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0"/>
        <v>41263</v>
      </c>
    </row>
    <row r="5162" spans="1:21" ht="12" customHeight="1">
      <c r="A5162" s="4">
        <v>3973</v>
      </c>
      <c r="B5162" s="4">
        <v>28387</v>
      </c>
      <c r="C5162" s="5">
        <f t="shared" ref="C5162:C5163" si="2171">DATE(2012,12,31)-185</f>
        <v>41089</v>
      </c>
      <c r="D5162" s="4" t="s">
        <v>45</v>
      </c>
      <c r="E5162" s="4">
        <v>37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19.989999999999998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0"/>
        <v>41090</v>
      </c>
    </row>
    <row r="5163" spans="1:21" ht="12" customHeight="1">
      <c r="A5163" s="4">
        <v>3974</v>
      </c>
      <c r="B5163" s="4">
        <v>28387</v>
      </c>
      <c r="C5163" s="5">
        <f t="shared" si="2171"/>
        <v>41089</v>
      </c>
      <c r="D5163" s="4" t="s">
        <v>45</v>
      </c>
      <c r="E5163" s="4">
        <v>13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0"/>
        <v>41090</v>
      </c>
    </row>
    <row r="5164" spans="1:21" ht="12" customHeight="1">
      <c r="A5164" s="4">
        <v>3991</v>
      </c>
      <c r="B5164" s="4">
        <v>28485</v>
      </c>
      <c r="C5164" s="5">
        <f>DATE(2012,12,31)-354</f>
        <v>40920</v>
      </c>
      <c r="D5164" s="4" t="s">
        <v>30</v>
      </c>
      <c r="E5164" s="4">
        <v>12</v>
      </c>
      <c r="F5164" s="4">
        <v>49.18</v>
      </c>
      <c r="G5164" s="4">
        <v>7.0000000000000007E-2</v>
      </c>
      <c r="H5164" s="4" t="s">
        <v>22</v>
      </c>
      <c r="I5164" s="6">
        <v>0.57999999999999996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0.56000000000000005</v>
      </c>
      <c r="U5164" s="5">
        <f>C5164+0</f>
        <v>40920</v>
      </c>
    </row>
    <row r="5165" spans="1:21" ht="12" customHeight="1">
      <c r="A5165" s="4">
        <v>4014</v>
      </c>
      <c r="B5165" s="4">
        <v>28643</v>
      </c>
      <c r="C5165" s="5">
        <f>DATE(2012,12,31)-979</f>
        <v>40295</v>
      </c>
      <c r="D5165" s="4" t="s">
        <v>45</v>
      </c>
      <c r="E5165" s="4">
        <v>16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spans="1:21" ht="12" customHeight="1">
      <c r="A5166" s="4">
        <v>4019</v>
      </c>
      <c r="B5166" s="4">
        <v>28737</v>
      </c>
      <c r="C5166" s="5">
        <f t="shared" ref="C5166:C5167" si="2172">DATE(2012,12,31)-455</f>
        <v>40819</v>
      </c>
      <c r="D5166" s="4" t="s">
        <v>78</v>
      </c>
      <c r="E5166" s="4">
        <v>50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8.4499999999999993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0.55000000000000004</v>
      </c>
      <c r="U5166" s="5">
        <f t="shared" ref="U5166:U5167" si="2173">C5166+2</f>
        <v>40821</v>
      </c>
    </row>
    <row r="5167" spans="1:21" ht="12" customHeight="1">
      <c r="A5167" s="4">
        <v>4020</v>
      </c>
      <c r="B5167" s="4">
        <v>28737</v>
      </c>
      <c r="C5167" s="5">
        <f t="shared" si="2172"/>
        <v>40819</v>
      </c>
      <c r="D5167" s="4" t="s">
        <v>78</v>
      </c>
      <c r="E5167" s="4">
        <v>17</v>
      </c>
      <c r="F5167" s="4">
        <v>1721.6410000000001</v>
      </c>
      <c r="G5167" s="4">
        <v>0.04</v>
      </c>
      <c r="H5167" s="4" t="s">
        <v>22</v>
      </c>
      <c r="I5167" s="6">
        <v>242.44200000000001</v>
      </c>
      <c r="J5167" s="4">
        <v>115.99</v>
      </c>
      <c r="K5167" s="4">
        <v>4.2300000000000004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0.56000000000000005</v>
      </c>
      <c r="U5167" s="5">
        <f t="shared" si="2173"/>
        <v>40821</v>
      </c>
    </row>
    <row r="5168" spans="1:21" ht="12" customHeight="1">
      <c r="A5168" s="4">
        <v>4038</v>
      </c>
      <c r="B5168" s="4">
        <v>28807</v>
      </c>
      <c r="C5168" s="5">
        <f>DATE(2012,12,31)-641</f>
        <v>40633</v>
      </c>
      <c r="D5168" s="4" t="s">
        <v>30</v>
      </c>
      <c r="E5168" s="4">
        <v>9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4.9800000000000004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4">C5168+1</f>
        <v>40634</v>
      </c>
    </row>
    <row r="5169" spans="1:21" ht="12" customHeight="1">
      <c r="A5169" s="4">
        <v>4039</v>
      </c>
      <c r="B5169" s="4">
        <v>28832</v>
      </c>
      <c r="C5169" s="5">
        <f t="shared" ref="C5169:C5170" si="2175">DATE(2012,12,31)-829</f>
        <v>40445</v>
      </c>
      <c r="D5169" s="4" t="s">
        <v>63</v>
      </c>
      <c r="E5169" s="4">
        <v>46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4"/>
        <v>40446</v>
      </c>
    </row>
    <row r="5170" spans="1:21" ht="12" customHeight="1">
      <c r="A5170" s="4">
        <v>4040</v>
      </c>
      <c r="B5170" s="4">
        <v>28832</v>
      </c>
      <c r="C5170" s="5">
        <f t="shared" si="2175"/>
        <v>40445</v>
      </c>
      <c r="D5170" s="4" t="s">
        <v>63</v>
      </c>
      <c r="E5170" s="4">
        <v>45</v>
      </c>
      <c r="F5170" s="4">
        <v>98.64</v>
      </c>
      <c r="G5170" s="4">
        <v>0.03</v>
      </c>
      <c r="H5170" s="4" t="s">
        <v>22</v>
      </c>
      <c r="I5170" s="6">
        <v>-9.3610000000000007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spans="1:21" ht="12" customHeight="1">
      <c r="A5171" s="4">
        <v>4080</v>
      </c>
      <c r="B5171" s="4">
        <v>29090</v>
      </c>
      <c r="C5171" s="5">
        <f t="shared" ref="C5171:C5172" si="2176">DATE(2012,12,31)-350</f>
        <v>40924</v>
      </c>
      <c r="D5171" s="4" t="s">
        <v>63</v>
      </c>
      <c r="E5171" s="4">
        <v>24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spans="1:21" ht="12" customHeight="1">
      <c r="A5172" s="4">
        <v>4081</v>
      </c>
      <c r="B5172" s="4">
        <v>29090</v>
      </c>
      <c r="C5172" s="5">
        <f t="shared" si="2176"/>
        <v>40924</v>
      </c>
      <c r="D5172" s="4" t="s">
        <v>63</v>
      </c>
      <c r="E5172" s="4">
        <v>36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0.57999999999999996</v>
      </c>
      <c r="U5172" s="5">
        <f>C5172+0</f>
        <v>40924</v>
      </c>
    </row>
    <row r="5173" spans="1:21" ht="12" customHeight="1">
      <c r="A5173" s="4">
        <v>4107</v>
      </c>
      <c r="B5173" s="4">
        <v>29221</v>
      </c>
      <c r="C5173" s="5">
        <f>DATE(2012,12,31)-216</f>
        <v>41058</v>
      </c>
      <c r="D5173" s="4" t="s">
        <v>30</v>
      </c>
      <c r="E5173" s="4">
        <v>41</v>
      </c>
      <c r="F5173" s="4">
        <v>325.33</v>
      </c>
      <c r="G5173" s="4">
        <v>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spans="1:21" ht="12" customHeight="1">
      <c r="A5174" s="4">
        <v>4159</v>
      </c>
      <c r="B5174" s="4">
        <v>29505</v>
      </c>
      <c r="C5174" s="5">
        <f>DATE(2012,12,31)-4</f>
        <v>41270</v>
      </c>
      <c r="D5174" s="4" t="s">
        <v>63</v>
      </c>
      <c r="E5174" s="4">
        <v>22</v>
      </c>
      <c r="F5174" s="4">
        <v>45.21</v>
      </c>
      <c r="G5174" s="4">
        <v>0.02</v>
      </c>
      <c r="H5174" s="4" t="s">
        <v>56</v>
      </c>
      <c r="I5174" s="6">
        <v>4.6100000000000003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0.56000000000000005</v>
      </c>
      <c r="U5174" s="5">
        <f t="shared" ref="U5174:U5175" si="2177">C5174+1</f>
        <v>41271</v>
      </c>
    </row>
    <row r="5175" spans="1:21" ht="12" customHeight="1">
      <c r="A5175" s="4">
        <v>4198</v>
      </c>
      <c r="B5175" s="4">
        <v>29831</v>
      </c>
      <c r="C5175" s="5">
        <f>DATE(2012,12,31)-277</f>
        <v>40997</v>
      </c>
      <c r="D5175" s="4" t="s">
        <v>78</v>
      </c>
      <c r="E5175" s="4">
        <v>29</v>
      </c>
      <c r="F5175" s="4">
        <v>2175.2199999999998</v>
      </c>
      <c r="G5175" s="4">
        <v>0</v>
      </c>
      <c r="H5175" s="4" t="s">
        <v>31</v>
      </c>
      <c r="I5175" s="6">
        <v>-520.54999999999995</v>
      </c>
      <c r="J5175" s="4">
        <v>68.81</v>
      </c>
      <c r="K5175" s="4">
        <v>60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7"/>
        <v>40998</v>
      </c>
    </row>
    <row r="5176" spans="1:21" ht="12" customHeight="1">
      <c r="A5176" s="4">
        <v>4309</v>
      </c>
      <c r="B5176" s="4">
        <v>30720</v>
      </c>
      <c r="C5176" s="5">
        <f t="shared" ref="C5176:C5177" si="2178">DATE(2012,12,31)-95</f>
        <v>41179</v>
      </c>
      <c r="D5176" s="4" t="s">
        <v>21</v>
      </c>
      <c r="E5176" s="4">
        <v>5</v>
      </c>
      <c r="F5176" s="4">
        <v>32.770000000000003</v>
      </c>
      <c r="G5176" s="4">
        <v>7.0000000000000007E-2</v>
      </c>
      <c r="H5176" s="4" t="s">
        <v>22</v>
      </c>
      <c r="I5176" s="6">
        <v>-17.192499999999999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79">C5176+7</f>
        <v>41186</v>
      </c>
    </row>
    <row r="5177" spans="1:21" ht="12" customHeight="1">
      <c r="A5177" s="4">
        <v>4310</v>
      </c>
      <c r="B5177" s="4">
        <v>30720</v>
      </c>
      <c r="C5177" s="5">
        <f t="shared" si="2178"/>
        <v>41179</v>
      </c>
      <c r="D5177" s="4" t="s">
        <v>21</v>
      </c>
      <c r="E5177" s="4">
        <v>37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79"/>
        <v>41186</v>
      </c>
    </row>
    <row r="5178" spans="1:21" ht="12" customHeight="1">
      <c r="A5178" s="4">
        <v>4327</v>
      </c>
      <c r="B5178" s="4">
        <v>30848</v>
      </c>
      <c r="C5178" s="5">
        <f>DATE(2012,12,31)-610</f>
        <v>40664</v>
      </c>
      <c r="D5178" s="4" t="s">
        <v>63</v>
      </c>
      <c r="E5178" s="4">
        <v>13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spans="1:21" ht="12" customHeight="1">
      <c r="A5179" s="4">
        <v>4334</v>
      </c>
      <c r="B5179" s="4">
        <v>30885</v>
      </c>
      <c r="C5179" s="5">
        <f>DATE(2012,12,31)-924</f>
        <v>40350</v>
      </c>
      <c r="D5179" s="4" t="s">
        <v>30</v>
      </c>
      <c r="E5179" s="4">
        <v>24</v>
      </c>
      <c r="F5179" s="4">
        <v>234.24</v>
      </c>
      <c r="G5179" s="4">
        <v>0.09</v>
      </c>
      <c r="H5179" s="4" t="s">
        <v>22</v>
      </c>
      <c r="I5179" s="6">
        <v>-151.80000000000001</v>
      </c>
      <c r="J5179" s="4">
        <v>9.7100000000000009</v>
      </c>
      <c r="K5179" s="4">
        <v>9.4499999999999993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spans="1:21" ht="12" customHeight="1">
      <c r="A5180" s="4">
        <v>4336</v>
      </c>
      <c r="B5180" s="4">
        <v>30887</v>
      </c>
      <c r="C5180" s="5">
        <f>DATE(2012,12,31)-908</f>
        <v>40366</v>
      </c>
      <c r="D5180" s="4" t="s">
        <v>78</v>
      </c>
      <c r="E5180" s="4">
        <v>44</v>
      </c>
      <c r="F5180" s="4">
        <v>4357.1170000000002</v>
      </c>
      <c r="G5180" s="4">
        <v>7.0000000000000007E-2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0.57999999999999996</v>
      </c>
      <c r="U5180" s="5">
        <f>C5180+0</f>
        <v>40366</v>
      </c>
    </row>
    <row r="5181" spans="1:21" ht="12" customHeight="1">
      <c r="A5181" s="4">
        <v>4382</v>
      </c>
      <c r="B5181" s="4">
        <v>31233</v>
      </c>
      <c r="C5181" s="5">
        <f t="shared" ref="C5181:C5184" si="2180">DATE(2012,12,31)-464</f>
        <v>40810</v>
      </c>
      <c r="D5181" s="4" t="s">
        <v>21</v>
      </c>
      <c r="E5181" s="4">
        <v>41</v>
      </c>
      <c r="F5181" s="4">
        <v>1298.29</v>
      </c>
      <c r="G5181" s="4">
        <v>0.06</v>
      </c>
      <c r="H5181" s="4" t="s">
        <v>22</v>
      </c>
      <c r="I5181" s="6">
        <v>542.33000000000004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spans="1:21" ht="12" customHeight="1">
      <c r="A5182" s="4">
        <v>4383</v>
      </c>
      <c r="B5182" s="4">
        <v>31233</v>
      </c>
      <c r="C5182" s="5">
        <f t="shared" si="2180"/>
        <v>40810</v>
      </c>
      <c r="D5182" s="4" t="s">
        <v>21</v>
      </c>
      <c r="E5182" s="4">
        <v>3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4.9800000000000004</v>
      </c>
      <c r="K5182" s="4">
        <v>5.0199999999999996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spans="1:21" ht="12" customHeight="1">
      <c r="A5183" s="4">
        <v>4384</v>
      </c>
      <c r="B5183" s="4">
        <v>31233</v>
      </c>
      <c r="C5183" s="5">
        <f t="shared" si="2180"/>
        <v>40810</v>
      </c>
      <c r="D5183" s="4" t="s">
        <v>21</v>
      </c>
      <c r="E5183" s="4">
        <v>35</v>
      </c>
      <c r="F5183" s="4">
        <v>590.32000000000005</v>
      </c>
      <c r="G5183" s="4">
        <v>0.06</v>
      </c>
      <c r="H5183" s="4" t="s">
        <v>22</v>
      </c>
      <c r="I5183" s="6">
        <v>-91.31</v>
      </c>
      <c r="J5183" s="4">
        <v>16.989999999999998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0.56000000000000005</v>
      </c>
      <c r="U5183" s="5">
        <f>C5183+4</f>
        <v>40814</v>
      </c>
    </row>
    <row r="5184" spans="1:21" ht="12" customHeight="1">
      <c r="A5184" s="4">
        <v>4385</v>
      </c>
      <c r="B5184" s="4">
        <v>31233</v>
      </c>
      <c r="C5184" s="5">
        <f t="shared" si="2180"/>
        <v>40810</v>
      </c>
      <c r="D5184" s="4" t="s">
        <v>21</v>
      </c>
      <c r="E5184" s="4">
        <v>19</v>
      </c>
      <c r="F5184" s="4">
        <v>4245.93</v>
      </c>
      <c r="G5184" s="4">
        <v>0</v>
      </c>
      <c r="H5184" s="4" t="s">
        <v>22</v>
      </c>
      <c r="I5184" s="6">
        <v>-626.45000000000005</v>
      </c>
      <c r="J5184" s="4">
        <v>209.37</v>
      </c>
      <c r="K5184" s="4">
        <v>69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spans="1:21" ht="12" customHeight="1">
      <c r="A5185" s="4">
        <v>4410</v>
      </c>
      <c r="B5185" s="4">
        <v>31461</v>
      </c>
      <c r="C5185" s="5">
        <f>DATE(2012,12,31)-553</f>
        <v>40721</v>
      </c>
      <c r="D5185" s="4" t="s">
        <v>63</v>
      </c>
      <c r="E5185" s="4">
        <v>26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0.56999999999999995</v>
      </c>
      <c r="U5185" s="5">
        <f t="shared" ref="U5185:U5186" si="2181">C5185+2</f>
        <v>40723</v>
      </c>
    </row>
    <row r="5186" spans="1:21" ht="12" customHeight="1">
      <c r="A5186" s="4">
        <v>4422</v>
      </c>
      <c r="B5186" s="4">
        <v>31524</v>
      </c>
      <c r="C5186" s="5">
        <f>DATE(2012,12,31)-554</f>
        <v>40720</v>
      </c>
      <c r="D5186" s="4" t="s">
        <v>21</v>
      </c>
      <c r="E5186" s="4">
        <v>10</v>
      </c>
      <c r="F5186" s="4">
        <v>1025.8800000000001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1"/>
        <v>40722</v>
      </c>
    </row>
    <row r="5187" spans="1:21" ht="12" customHeight="1">
      <c r="A5187" s="4">
        <v>4433</v>
      </c>
      <c r="B5187" s="4">
        <v>31590</v>
      </c>
      <c r="C5187" s="5">
        <f t="shared" ref="C5187:C5188" si="2182">DATE(2012,12,31)-940</f>
        <v>40334</v>
      </c>
      <c r="D5187" s="4" t="s">
        <v>78</v>
      </c>
      <c r="E5187" s="4">
        <v>5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spans="1:21" ht="12" customHeight="1">
      <c r="A5188" s="4">
        <v>4434</v>
      </c>
      <c r="B5188" s="4">
        <v>31590</v>
      </c>
      <c r="C5188" s="5">
        <f t="shared" si="2182"/>
        <v>40334</v>
      </c>
      <c r="D5188" s="4" t="s">
        <v>78</v>
      </c>
      <c r="E5188" s="4">
        <v>27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spans="1:21" ht="12" customHeight="1">
      <c r="A5189" s="4">
        <v>4509</v>
      </c>
      <c r="B5189" s="4">
        <v>32099</v>
      </c>
      <c r="C5189" s="5">
        <f>DATE(2012,12,31)-971</f>
        <v>40303</v>
      </c>
      <c r="D5189" s="4" t="s">
        <v>45</v>
      </c>
      <c r="E5189" s="4">
        <v>41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spans="1:21" ht="12" customHeight="1">
      <c r="A5190" s="4">
        <v>4513</v>
      </c>
      <c r="B5190" s="4">
        <v>32129</v>
      </c>
      <c r="C5190" s="5">
        <f t="shared" ref="C5190:C5191" si="2183">DATE(2012,12,31)-548</f>
        <v>40726</v>
      </c>
      <c r="D5190" s="4" t="s">
        <v>78</v>
      </c>
      <c r="E5190" s="4">
        <v>20</v>
      </c>
      <c r="F5190" s="4">
        <v>129.27000000000001</v>
      </c>
      <c r="G5190" s="4">
        <v>7.0000000000000007E-2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spans="1:21" ht="12" customHeight="1">
      <c r="A5191" s="4">
        <v>4514</v>
      </c>
      <c r="B5191" s="4">
        <v>32129</v>
      </c>
      <c r="C5191" s="5">
        <f t="shared" si="2183"/>
        <v>40726</v>
      </c>
      <c r="D5191" s="4" t="s">
        <v>78</v>
      </c>
      <c r="E5191" s="4">
        <v>4</v>
      </c>
      <c r="F5191" s="4">
        <v>8467.68</v>
      </c>
      <c r="G5191" s="4">
        <v>0.01</v>
      </c>
      <c r="H5191" s="4" t="s">
        <v>31</v>
      </c>
      <c r="I5191" s="6">
        <v>-3669.0509999999999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0.55000000000000004</v>
      </c>
      <c r="U5191" s="5">
        <f t="shared" ref="U5191:U5193" si="2184">C5191+2</f>
        <v>40728</v>
      </c>
    </row>
    <row r="5192" spans="1:21" ht="12" customHeight="1">
      <c r="A5192" s="4">
        <v>4622</v>
      </c>
      <c r="B5192" s="4">
        <v>32902</v>
      </c>
      <c r="C5192" s="5">
        <f t="shared" ref="C5192:C5193" si="2185">DATE(2012,12,31)-303</f>
        <v>40971</v>
      </c>
      <c r="D5192" s="4" t="s">
        <v>30</v>
      </c>
      <c r="E5192" s="4">
        <v>23</v>
      </c>
      <c r="F5192" s="4">
        <v>1638.67</v>
      </c>
      <c r="G5192" s="4">
        <v>0.05</v>
      </c>
      <c r="H5192" s="4" t="s">
        <v>31</v>
      </c>
      <c r="I5192" s="6">
        <v>-527.83000000000004</v>
      </c>
      <c r="J5192" s="4">
        <v>68.81</v>
      </c>
      <c r="K5192" s="4">
        <v>60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4"/>
        <v>40973</v>
      </c>
    </row>
    <row r="5193" spans="1:21" ht="12" customHeight="1">
      <c r="A5193" s="4">
        <v>4623</v>
      </c>
      <c r="B5193" s="4">
        <v>32902</v>
      </c>
      <c r="C5193" s="5">
        <f t="shared" si="2185"/>
        <v>40971</v>
      </c>
      <c r="D5193" s="4" t="s">
        <v>30</v>
      </c>
      <c r="E5193" s="4">
        <v>8</v>
      </c>
      <c r="F5193" s="4">
        <v>64.099999999999994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8.3699999999999992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0.57999999999999996</v>
      </c>
      <c r="U5193" s="5">
        <f t="shared" si="2184"/>
        <v>40973</v>
      </c>
    </row>
    <row r="5194" spans="1:21" ht="12" customHeight="1">
      <c r="A5194" s="4">
        <v>4629</v>
      </c>
      <c r="B5194" s="4">
        <v>32932</v>
      </c>
      <c r="C5194" s="5">
        <f>DATE(2012,12,31)-1087</f>
        <v>40187</v>
      </c>
      <c r="D5194" s="4" t="s">
        <v>21</v>
      </c>
      <c r="E5194" s="4">
        <v>49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spans="1:21" ht="12" customHeight="1">
      <c r="A5195" s="4">
        <v>4652</v>
      </c>
      <c r="B5195" s="4">
        <v>33126</v>
      </c>
      <c r="C5195" s="5">
        <f t="shared" ref="C5195:C5196" si="2186">DATE(2012,12,31)-415</f>
        <v>40859</v>
      </c>
      <c r="D5195" s="4" t="s">
        <v>78</v>
      </c>
      <c r="E5195" s="4">
        <v>46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spans="1:21" ht="12" customHeight="1">
      <c r="A5196" s="4">
        <v>4653</v>
      </c>
      <c r="B5196" s="4">
        <v>33126</v>
      </c>
      <c r="C5196" s="5">
        <f t="shared" si="2186"/>
        <v>40859</v>
      </c>
      <c r="D5196" s="4" t="s">
        <v>78</v>
      </c>
      <c r="E5196" s="4">
        <v>28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7">C5196+2</f>
        <v>40861</v>
      </c>
    </row>
    <row r="5197" spans="1:21" ht="12" customHeight="1">
      <c r="A5197" s="4">
        <v>4669</v>
      </c>
      <c r="B5197" s="4">
        <v>33222</v>
      </c>
      <c r="C5197" s="5">
        <f t="shared" ref="C5197:C5199" si="2188">DATE(2012,12,31)-195</f>
        <v>41079</v>
      </c>
      <c r="D5197" s="4" t="s">
        <v>63</v>
      </c>
      <c r="E5197" s="4">
        <v>18</v>
      </c>
      <c r="F5197" s="4">
        <v>420.76</v>
      </c>
      <c r="G5197" s="4">
        <v>0.05</v>
      </c>
      <c r="H5197" s="4" t="s">
        <v>22</v>
      </c>
      <c r="I5197" s="6">
        <v>-56.212000000000003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7"/>
        <v>41081</v>
      </c>
    </row>
    <row r="5198" spans="1:21" ht="12" customHeight="1">
      <c r="A5198" s="4">
        <v>4670</v>
      </c>
      <c r="B5198" s="4">
        <v>33222</v>
      </c>
      <c r="C5198" s="5">
        <f t="shared" si="2188"/>
        <v>41079</v>
      </c>
      <c r="D5198" s="4" t="s">
        <v>63</v>
      </c>
      <c r="E5198" s="4">
        <v>30</v>
      </c>
      <c r="F5198" s="4">
        <v>1676.46</v>
      </c>
      <c r="G5198" s="4">
        <v>0.1</v>
      </c>
      <c r="H5198" s="4" t="s">
        <v>31</v>
      </c>
      <c r="I5198" s="6">
        <v>-626.08000000000004</v>
      </c>
      <c r="J5198" s="4">
        <v>60.98</v>
      </c>
      <c r="K5198" s="4">
        <v>30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spans="1:21" ht="12" customHeight="1">
      <c r="A5199" s="4">
        <v>4671</v>
      </c>
      <c r="B5199" s="4">
        <v>33222</v>
      </c>
      <c r="C5199" s="5">
        <f t="shared" si="2188"/>
        <v>41079</v>
      </c>
      <c r="D5199" s="4" t="s">
        <v>63</v>
      </c>
      <c r="E5199" s="4">
        <v>48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0.56000000000000005</v>
      </c>
      <c r="U5199" s="5">
        <f>C5199+2</f>
        <v>41081</v>
      </c>
    </row>
    <row r="5200" spans="1:21" ht="12" customHeight="1">
      <c r="A5200" s="4">
        <v>4693</v>
      </c>
      <c r="B5200" s="4">
        <v>33445</v>
      </c>
      <c r="C5200" s="5">
        <f t="shared" ref="C5200:C5202" si="2189">DATE(2012,12,31)-151</f>
        <v>41123</v>
      </c>
      <c r="D5200" s="4" t="s">
        <v>21</v>
      </c>
      <c r="E5200" s="4">
        <v>18</v>
      </c>
      <c r="F5200" s="4">
        <v>1776.96</v>
      </c>
      <c r="G5200" s="4">
        <v>7.0000000000000007E-2</v>
      </c>
      <c r="H5200" s="4" t="s">
        <v>31</v>
      </c>
      <c r="I5200" s="6">
        <v>-197.06</v>
      </c>
      <c r="J5200" s="4">
        <v>100.98</v>
      </c>
      <c r="K5200" s="4">
        <v>35.840000000000003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0">C5200+5</f>
        <v>41128</v>
      </c>
    </row>
    <row r="5201" spans="1:21" ht="12" customHeight="1">
      <c r="A5201" s="4">
        <v>4694</v>
      </c>
      <c r="B5201" s="4">
        <v>33445</v>
      </c>
      <c r="C5201" s="5">
        <f t="shared" si="2189"/>
        <v>41123</v>
      </c>
      <c r="D5201" s="4" t="s">
        <v>21</v>
      </c>
      <c r="E5201" s="4">
        <v>49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0"/>
        <v>41128</v>
      </c>
    </row>
    <row r="5202" spans="1:21" ht="12" customHeight="1">
      <c r="A5202" s="4">
        <v>4695</v>
      </c>
      <c r="B5202" s="4">
        <v>33445</v>
      </c>
      <c r="C5202" s="5">
        <f t="shared" si="2189"/>
        <v>41123</v>
      </c>
      <c r="D5202" s="4" t="s">
        <v>21</v>
      </c>
      <c r="E5202" s="4">
        <v>16</v>
      </c>
      <c r="F5202" s="4">
        <v>2982.5</v>
      </c>
      <c r="G5202" s="4">
        <v>0.05</v>
      </c>
      <c r="H5202" s="4" t="s">
        <v>22</v>
      </c>
      <c r="I5202" s="6">
        <v>-589.58000000000004</v>
      </c>
      <c r="J5202" s="4">
        <v>182.55</v>
      </c>
      <c r="K5202" s="4">
        <v>69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1">C5202+2</f>
        <v>41125</v>
      </c>
    </row>
    <row r="5203" spans="1:21" ht="12" customHeight="1">
      <c r="A5203" s="4">
        <v>4719</v>
      </c>
      <c r="B5203" s="4">
        <v>33604</v>
      </c>
      <c r="C5203" s="5">
        <f>DATE(2012,12,31)-501</f>
        <v>40773</v>
      </c>
      <c r="D5203" s="4" t="s">
        <v>30</v>
      </c>
      <c r="E5203" s="4">
        <v>10</v>
      </c>
      <c r="F5203" s="4">
        <v>59.62</v>
      </c>
      <c r="G5203" s="4">
        <v>0.04</v>
      </c>
      <c r="H5203" s="4" t="s">
        <v>22</v>
      </c>
      <c r="I5203" s="6">
        <v>-56.304000000000002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1"/>
        <v>40775</v>
      </c>
    </row>
    <row r="5204" spans="1:21" ht="12" customHeight="1">
      <c r="A5204" s="4">
        <v>4737</v>
      </c>
      <c r="B5204" s="4">
        <v>33702</v>
      </c>
      <c r="C5204" s="5">
        <f>DATE(2012,12,31)-120</f>
        <v>41154</v>
      </c>
      <c r="D5204" s="4" t="s">
        <v>45</v>
      </c>
      <c r="E5204" s="4">
        <v>14</v>
      </c>
      <c r="F5204" s="4">
        <v>56.26</v>
      </c>
      <c r="G5204" s="4">
        <v>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spans="1:21" ht="12" customHeight="1">
      <c r="A5205" s="4">
        <v>4779</v>
      </c>
      <c r="B5205" s="4">
        <v>33924</v>
      </c>
      <c r="C5205" s="5">
        <f>DATE(2012,12,31)-74</f>
        <v>41200</v>
      </c>
      <c r="D5205" s="4" t="s">
        <v>45</v>
      </c>
      <c r="E5205" s="4">
        <v>12</v>
      </c>
      <c r="F5205" s="4">
        <v>6168.07</v>
      </c>
      <c r="G5205" s="4">
        <v>0.05</v>
      </c>
      <c r="H5205" s="4" t="s">
        <v>31</v>
      </c>
      <c r="I5205" s="6">
        <v>1542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spans="1:21" ht="12" customHeight="1">
      <c r="A5206" s="4">
        <v>4786</v>
      </c>
      <c r="B5206" s="4">
        <v>33987</v>
      </c>
      <c r="C5206" s="5">
        <f>DATE(2012,12,31)-433</f>
        <v>40841</v>
      </c>
      <c r="D5206" s="4" t="s">
        <v>30</v>
      </c>
      <c r="E5206" s="4">
        <v>27</v>
      </c>
      <c r="F5206" s="4">
        <v>1521.1344999999999</v>
      </c>
      <c r="G5206" s="4">
        <v>7.0000000000000007E-2</v>
      </c>
      <c r="H5206" s="4" t="s">
        <v>22</v>
      </c>
      <c r="I5206" s="6">
        <v>270.60300000000001</v>
      </c>
      <c r="J5206" s="4">
        <v>65.989999999999995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spans="1:21" ht="12" customHeight="1">
      <c r="A5207" s="4">
        <v>4814</v>
      </c>
      <c r="B5207" s="4">
        <v>34243</v>
      </c>
      <c r="C5207" s="5">
        <f t="shared" ref="C5207:C5209" si="2192">DATE(2012,12,31)-689</f>
        <v>40585</v>
      </c>
      <c r="D5207" s="4" t="s">
        <v>30</v>
      </c>
      <c r="E5207" s="4">
        <v>10</v>
      </c>
      <c r="F5207" s="4">
        <v>89.04</v>
      </c>
      <c r="G5207" s="4">
        <v>0.08</v>
      </c>
      <c r="H5207" s="4" t="s">
        <v>22</v>
      </c>
      <c r="I5207" s="6">
        <v>-16.489999999999998</v>
      </c>
      <c r="J5207" s="4">
        <v>8.75</v>
      </c>
      <c r="K5207" s="4">
        <v>8.5399999999999991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spans="1:21" ht="12" customHeight="1">
      <c r="A5208" s="4">
        <v>4815</v>
      </c>
      <c r="B5208" s="4">
        <v>34243</v>
      </c>
      <c r="C5208" s="5">
        <f t="shared" si="2192"/>
        <v>40585</v>
      </c>
      <c r="D5208" s="4" t="s">
        <v>30</v>
      </c>
      <c r="E5208" s="4">
        <v>40</v>
      </c>
      <c r="F5208" s="4">
        <v>297.33999999999997</v>
      </c>
      <c r="G5208" s="4">
        <v>0.04</v>
      </c>
      <c r="H5208" s="4" t="s">
        <v>56</v>
      </c>
      <c r="I5208" s="6">
        <v>-270.95999999999998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spans="1:21" ht="12" customHeight="1">
      <c r="A5209" s="4">
        <v>4816</v>
      </c>
      <c r="B5209" s="4">
        <v>34243</v>
      </c>
      <c r="C5209" s="5">
        <f t="shared" si="2192"/>
        <v>40585</v>
      </c>
      <c r="D5209" s="4" t="s">
        <v>30</v>
      </c>
      <c r="E5209" s="4">
        <v>35</v>
      </c>
      <c r="F5209" s="4">
        <v>1264.1300000000001</v>
      </c>
      <c r="G5209" s="4">
        <v>0.02</v>
      </c>
      <c r="H5209" s="4" t="s">
        <v>22</v>
      </c>
      <c r="I5209" s="6">
        <v>-1087.3599999999999</v>
      </c>
      <c r="J5209" s="4">
        <v>35.479999999999997</v>
      </c>
      <c r="K5209" s="4">
        <v>35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3">C5209+2</f>
        <v>40587</v>
      </c>
    </row>
    <row r="5210" spans="1:21" ht="12" customHeight="1">
      <c r="A5210" s="4">
        <v>4825</v>
      </c>
      <c r="B5210" s="4">
        <v>34279</v>
      </c>
      <c r="C5210" s="5">
        <f>DATE(2012,12,31)-278</f>
        <v>40996</v>
      </c>
      <c r="D5210" s="4" t="s">
        <v>45</v>
      </c>
      <c r="E5210" s="4">
        <v>3</v>
      </c>
      <c r="F5210" s="4">
        <v>840.55200000000013</v>
      </c>
      <c r="G5210" s="4">
        <v>0.1</v>
      </c>
      <c r="H5210" s="4" t="s">
        <v>31</v>
      </c>
      <c r="I5210" s="6">
        <v>7.5500000000000114</v>
      </c>
      <c r="J5210" s="4">
        <v>349.45</v>
      </c>
      <c r="K5210" s="4">
        <v>60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3"/>
        <v>40998</v>
      </c>
    </row>
    <row r="5211" spans="1:21" ht="12" customHeight="1">
      <c r="A5211" s="4">
        <v>4837</v>
      </c>
      <c r="B5211" s="4">
        <v>34406</v>
      </c>
      <c r="C5211" s="5">
        <f>DATE(2012,12,31)-94</f>
        <v>41180</v>
      </c>
      <c r="D5211" s="4" t="s">
        <v>63</v>
      </c>
      <c r="E5211" s="4">
        <v>29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spans="1:21" ht="12" customHeight="1">
      <c r="A5212" s="4">
        <v>4861</v>
      </c>
      <c r="B5212" s="4">
        <v>34597</v>
      </c>
      <c r="C5212" s="5">
        <f>DATE(2012,12,31)-746</f>
        <v>40528</v>
      </c>
      <c r="D5212" s="4" t="s">
        <v>63</v>
      </c>
      <c r="E5212" s="4">
        <v>8</v>
      </c>
      <c r="F5212" s="4">
        <v>849.33699999999999</v>
      </c>
      <c r="G5212" s="4">
        <v>7.0000000000000007E-2</v>
      </c>
      <c r="H5212" s="4" t="s">
        <v>56</v>
      </c>
      <c r="I5212" s="6">
        <v>-258.85199999999998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0.57999999999999996</v>
      </c>
      <c r="U5212" s="5">
        <f t="shared" ref="U5212:U5215" si="2194">C5212+2</f>
        <v>40530</v>
      </c>
    </row>
    <row r="5213" spans="1:21" ht="12" customHeight="1">
      <c r="A5213" s="4">
        <v>4914</v>
      </c>
      <c r="B5213" s="4">
        <v>34980</v>
      </c>
      <c r="C5213" s="5">
        <f t="shared" ref="C5213:C5215" si="2195">DATE(2012,12,31)-882</f>
        <v>40392</v>
      </c>
      <c r="D5213" s="4" t="s">
        <v>45</v>
      </c>
      <c r="E5213" s="4">
        <v>7</v>
      </c>
      <c r="F5213" s="4">
        <v>140.77000000000001</v>
      </c>
      <c r="G5213" s="4">
        <v>0.01</v>
      </c>
      <c r="H5213" s="4" t="s">
        <v>22</v>
      </c>
      <c r="I5213" s="6">
        <v>100.77</v>
      </c>
      <c r="J5213" s="4">
        <v>18.649999999999999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4"/>
        <v>40394</v>
      </c>
    </row>
    <row r="5214" spans="1:21" ht="12" customHeight="1">
      <c r="A5214" s="4">
        <v>4915</v>
      </c>
      <c r="B5214" s="4">
        <v>34980</v>
      </c>
      <c r="C5214" s="5">
        <f t="shared" si="2195"/>
        <v>40392</v>
      </c>
      <c r="D5214" s="4" t="s">
        <v>45</v>
      </c>
      <c r="E5214" s="4">
        <v>25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4"/>
        <v>40394</v>
      </c>
    </row>
    <row r="5215" spans="1:21" ht="12" customHeight="1">
      <c r="A5215" s="4">
        <v>4916</v>
      </c>
      <c r="B5215" s="4">
        <v>34980</v>
      </c>
      <c r="C5215" s="5">
        <f t="shared" si="2195"/>
        <v>40392</v>
      </c>
      <c r="D5215" s="4" t="s">
        <v>45</v>
      </c>
      <c r="E5215" s="4">
        <v>12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5.0999999999999996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4"/>
        <v>40394</v>
      </c>
    </row>
    <row r="5216" spans="1:21" ht="12" customHeight="1">
      <c r="A5216" s="4">
        <v>4998</v>
      </c>
      <c r="B5216" s="4">
        <v>35587</v>
      </c>
      <c r="C5216" s="5">
        <f>DATE(2012,12,31)-417</f>
        <v>40857</v>
      </c>
      <c r="D5216" s="4" t="s">
        <v>78</v>
      </c>
      <c r="E5216" s="4">
        <v>43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spans="1:21" ht="12" customHeight="1">
      <c r="A5217" s="4">
        <v>5014</v>
      </c>
      <c r="B5217" s="4">
        <v>35780</v>
      </c>
      <c r="C5217" s="5">
        <f>DATE(2012,12,31)-714</f>
        <v>40560</v>
      </c>
      <c r="D5217" s="4" t="s">
        <v>63</v>
      </c>
      <c r="E5217" s="4">
        <v>6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0.57999999999999996</v>
      </c>
      <c r="U5217" s="5">
        <f>C5217+2</f>
        <v>40562</v>
      </c>
    </row>
    <row r="5218" spans="1:21" ht="12" customHeight="1">
      <c r="A5218" s="4">
        <v>5024</v>
      </c>
      <c r="B5218" s="4">
        <v>35814</v>
      </c>
      <c r="C5218" s="5">
        <f>DATE(2012,12,31)-279</f>
        <v>40995</v>
      </c>
      <c r="D5218" s="4" t="s">
        <v>30</v>
      </c>
      <c r="E5218" s="4">
        <v>11</v>
      </c>
      <c r="F5218" s="4">
        <v>324.52</v>
      </c>
      <c r="G5218" s="4">
        <v>0.08</v>
      </c>
      <c r="H5218" s="4" t="s">
        <v>22</v>
      </c>
      <c r="I5218" s="6">
        <v>154.02000000000001</v>
      </c>
      <c r="J5218" s="4">
        <v>29.18</v>
      </c>
      <c r="K5218" s="4">
        <v>8.5500000000000007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spans="1:21" ht="12" customHeight="1">
      <c r="A5219" s="4">
        <v>5044</v>
      </c>
      <c r="B5219" s="4">
        <v>35938</v>
      </c>
      <c r="C5219" s="5">
        <f t="shared" ref="C5219:C5220" si="2196">DATE(2012,12,31)-44</f>
        <v>41230</v>
      </c>
      <c r="D5219" s="4" t="s">
        <v>45</v>
      </c>
      <c r="E5219" s="4">
        <v>6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spans="1:21" ht="12" customHeight="1">
      <c r="A5220" s="4">
        <v>5045</v>
      </c>
      <c r="B5220" s="4">
        <v>35938</v>
      </c>
      <c r="C5220" s="5">
        <f t="shared" si="2196"/>
        <v>41230</v>
      </c>
      <c r="D5220" s="4" t="s">
        <v>45</v>
      </c>
      <c r="E5220" s="4">
        <v>48</v>
      </c>
      <c r="F5220" s="4">
        <v>628.33000000000004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9.3699999999999992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0.56000000000000005</v>
      </c>
      <c r="U5220" s="5">
        <f>C5220+1</f>
        <v>41231</v>
      </c>
    </row>
    <row r="5221" spans="1:21" ht="12" customHeight="1">
      <c r="A5221" s="4">
        <v>5047</v>
      </c>
      <c r="B5221" s="4">
        <v>35968</v>
      </c>
      <c r="C5221" s="5">
        <f>DATE(2012,12,31)-303</f>
        <v>40971</v>
      </c>
      <c r="D5221" s="4" t="s">
        <v>45</v>
      </c>
      <c r="E5221" s="4">
        <v>21</v>
      </c>
      <c r="F5221" s="4">
        <v>141.19999999999999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spans="1:21" ht="12" customHeight="1">
      <c r="A5222" s="4">
        <v>5076</v>
      </c>
      <c r="B5222" s="4">
        <v>36160</v>
      </c>
      <c r="C5222" s="5">
        <f>DATE(2012,12,31)-39</f>
        <v>41235</v>
      </c>
      <c r="D5222" s="4" t="s">
        <v>21</v>
      </c>
      <c r="E5222" s="4">
        <v>12</v>
      </c>
      <c r="F5222" s="4">
        <v>2218.8910000000001</v>
      </c>
      <c r="G5222" s="4">
        <v>0</v>
      </c>
      <c r="H5222" s="4" t="s">
        <v>56</v>
      </c>
      <c r="I5222" s="6">
        <v>79.542000000000002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0.56000000000000005</v>
      </c>
      <c r="U5222" s="5">
        <f>C5222+7</f>
        <v>41242</v>
      </c>
    </row>
    <row r="5223" spans="1:21" ht="12" customHeight="1">
      <c r="A5223" s="4">
        <v>5079</v>
      </c>
      <c r="B5223" s="4">
        <v>36196</v>
      </c>
      <c r="C5223" s="5">
        <f>DATE(2012,12,31)-513</f>
        <v>40761</v>
      </c>
      <c r="D5223" s="4" t="s">
        <v>45</v>
      </c>
      <c r="E5223" s="4">
        <v>7</v>
      </c>
      <c r="F5223" s="4">
        <v>39.01</v>
      </c>
      <c r="G5223" s="4">
        <v>7.0000000000000007E-2</v>
      </c>
      <c r="H5223" s="4" t="s">
        <v>22</v>
      </c>
      <c r="I5223" s="6">
        <v>-38.44</v>
      </c>
      <c r="J5223" s="4">
        <v>4.9800000000000004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7">C5223+2</f>
        <v>40763</v>
      </c>
    </row>
    <row r="5224" spans="1:21" ht="12" customHeight="1">
      <c r="A5224" s="4">
        <v>5101</v>
      </c>
      <c r="B5224" s="4">
        <v>36356</v>
      </c>
      <c r="C5224" s="5">
        <f t="shared" ref="C5224:C5225" si="2198">DATE(2012,12,31)-372</f>
        <v>40902</v>
      </c>
      <c r="D5224" s="4" t="s">
        <v>63</v>
      </c>
      <c r="E5224" s="4">
        <v>45</v>
      </c>
      <c r="F5224" s="4">
        <v>4768.59</v>
      </c>
      <c r="G5224" s="4">
        <v>0.01</v>
      </c>
      <c r="H5224" s="4" t="s">
        <v>31</v>
      </c>
      <c r="I5224" s="6">
        <v>-593.79999999999995</v>
      </c>
      <c r="J5224" s="4">
        <v>100.98</v>
      </c>
      <c r="K5224" s="4">
        <v>45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7"/>
        <v>40904</v>
      </c>
    </row>
    <row r="5225" spans="1:21" ht="12" customHeight="1">
      <c r="A5225" s="4">
        <v>5102</v>
      </c>
      <c r="B5225" s="4">
        <v>36356</v>
      </c>
      <c r="C5225" s="5">
        <f t="shared" si="2198"/>
        <v>40902</v>
      </c>
      <c r="D5225" s="4" t="s">
        <v>63</v>
      </c>
      <c r="E5225" s="4">
        <v>33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7"/>
        <v>40904</v>
      </c>
    </row>
    <row r="5226" spans="1:21" ht="12" customHeight="1">
      <c r="A5226" s="4">
        <v>5159</v>
      </c>
      <c r="B5226" s="4">
        <v>36737</v>
      </c>
      <c r="C5226" s="5">
        <f t="shared" ref="C5226:C5227" si="2199">DATE(2012,12,31)-1022</f>
        <v>40252</v>
      </c>
      <c r="D5226" s="4" t="s">
        <v>45</v>
      </c>
      <c r="E5226" s="4">
        <v>10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19.989999999999998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0">C5226+1</f>
        <v>40253</v>
      </c>
    </row>
    <row r="5227" spans="1:21" ht="12" customHeight="1">
      <c r="A5227" s="4">
        <v>5160</v>
      </c>
      <c r="B5227" s="4">
        <v>36737</v>
      </c>
      <c r="C5227" s="5">
        <f t="shared" si="2199"/>
        <v>40252</v>
      </c>
      <c r="D5227" s="4" t="s">
        <v>45</v>
      </c>
      <c r="E5227" s="4">
        <v>10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0.56000000000000005</v>
      </c>
      <c r="U5227" s="5">
        <f t="shared" si="2200"/>
        <v>40253</v>
      </c>
    </row>
    <row r="5228" spans="1:21" ht="12" customHeight="1">
      <c r="A5228" s="4">
        <v>5177</v>
      </c>
      <c r="B5228" s="4">
        <v>36832</v>
      </c>
      <c r="C5228" s="5">
        <f t="shared" ref="C5228:C5229" si="2201">DATE(2012,12,31)-213</f>
        <v>41061</v>
      </c>
      <c r="D5228" s="4" t="s">
        <v>21</v>
      </c>
      <c r="E5228" s="4">
        <v>43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spans="1:21" ht="12" customHeight="1">
      <c r="A5229" s="4">
        <v>5178</v>
      </c>
      <c r="B5229" s="4">
        <v>36832</v>
      </c>
      <c r="C5229" s="5">
        <f t="shared" si="2201"/>
        <v>41061</v>
      </c>
      <c r="D5229" s="4" t="s">
        <v>21</v>
      </c>
      <c r="E5229" s="4">
        <v>24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0.55000000000000004</v>
      </c>
      <c r="U5229" s="5">
        <f>C5229+5</f>
        <v>41066</v>
      </c>
    </row>
    <row r="5230" spans="1:21" ht="12" customHeight="1">
      <c r="A5230" s="4">
        <v>5184</v>
      </c>
      <c r="B5230" s="4">
        <v>36836</v>
      </c>
      <c r="C5230" s="5">
        <f>DATE(2012,12,31)-1039</f>
        <v>40235</v>
      </c>
      <c r="D5230" s="4" t="s">
        <v>63</v>
      </c>
      <c r="E5230" s="4">
        <v>43</v>
      </c>
      <c r="F5230" s="4">
        <v>16116.33</v>
      </c>
      <c r="G5230" s="4">
        <v>0.08</v>
      </c>
      <c r="H5230" s="4" t="s">
        <v>22</v>
      </c>
      <c r="I5230" s="6">
        <v>6919.8670000000002</v>
      </c>
      <c r="J5230" s="4">
        <v>387.99</v>
      </c>
      <c r="K5230" s="4">
        <v>19.989999999999998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spans="1:21" ht="12" customHeight="1">
      <c r="A5231" s="4">
        <v>5231</v>
      </c>
      <c r="B5231" s="4">
        <v>37250</v>
      </c>
      <c r="C5231" s="5">
        <f>DATE(2012,12,31)-1082</f>
        <v>40192</v>
      </c>
      <c r="D5231" s="4" t="s">
        <v>30</v>
      </c>
      <c r="E5231" s="4">
        <v>13</v>
      </c>
      <c r="F5231" s="4">
        <v>473.46</v>
      </c>
      <c r="G5231" s="4">
        <v>0.03</v>
      </c>
      <c r="H5231" s="4" t="s">
        <v>22</v>
      </c>
      <c r="I5231" s="6">
        <v>128.11000000000001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spans="1:21" ht="12" customHeight="1">
      <c r="A5232" s="4">
        <v>5268</v>
      </c>
      <c r="B5232" s="4">
        <v>37505</v>
      </c>
      <c r="C5232" s="5">
        <f t="shared" ref="C5232:C5234" si="2202">DATE(2012,12,31)-577</f>
        <v>40697</v>
      </c>
      <c r="D5232" s="4" t="s">
        <v>21</v>
      </c>
      <c r="E5232" s="4">
        <v>1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3">C5232+2</f>
        <v>40699</v>
      </c>
    </row>
    <row r="5233" spans="1:21" ht="12" customHeight="1">
      <c r="A5233" s="4">
        <v>5269</v>
      </c>
      <c r="B5233" s="4">
        <v>37505</v>
      </c>
      <c r="C5233" s="5">
        <f t="shared" si="2202"/>
        <v>40697</v>
      </c>
      <c r="D5233" s="4" t="s">
        <v>21</v>
      </c>
      <c r="E5233" s="4">
        <v>9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3"/>
        <v>40699</v>
      </c>
    </row>
    <row r="5234" spans="1:21" ht="12" customHeight="1">
      <c r="A5234" s="4">
        <v>5270</v>
      </c>
      <c r="B5234" s="4">
        <v>37505</v>
      </c>
      <c r="C5234" s="5">
        <f t="shared" si="2202"/>
        <v>40697</v>
      </c>
      <c r="D5234" s="4" t="s">
        <v>21</v>
      </c>
      <c r="E5234" s="4">
        <v>42</v>
      </c>
      <c r="F5234" s="4">
        <v>384.41</v>
      </c>
      <c r="G5234" s="4">
        <v>0.05</v>
      </c>
      <c r="H5234" s="4" t="s">
        <v>22</v>
      </c>
      <c r="I5234" s="6">
        <v>-44.300400000000003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spans="1:21" ht="12" customHeight="1">
      <c r="A5235" s="4">
        <v>5283</v>
      </c>
      <c r="B5235" s="4">
        <v>37606</v>
      </c>
      <c r="C5235" s="5">
        <f t="shared" ref="C5235:C5237" si="2204">DATE(2012,12,31)-1043</f>
        <v>40231</v>
      </c>
      <c r="D5235" s="4" t="s">
        <v>78</v>
      </c>
      <c r="E5235" s="4">
        <v>1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4.9800000000000004</v>
      </c>
      <c r="K5235" s="4">
        <v>4.8600000000000003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spans="1:21" ht="12" customHeight="1">
      <c r="A5236" s="4">
        <v>5284</v>
      </c>
      <c r="B5236" s="4">
        <v>37606</v>
      </c>
      <c r="C5236" s="5">
        <f t="shared" si="2204"/>
        <v>40231</v>
      </c>
      <c r="D5236" s="4" t="s">
        <v>78</v>
      </c>
      <c r="E5236" s="4">
        <v>41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5">C5236+2</f>
        <v>40233</v>
      </c>
    </row>
    <row r="5237" spans="1:21" ht="12" customHeight="1">
      <c r="A5237" s="4">
        <v>5285</v>
      </c>
      <c r="B5237" s="4">
        <v>37606</v>
      </c>
      <c r="C5237" s="5">
        <f t="shared" si="2204"/>
        <v>40231</v>
      </c>
      <c r="D5237" s="4" t="s">
        <v>78</v>
      </c>
      <c r="E5237" s="4">
        <v>21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0.56000000000000005</v>
      </c>
      <c r="U5237" s="5">
        <f t="shared" si="2205"/>
        <v>40233</v>
      </c>
    </row>
    <row r="5238" spans="1:21" ht="12" customHeight="1">
      <c r="A5238" s="4">
        <v>5289</v>
      </c>
      <c r="B5238" s="4">
        <v>37668</v>
      </c>
      <c r="C5238" s="5">
        <f>DATE(2012,12,31)-1088</f>
        <v>40186</v>
      </c>
      <c r="D5238" s="4" t="s">
        <v>21</v>
      </c>
      <c r="E5238" s="4">
        <v>33</v>
      </c>
      <c r="F5238" s="4">
        <v>478.27</v>
      </c>
      <c r="G5238" s="4">
        <v>0.01</v>
      </c>
      <c r="H5238" s="4" t="s">
        <v>22</v>
      </c>
      <c r="I5238" s="6">
        <v>-4.8459000000000003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spans="1:21" ht="12" customHeight="1">
      <c r="A5239" s="4">
        <v>5343</v>
      </c>
      <c r="B5239" s="4">
        <v>37957</v>
      </c>
      <c r="C5239" s="5">
        <f>DATE(2012,12,31)-787</f>
        <v>40487</v>
      </c>
      <c r="D5239" s="4" t="s">
        <v>45</v>
      </c>
      <c r="E5239" s="4">
        <v>31</v>
      </c>
      <c r="F5239" s="4">
        <v>229.26</v>
      </c>
      <c r="G5239" s="4">
        <v>0</v>
      </c>
      <c r="H5239" s="4" t="s">
        <v>22</v>
      </c>
      <c r="I5239" s="6">
        <v>-37.202500000000001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6">C5239+1</f>
        <v>40488</v>
      </c>
    </row>
    <row r="5240" spans="1:21" ht="12" customHeight="1">
      <c r="A5240" s="4">
        <v>5404</v>
      </c>
      <c r="B5240" s="4">
        <v>38406</v>
      </c>
      <c r="C5240" s="5">
        <f>DATE(2012,12,31)-760</f>
        <v>40514</v>
      </c>
      <c r="D5240" s="4" t="s">
        <v>63</v>
      </c>
      <c r="E5240" s="4">
        <v>12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6"/>
        <v>40515</v>
      </c>
    </row>
    <row r="5241" spans="1:21" ht="12" customHeight="1">
      <c r="A5241" s="4">
        <v>5444</v>
      </c>
      <c r="B5241" s="4">
        <v>38657</v>
      </c>
      <c r="C5241" s="5">
        <f>DATE(2012,12,31)-948</f>
        <v>40326</v>
      </c>
      <c r="D5241" s="4" t="s">
        <v>45</v>
      </c>
      <c r="E5241" s="4">
        <v>38</v>
      </c>
      <c r="F5241" s="4">
        <v>1279.25</v>
      </c>
      <c r="G5241" s="4">
        <v>0.01</v>
      </c>
      <c r="H5241" s="4" t="s">
        <v>22</v>
      </c>
      <c r="I5241" s="6">
        <v>569.29999999999995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6"/>
        <v>40327</v>
      </c>
    </row>
    <row r="5242" spans="1:21" ht="12" customHeight="1">
      <c r="A5242" s="4">
        <v>5466</v>
      </c>
      <c r="B5242" s="4">
        <v>38850</v>
      </c>
      <c r="C5242" s="5">
        <f>DATE(2012,12,31)-977</f>
        <v>40297</v>
      </c>
      <c r="D5242" s="4" t="s">
        <v>63</v>
      </c>
      <c r="E5242" s="4">
        <v>34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spans="1:21" ht="12" customHeight="1">
      <c r="A5243" s="4">
        <v>5488</v>
      </c>
      <c r="B5243" s="4">
        <v>38948</v>
      </c>
      <c r="C5243" s="5">
        <f t="shared" ref="C5243:C5244" si="2207">DATE(2012,12,31)-575</f>
        <v>40699</v>
      </c>
      <c r="D5243" s="4" t="s">
        <v>45</v>
      </c>
      <c r="E5243" s="4">
        <v>9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8">C5243+1</f>
        <v>40700</v>
      </c>
    </row>
    <row r="5244" spans="1:21" ht="12" customHeight="1">
      <c r="A5244" s="4">
        <v>5489</v>
      </c>
      <c r="B5244" s="4">
        <v>38948</v>
      </c>
      <c r="C5244" s="5">
        <f t="shared" si="2207"/>
        <v>40699</v>
      </c>
      <c r="D5244" s="4" t="s">
        <v>45</v>
      </c>
      <c r="E5244" s="4">
        <v>44</v>
      </c>
      <c r="F5244" s="4">
        <v>6862.2370000000001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0.56999999999999995</v>
      </c>
      <c r="U5244" s="5">
        <f t="shared" si="2208"/>
        <v>40700</v>
      </c>
    </row>
    <row r="5245" spans="1:21" ht="12" customHeight="1">
      <c r="A5245" s="4">
        <v>5505</v>
      </c>
      <c r="B5245" s="4">
        <v>39041</v>
      </c>
      <c r="C5245" s="5">
        <f t="shared" ref="C5245:C5246" si="2209">DATE(2012,12,31)-432</f>
        <v>40842</v>
      </c>
      <c r="D5245" s="4" t="s">
        <v>78</v>
      </c>
      <c r="E5245" s="4">
        <v>47</v>
      </c>
      <c r="F5245" s="4">
        <v>418.03</v>
      </c>
      <c r="G5245" s="4">
        <v>0</v>
      </c>
      <c r="H5245" s="4" t="s">
        <v>56</v>
      </c>
      <c r="I5245" s="6">
        <v>-158.58000000000001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spans="1:21" ht="12" customHeight="1">
      <c r="A5246" s="4">
        <v>5506</v>
      </c>
      <c r="B5246" s="4">
        <v>39041</v>
      </c>
      <c r="C5246" s="5">
        <f t="shared" si="2209"/>
        <v>40842</v>
      </c>
      <c r="D5246" s="4" t="s">
        <v>78</v>
      </c>
      <c r="E5246" s="4">
        <v>23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0">C5246+2</f>
        <v>40844</v>
      </c>
    </row>
    <row r="5247" spans="1:21" ht="12" customHeight="1">
      <c r="A5247" s="4">
        <v>5535</v>
      </c>
      <c r="B5247" s="4">
        <v>39232</v>
      </c>
      <c r="C5247" s="5">
        <f t="shared" ref="C5247:C5248" si="2211">DATE(2012,12,31)-538</f>
        <v>40736</v>
      </c>
      <c r="D5247" s="4" t="s">
        <v>21</v>
      </c>
      <c r="E5247" s="4">
        <v>11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19.989999999999998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0"/>
        <v>40738</v>
      </c>
    </row>
    <row r="5248" spans="1:21" ht="12" customHeight="1">
      <c r="A5248" s="4">
        <v>5536</v>
      </c>
      <c r="B5248" s="4">
        <v>39232</v>
      </c>
      <c r="C5248" s="5">
        <f t="shared" si="2211"/>
        <v>40736</v>
      </c>
      <c r="D5248" s="4" t="s">
        <v>21</v>
      </c>
      <c r="E5248" s="4">
        <v>26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spans="1:21" ht="12" customHeight="1">
      <c r="A5249" s="4">
        <v>5586</v>
      </c>
      <c r="B5249" s="4">
        <v>39617</v>
      </c>
      <c r="C5249" s="5">
        <f t="shared" ref="C5249:C5250" si="2212">DATE(2012,12,31)-380</f>
        <v>40894</v>
      </c>
      <c r="D5249" s="4" t="s">
        <v>45</v>
      </c>
      <c r="E5249" s="4">
        <v>33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39.979999999999997</v>
      </c>
      <c r="K5249" s="4">
        <v>9.1999999999999993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3">C5249+2</f>
        <v>40896</v>
      </c>
    </row>
    <row r="5250" spans="1:21" ht="12" customHeight="1">
      <c r="A5250" s="4">
        <v>5587</v>
      </c>
      <c r="B5250" s="4">
        <v>39617</v>
      </c>
      <c r="C5250" s="5">
        <f t="shared" si="2212"/>
        <v>40894</v>
      </c>
      <c r="D5250" s="4" t="s">
        <v>45</v>
      </c>
      <c r="E5250" s="4">
        <v>28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0.55000000000000004</v>
      </c>
      <c r="U5250" s="5">
        <f t="shared" si="2213"/>
        <v>40896</v>
      </c>
    </row>
    <row r="5251" spans="1:21" ht="12" customHeight="1">
      <c r="A5251" s="4">
        <v>5595</v>
      </c>
      <c r="B5251" s="4">
        <v>39654</v>
      </c>
      <c r="C5251" s="5">
        <f>DATE(2012,12,31)-92</f>
        <v>41182</v>
      </c>
      <c r="D5251" s="4" t="s">
        <v>63</v>
      </c>
      <c r="E5251" s="4">
        <v>39</v>
      </c>
      <c r="F5251" s="4">
        <v>856.15</v>
      </c>
      <c r="G5251" s="4">
        <v>0.03</v>
      </c>
      <c r="H5251" s="4" t="s">
        <v>56</v>
      </c>
      <c r="I5251" s="6">
        <v>330.02949999999998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spans="1:21" ht="12" customHeight="1">
      <c r="A5252" s="4">
        <v>5618</v>
      </c>
      <c r="B5252" s="4">
        <v>39808</v>
      </c>
      <c r="C5252" s="5">
        <f t="shared" ref="C5252:C5253" si="2214">DATE(2012,12,31)-120</f>
        <v>41154</v>
      </c>
      <c r="D5252" s="4" t="s">
        <v>21</v>
      </c>
      <c r="E5252" s="4">
        <v>50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39.979999999999997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spans="1:21" ht="12" customHeight="1">
      <c r="A5253" s="4">
        <v>5619</v>
      </c>
      <c r="B5253" s="4">
        <v>39808</v>
      </c>
      <c r="C5253" s="5">
        <f t="shared" si="2214"/>
        <v>41154</v>
      </c>
      <c r="D5253" s="4" t="s">
        <v>21</v>
      </c>
      <c r="E5253" s="4">
        <v>31</v>
      </c>
      <c r="F5253" s="4">
        <v>3413.4555</v>
      </c>
      <c r="G5253" s="4">
        <v>0.03</v>
      </c>
      <c r="H5253" s="4" t="s">
        <v>22</v>
      </c>
      <c r="I5253" s="6">
        <v>868.47299999999996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spans="1:21" ht="12" customHeight="1">
      <c r="A5254" s="4">
        <v>5623</v>
      </c>
      <c r="B5254" s="4">
        <v>39841</v>
      </c>
      <c r="C5254" s="5">
        <f>DATE(2012,12,31)-1095</f>
        <v>40179</v>
      </c>
      <c r="D5254" s="4" t="s">
        <v>63</v>
      </c>
      <c r="E5254" s="4">
        <v>43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spans="1:21" ht="12" customHeight="1">
      <c r="A5255" s="4">
        <v>5630</v>
      </c>
      <c r="B5255" s="4">
        <v>39847</v>
      </c>
      <c r="C5255" s="5">
        <f t="shared" ref="C5255:C5257" si="2215">DATE(2012,12,31)-1002</f>
        <v>40272</v>
      </c>
      <c r="D5255" s="4" t="s">
        <v>45</v>
      </c>
      <c r="E5255" s="4">
        <v>29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6">C5255+1</f>
        <v>40273</v>
      </c>
    </row>
    <row r="5256" spans="1:21" ht="12" customHeight="1">
      <c r="A5256" s="4">
        <v>5631</v>
      </c>
      <c r="B5256" s="4">
        <v>39847</v>
      </c>
      <c r="C5256" s="5">
        <f t="shared" si="2215"/>
        <v>40272</v>
      </c>
      <c r="D5256" s="4" t="s">
        <v>45</v>
      </c>
      <c r="E5256" s="4">
        <v>49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6"/>
        <v>40273</v>
      </c>
    </row>
    <row r="5257" spans="1:21" ht="12" customHeight="1">
      <c r="A5257" s="4">
        <v>5632</v>
      </c>
      <c r="B5257" s="4">
        <v>39847</v>
      </c>
      <c r="C5257" s="5">
        <f t="shared" si="2215"/>
        <v>40272</v>
      </c>
      <c r="D5257" s="4" t="s">
        <v>45</v>
      </c>
      <c r="E5257" s="4">
        <v>20</v>
      </c>
      <c r="F5257" s="4">
        <v>2488.4769999999999</v>
      </c>
      <c r="G5257" s="4">
        <v>0.08</v>
      </c>
      <c r="H5257" s="4" t="s">
        <v>22</v>
      </c>
      <c r="I5257" s="6">
        <v>142.55099999999999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0.57999999999999996</v>
      </c>
      <c r="U5257" s="5">
        <f>C5257+2</f>
        <v>40274</v>
      </c>
    </row>
    <row r="5258" spans="1:21" ht="12" customHeight="1">
      <c r="A5258" s="4">
        <v>5641</v>
      </c>
      <c r="B5258" s="4">
        <v>39907</v>
      </c>
      <c r="C5258" s="5">
        <f>DATE(2012,12,31)-855</f>
        <v>40419</v>
      </c>
      <c r="D5258" s="4" t="s">
        <v>21</v>
      </c>
      <c r="E5258" s="4">
        <v>12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spans="1:21" ht="12" customHeight="1">
      <c r="A5259" s="4">
        <v>5663</v>
      </c>
      <c r="B5259" s="4">
        <v>40068</v>
      </c>
      <c r="C5259" s="5">
        <f t="shared" ref="C5259:C5261" si="2217">DATE(2012,12,31)-986</f>
        <v>40288</v>
      </c>
      <c r="D5259" s="4" t="s">
        <v>21</v>
      </c>
      <c r="E5259" s="4">
        <v>1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160.97999999999999</v>
      </c>
      <c r="K5259" s="4">
        <v>30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spans="1:21" ht="12" customHeight="1">
      <c r="A5260" s="4">
        <v>5664</v>
      </c>
      <c r="B5260" s="4">
        <v>40068</v>
      </c>
      <c r="C5260" s="5">
        <f t="shared" si="2217"/>
        <v>40288</v>
      </c>
      <c r="D5260" s="4" t="s">
        <v>21</v>
      </c>
      <c r="E5260" s="4">
        <v>2</v>
      </c>
      <c r="F5260" s="4">
        <v>128.52000000000001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spans="1:21" ht="12" customHeight="1">
      <c r="A5261" s="4">
        <v>5665</v>
      </c>
      <c r="B5261" s="4">
        <v>40068</v>
      </c>
      <c r="C5261" s="5">
        <f t="shared" si="2217"/>
        <v>40288</v>
      </c>
      <c r="D5261" s="4" t="s">
        <v>21</v>
      </c>
      <c r="E5261" s="4">
        <v>24</v>
      </c>
      <c r="F5261" s="4">
        <v>6717.7839999999997</v>
      </c>
      <c r="G5261" s="4">
        <v>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spans="1:21" ht="12" customHeight="1">
      <c r="A5262" s="4">
        <v>5710</v>
      </c>
      <c r="B5262" s="4">
        <v>40420</v>
      </c>
      <c r="C5262" s="5">
        <f t="shared" ref="C5262:C5263" si="2218">DATE(2012,12,31)-721</f>
        <v>40553</v>
      </c>
      <c r="D5262" s="4" t="s">
        <v>30</v>
      </c>
      <c r="E5262" s="4">
        <v>22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19">C5262+2</f>
        <v>40555</v>
      </c>
    </row>
    <row r="5263" spans="1:21" ht="12" customHeight="1">
      <c r="A5263" s="4">
        <v>5711</v>
      </c>
      <c r="B5263" s="4">
        <v>40420</v>
      </c>
      <c r="C5263" s="5">
        <f t="shared" si="2218"/>
        <v>40553</v>
      </c>
      <c r="D5263" s="4" t="s">
        <v>30</v>
      </c>
      <c r="E5263" s="4">
        <v>50</v>
      </c>
      <c r="F5263" s="4">
        <v>886.36299999999994</v>
      </c>
      <c r="G5263" s="4">
        <v>0.08</v>
      </c>
      <c r="H5263" s="4" t="s">
        <v>22</v>
      </c>
      <c r="I5263" s="6">
        <v>450.01799999999997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19"/>
        <v>40555</v>
      </c>
    </row>
    <row r="5264" spans="1:21" ht="12" customHeight="1">
      <c r="A5264" s="4">
        <v>5800</v>
      </c>
      <c r="B5264" s="4">
        <v>41152</v>
      </c>
      <c r="C5264" s="5">
        <f t="shared" ref="C5264:C5265" si="2220">DATE(2012,12,31)-485</f>
        <v>40789</v>
      </c>
      <c r="D5264" s="4" t="s">
        <v>30</v>
      </c>
      <c r="E5264" s="4">
        <v>49</v>
      </c>
      <c r="F5264" s="4">
        <v>3702.92</v>
      </c>
      <c r="G5264" s="4">
        <v>0.03</v>
      </c>
      <c r="H5264" s="4" t="s">
        <v>22</v>
      </c>
      <c r="I5264" s="6">
        <v>541.91999999999996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spans="1:21" ht="12" customHeight="1">
      <c r="A5265" s="4">
        <v>5801</v>
      </c>
      <c r="B5265" s="4">
        <v>41152</v>
      </c>
      <c r="C5265" s="5">
        <f t="shared" si="2220"/>
        <v>40789</v>
      </c>
      <c r="D5265" s="4" t="s">
        <v>30</v>
      </c>
      <c r="E5265" s="4">
        <v>29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1">C5265+2</f>
        <v>40791</v>
      </c>
    </row>
    <row r="5266" spans="1:21" ht="12" customHeight="1">
      <c r="A5266" s="4">
        <v>5804</v>
      </c>
      <c r="B5266" s="4">
        <v>41157</v>
      </c>
      <c r="C5266" s="5">
        <f>DATE(2012,12,31)-625</f>
        <v>40649</v>
      </c>
      <c r="D5266" s="4" t="s">
        <v>63</v>
      </c>
      <c r="E5266" s="4">
        <v>39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1"/>
        <v>40651</v>
      </c>
    </row>
    <row r="5267" spans="1:21" ht="12" customHeight="1">
      <c r="A5267" s="4">
        <v>5826</v>
      </c>
      <c r="B5267" s="4">
        <v>41349</v>
      </c>
      <c r="C5267" s="5">
        <f t="shared" ref="C5267:C5269" si="2222">DATE(2012,12,31)-380</f>
        <v>40894</v>
      </c>
      <c r="D5267" s="4" t="s">
        <v>78</v>
      </c>
      <c r="E5267" s="4">
        <v>44</v>
      </c>
      <c r="F5267" s="4">
        <v>346.2</v>
      </c>
      <c r="G5267" s="4">
        <v>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spans="1:21" ht="12" customHeight="1">
      <c r="A5268" s="4">
        <v>5827</v>
      </c>
      <c r="B5268" s="4">
        <v>41349</v>
      </c>
      <c r="C5268" s="5">
        <f t="shared" si="2222"/>
        <v>40894</v>
      </c>
      <c r="D5268" s="4" t="s">
        <v>78</v>
      </c>
      <c r="E5268" s="4">
        <v>4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20.239999999999998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3">C5268+2</f>
        <v>40896</v>
      </c>
    </row>
    <row r="5269" spans="1:21" ht="12" customHeight="1">
      <c r="A5269" s="4">
        <v>5828</v>
      </c>
      <c r="B5269" s="4">
        <v>41349</v>
      </c>
      <c r="C5269" s="5">
        <f t="shared" si="2222"/>
        <v>40894</v>
      </c>
      <c r="D5269" s="4" t="s">
        <v>78</v>
      </c>
      <c r="E5269" s="4">
        <v>39</v>
      </c>
      <c r="F5269" s="4">
        <v>475.52</v>
      </c>
      <c r="G5269" s="4">
        <v>7.0000000000000007E-2</v>
      </c>
      <c r="H5269" s="4" t="s">
        <v>22</v>
      </c>
      <c r="I5269" s="6">
        <v>-70.430000000000007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0.56999999999999995</v>
      </c>
      <c r="U5269" s="5">
        <f t="shared" si="2223"/>
        <v>40896</v>
      </c>
    </row>
    <row r="5270" spans="1:21" ht="12" customHeight="1">
      <c r="A5270" s="4">
        <v>5850</v>
      </c>
      <c r="B5270" s="4">
        <v>41539</v>
      </c>
      <c r="C5270" s="5">
        <f t="shared" ref="C5270:C5271" si="2224">DATE(2012,12,31)-608</f>
        <v>40666</v>
      </c>
      <c r="D5270" s="4" t="s">
        <v>30</v>
      </c>
      <c r="E5270" s="4">
        <v>24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3"/>
        <v>40668</v>
      </c>
    </row>
    <row r="5271" spans="1:21" ht="12" customHeight="1">
      <c r="A5271" s="4">
        <v>5851</v>
      </c>
      <c r="B5271" s="4">
        <v>41539</v>
      </c>
      <c r="C5271" s="5">
        <f t="shared" si="2224"/>
        <v>40666</v>
      </c>
      <c r="D5271" s="4" t="s">
        <v>30</v>
      </c>
      <c r="E5271" s="4">
        <v>41</v>
      </c>
      <c r="F5271" s="4">
        <v>2303.7125000000001</v>
      </c>
      <c r="G5271" s="4">
        <v>0.04</v>
      </c>
      <c r="H5271" s="4" t="s">
        <v>22</v>
      </c>
      <c r="I5271" s="6">
        <v>398.22300000000001</v>
      </c>
      <c r="J5271" s="4">
        <v>65.989999999999995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0.57999999999999996</v>
      </c>
      <c r="U5271" s="5">
        <f>C5271+1</f>
        <v>40667</v>
      </c>
    </row>
    <row r="5272" spans="1:21" ht="12" customHeight="1">
      <c r="A5272" s="4">
        <v>5859</v>
      </c>
      <c r="B5272" s="4">
        <v>41574</v>
      </c>
      <c r="C5272" s="5">
        <f>DATE(2012,12,31)-833</f>
        <v>40441</v>
      </c>
      <c r="D5272" s="4" t="s">
        <v>30</v>
      </c>
      <c r="E5272" s="4">
        <v>23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5">C5272+2</f>
        <v>40443</v>
      </c>
    </row>
    <row r="5273" spans="1:21" ht="12" customHeight="1">
      <c r="A5273" s="4">
        <v>5902</v>
      </c>
      <c r="B5273" s="4">
        <v>41831</v>
      </c>
      <c r="C5273" s="5">
        <f t="shared" ref="C5273:C5274" si="2226">DATE(2012,12,31)-163</f>
        <v>41111</v>
      </c>
      <c r="D5273" s="4" t="s">
        <v>45</v>
      </c>
      <c r="E5273" s="4">
        <v>43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5"/>
        <v>41113</v>
      </c>
    </row>
    <row r="5274" spans="1:21" ht="12" customHeight="1">
      <c r="A5274" s="4">
        <v>5903</v>
      </c>
      <c r="B5274" s="4">
        <v>41831</v>
      </c>
      <c r="C5274" s="5">
        <f t="shared" si="2226"/>
        <v>41111</v>
      </c>
      <c r="D5274" s="4" t="s">
        <v>45</v>
      </c>
      <c r="E5274" s="4">
        <v>38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spans="1:21" ht="12" customHeight="1">
      <c r="A5275" s="4">
        <v>5927</v>
      </c>
      <c r="B5275" s="4">
        <v>42054</v>
      </c>
      <c r="C5275" s="5">
        <f>DATE(2012,12,31)-108</f>
        <v>41166</v>
      </c>
      <c r="D5275" s="4" t="s">
        <v>63</v>
      </c>
      <c r="E5275" s="4">
        <v>32</v>
      </c>
      <c r="F5275" s="4">
        <v>94.55</v>
      </c>
      <c r="G5275" s="4">
        <v>0.01</v>
      </c>
      <c r="H5275" s="4" t="s">
        <v>22</v>
      </c>
      <c r="I5275" s="6">
        <v>6.7404999999999999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spans="1:21" ht="12" customHeight="1">
      <c r="A5276" s="4">
        <v>5940</v>
      </c>
      <c r="B5276" s="4">
        <v>42148</v>
      </c>
      <c r="C5276" s="5">
        <f>DATE(2012,12,31)-438</f>
        <v>40836</v>
      </c>
      <c r="D5276" s="4" t="s">
        <v>78</v>
      </c>
      <c r="E5276" s="4">
        <v>11</v>
      </c>
      <c r="F5276" s="4">
        <v>45.31</v>
      </c>
      <c r="G5276" s="4">
        <v>7.0000000000000007E-2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spans="1:21" ht="12" customHeight="1">
      <c r="A5277" s="4">
        <v>5959</v>
      </c>
      <c r="B5277" s="4">
        <v>42306</v>
      </c>
      <c r="C5277" s="5">
        <f>DATE(2012,12,31)-108</f>
        <v>41166</v>
      </c>
      <c r="D5277" s="4" t="s">
        <v>30</v>
      </c>
      <c r="E5277" s="4">
        <v>4</v>
      </c>
      <c r="F5277" s="4">
        <v>36.46</v>
      </c>
      <c r="G5277" s="4">
        <v>0.1</v>
      </c>
      <c r="H5277" s="4" t="s">
        <v>22</v>
      </c>
      <c r="I5277" s="6">
        <v>-7.4060000000000006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spans="1:21" ht="12" customHeight="1">
      <c r="A5278" s="4">
        <v>5991</v>
      </c>
      <c r="B5278" s="4">
        <v>42467</v>
      </c>
      <c r="C5278" s="5">
        <f t="shared" ref="C5278:C5280" si="2227">DATE(2012,12,31)-809</f>
        <v>40465</v>
      </c>
      <c r="D5278" s="4" t="s">
        <v>30</v>
      </c>
      <c r="E5278" s="4">
        <v>10</v>
      </c>
      <c r="F5278" s="4">
        <v>238.88</v>
      </c>
      <c r="G5278" s="4">
        <v>0.01</v>
      </c>
      <c r="H5278" s="4" t="s">
        <v>22</v>
      </c>
      <c r="I5278" s="6">
        <v>-48.207999999999998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spans="1:21" ht="12" customHeight="1">
      <c r="A5279" s="4">
        <v>5992</v>
      </c>
      <c r="B5279" s="4">
        <v>42467</v>
      </c>
      <c r="C5279" s="5">
        <f t="shared" si="2227"/>
        <v>40465</v>
      </c>
      <c r="D5279" s="4" t="s">
        <v>30</v>
      </c>
      <c r="E5279" s="4">
        <v>39</v>
      </c>
      <c r="F5279" s="4">
        <v>1235.29</v>
      </c>
      <c r="G5279" s="4">
        <v>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8">C5279+2</f>
        <v>40467</v>
      </c>
    </row>
    <row r="5280" spans="1:21" ht="12" customHeight="1">
      <c r="A5280" s="4">
        <v>5993</v>
      </c>
      <c r="B5280" s="4">
        <v>42467</v>
      </c>
      <c r="C5280" s="5">
        <f t="shared" si="2227"/>
        <v>40465</v>
      </c>
      <c r="D5280" s="4" t="s">
        <v>30</v>
      </c>
      <c r="E5280" s="4">
        <v>12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8"/>
        <v>40467</v>
      </c>
    </row>
    <row r="5281" spans="1:21" ht="12" customHeight="1">
      <c r="A5281" s="4">
        <v>6005</v>
      </c>
      <c r="B5281" s="4">
        <v>42529</v>
      </c>
      <c r="C5281" s="5">
        <f>DATE(2012,12,31)-813</f>
        <v>40461</v>
      </c>
      <c r="D5281" s="4" t="s">
        <v>21</v>
      </c>
      <c r="E5281" s="4">
        <v>8</v>
      </c>
      <c r="F5281" s="4">
        <v>57.15</v>
      </c>
      <c r="G5281" s="4">
        <v>0.03</v>
      </c>
      <c r="H5281" s="4" t="s">
        <v>22</v>
      </c>
      <c r="I5281" s="6">
        <v>-33.950000000000003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spans="1:21" ht="12" customHeight="1">
      <c r="A5282" s="4">
        <v>6008</v>
      </c>
      <c r="B5282" s="4">
        <v>42563</v>
      </c>
      <c r="C5282" s="5">
        <f>DATE(2012,12,31)-872</f>
        <v>40402</v>
      </c>
      <c r="D5282" s="4" t="s">
        <v>63</v>
      </c>
      <c r="E5282" s="4">
        <v>7</v>
      </c>
      <c r="F5282" s="4">
        <v>44.25</v>
      </c>
      <c r="G5282" s="4">
        <v>7.0000000000000007E-2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spans="1:21" ht="12" customHeight="1">
      <c r="A5283" s="4">
        <v>6011</v>
      </c>
      <c r="B5283" s="4">
        <v>42567</v>
      </c>
      <c r="C5283" s="5">
        <f>DATE(2012,12,31)-1085</f>
        <v>40189</v>
      </c>
      <c r="D5283" s="4" t="s">
        <v>78</v>
      </c>
      <c r="E5283" s="4">
        <v>12</v>
      </c>
      <c r="F5283" s="4">
        <v>1940.32</v>
      </c>
      <c r="G5283" s="4">
        <v>0</v>
      </c>
      <c r="H5283" s="4" t="s">
        <v>31</v>
      </c>
      <c r="I5283" s="6">
        <v>-18.809999999999999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spans="1:21" ht="12" customHeight="1">
      <c r="A5284" s="4">
        <v>6024</v>
      </c>
      <c r="B5284" s="4">
        <v>42691</v>
      </c>
      <c r="C5284" s="5">
        <f t="shared" ref="C5284:C5285" si="2229">DATE(2012,12,31)-952</f>
        <v>40322</v>
      </c>
      <c r="D5284" s="4" t="s">
        <v>21</v>
      </c>
      <c r="E5284" s="4">
        <v>50</v>
      </c>
      <c r="F5284" s="4">
        <v>2447.65</v>
      </c>
      <c r="G5284" s="4">
        <v>0</v>
      </c>
      <c r="H5284" s="4" t="s">
        <v>22</v>
      </c>
      <c r="I5284" s="6">
        <v>1170.3499999999999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spans="1:21" ht="12" customHeight="1">
      <c r="A5285" s="4">
        <v>6025</v>
      </c>
      <c r="B5285" s="4">
        <v>42691</v>
      </c>
      <c r="C5285" s="5">
        <f t="shared" si="2229"/>
        <v>40322</v>
      </c>
      <c r="D5285" s="4" t="s">
        <v>21</v>
      </c>
      <c r="E5285" s="4">
        <v>7</v>
      </c>
      <c r="F5285" s="4">
        <v>1069.6400000000001</v>
      </c>
      <c r="G5285" s="4">
        <v>0.09</v>
      </c>
      <c r="H5285" s="4" t="s">
        <v>22</v>
      </c>
      <c r="I5285" s="6">
        <v>-139.75</v>
      </c>
      <c r="J5285" s="4">
        <v>161.55000000000001</v>
      </c>
      <c r="K5285" s="4">
        <v>19.989999999999998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spans="1:21" ht="12" customHeight="1">
      <c r="A5286" s="4">
        <v>6058</v>
      </c>
      <c r="B5286" s="4">
        <v>42919</v>
      </c>
      <c r="C5286" s="5">
        <f>DATE(2012,12,31)-452</f>
        <v>40822</v>
      </c>
      <c r="D5286" s="4" t="s">
        <v>63</v>
      </c>
      <c r="E5286" s="4">
        <v>7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0.56000000000000005</v>
      </c>
      <c r="U5286" s="5">
        <f>C5286+1</f>
        <v>40823</v>
      </c>
    </row>
    <row r="5287" spans="1:21" ht="12" customHeight="1">
      <c r="A5287" s="4">
        <v>6070</v>
      </c>
      <c r="B5287" s="4">
        <v>43010</v>
      </c>
      <c r="C5287" s="5">
        <f t="shared" ref="C5287:C5288" si="2230">DATE(2012,12,31)-83</f>
        <v>41191</v>
      </c>
      <c r="D5287" s="4" t="s">
        <v>78</v>
      </c>
      <c r="E5287" s="4">
        <v>40</v>
      </c>
      <c r="F5287" s="4">
        <v>233.2</v>
      </c>
      <c r="G5287" s="4">
        <v>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spans="1:21" ht="12" customHeight="1">
      <c r="A5288" s="4">
        <v>6071</v>
      </c>
      <c r="B5288" s="4">
        <v>43010</v>
      </c>
      <c r="C5288" s="5">
        <f t="shared" si="2230"/>
        <v>41191</v>
      </c>
      <c r="D5288" s="4" t="s">
        <v>78</v>
      </c>
      <c r="E5288" s="4">
        <v>24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1">C5288+2</f>
        <v>41193</v>
      </c>
    </row>
    <row r="5289" spans="1:21" ht="12" customHeight="1">
      <c r="A5289" s="4">
        <v>6074</v>
      </c>
      <c r="B5289" s="4">
        <v>43043</v>
      </c>
      <c r="C5289" s="5">
        <f>DATE(2012,12,31)-261</f>
        <v>41013</v>
      </c>
      <c r="D5289" s="4" t="s">
        <v>78</v>
      </c>
      <c r="E5289" s="4">
        <v>4</v>
      </c>
      <c r="F5289" s="4">
        <v>904.12</v>
      </c>
      <c r="G5289" s="4">
        <v>7.0000000000000007E-2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1"/>
        <v>41015</v>
      </c>
    </row>
    <row r="5290" spans="1:21" ht="12" customHeight="1">
      <c r="A5290" s="4">
        <v>6092</v>
      </c>
      <c r="B5290" s="4">
        <v>43170</v>
      </c>
      <c r="C5290" s="5">
        <f t="shared" ref="C5290:C5291" si="2232">DATE(2012,12,31)-963</f>
        <v>40311</v>
      </c>
      <c r="D5290" s="4" t="s">
        <v>21</v>
      </c>
      <c r="E5290" s="4">
        <v>25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0.56000000000000005</v>
      </c>
      <c r="U5290" s="5">
        <f>C5290+7</f>
        <v>40318</v>
      </c>
    </row>
    <row r="5291" spans="1:21" ht="12" customHeight="1">
      <c r="A5291" s="4">
        <v>6093</v>
      </c>
      <c r="B5291" s="4">
        <v>43170</v>
      </c>
      <c r="C5291" s="5">
        <f t="shared" si="2232"/>
        <v>40311</v>
      </c>
      <c r="D5291" s="4" t="s">
        <v>21</v>
      </c>
      <c r="E5291" s="4">
        <v>40</v>
      </c>
      <c r="F5291" s="4">
        <v>1305.8499999999999</v>
      </c>
      <c r="G5291" s="4">
        <v>0</v>
      </c>
      <c r="H5291" s="4" t="s">
        <v>22</v>
      </c>
      <c r="I5291" s="6">
        <v>65.010000000000005</v>
      </c>
      <c r="J5291" s="4">
        <v>30.98</v>
      </c>
      <c r="K5291" s="4">
        <v>17.079999999999998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spans="1:21" ht="12" customHeight="1">
      <c r="A5292" s="4">
        <v>6130</v>
      </c>
      <c r="B5292" s="4">
        <v>43397</v>
      </c>
      <c r="C5292" s="5">
        <f>DATE(2012,12,31)-599</f>
        <v>40675</v>
      </c>
      <c r="D5292" s="4" t="s">
        <v>78</v>
      </c>
      <c r="E5292" s="4">
        <v>35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32.409999999999997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0.56000000000000005</v>
      </c>
      <c r="U5292" s="5">
        <f t="shared" ref="U5292:U5293" si="2233">C5292+1</f>
        <v>40676</v>
      </c>
    </row>
    <row r="5293" spans="1:21" ht="12" customHeight="1">
      <c r="A5293" s="4">
        <v>6146</v>
      </c>
      <c r="B5293" s="4">
        <v>43494</v>
      </c>
      <c r="C5293" s="5">
        <f>DATE(2012,12,31)-363</f>
        <v>40911</v>
      </c>
      <c r="D5293" s="4" t="s">
        <v>63</v>
      </c>
      <c r="E5293" s="4">
        <v>2</v>
      </c>
      <c r="F5293" s="4">
        <v>3668.28</v>
      </c>
      <c r="G5293" s="4">
        <v>0.09</v>
      </c>
      <c r="H5293" s="4" t="s">
        <v>22</v>
      </c>
      <c r="I5293" s="6">
        <v>-4858.6716000000006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3"/>
        <v>40912</v>
      </c>
    </row>
    <row r="5294" spans="1:21" ht="12" customHeight="1">
      <c r="A5294" s="4">
        <v>6165</v>
      </c>
      <c r="B5294" s="4">
        <v>43682</v>
      </c>
      <c r="C5294" s="5">
        <f>DATE(2012,12,31)-126</f>
        <v>41148</v>
      </c>
      <c r="D5294" s="4" t="s">
        <v>63</v>
      </c>
      <c r="E5294" s="4">
        <v>14</v>
      </c>
      <c r="F5294" s="4">
        <v>1849.6</v>
      </c>
      <c r="G5294" s="4">
        <v>0.06</v>
      </c>
      <c r="H5294" s="4" t="s">
        <v>22</v>
      </c>
      <c r="I5294" s="6">
        <v>62.162999999999997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0.55000000000000004</v>
      </c>
      <c r="U5294" s="5">
        <f>C5294+2</f>
        <v>41150</v>
      </c>
    </row>
    <row r="5295" spans="1:21" ht="12" customHeight="1">
      <c r="A5295" s="4">
        <v>6181</v>
      </c>
      <c r="B5295" s="4">
        <v>43814</v>
      </c>
      <c r="C5295" s="5">
        <f t="shared" ref="C5295:C5296" si="2234">DATE(2012,12,31)-722</f>
        <v>40552</v>
      </c>
      <c r="D5295" s="4" t="s">
        <v>63</v>
      </c>
      <c r="E5295" s="4">
        <v>40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5">C5295+1</f>
        <v>40553</v>
      </c>
    </row>
    <row r="5296" spans="1:21" ht="12" customHeight="1">
      <c r="A5296" s="4">
        <v>6182</v>
      </c>
      <c r="B5296" s="4">
        <v>43814</v>
      </c>
      <c r="C5296" s="5">
        <f t="shared" si="2234"/>
        <v>40552</v>
      </c>
      <c r="D5296" s="4" t="s">
        <v>63</v>
      </c>
      <c r="E5296" s="4">
        <v>47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2.2599999999999998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5"/>
        <v>40553</v>
      </c>
    </row>
    <row r="5297" spans="1:21" ht="12" customHeight="1">
      <c r="A5297" s="4">
        <v>6183</v>
      </c>
      <c r="B5297" s="4">
        <v>43815</v>
      </c>
      <c r="C5297" s="5">
        <f t="shared" ref="C5297:C5299" si="2236">DATE(2012,12,31)-201</f>
        <v>41073</v>
      </c>
      <c r="D5297" s="4" t="s">
        <v>45</v>
      </c>
      <c r="E5297" s="4">
        <v>40</v>
      </c>
      <c r="F5297" s="4">
        <v>635.59</v>
      </c>
      <c r="G5297" s="4">
        <v>7.0000000000000007E-2</v>
      </c>
      <c r="H5297" s="4" t="s">
        <v>22</v>
      </c>
      <c r="I5297" s="6">
        <v>202.827</v>
      </c>
      <c r="J5297" s="4">
        <v>16.510000000000002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5"/>
        <v>41074</v>
      </c>
    </row>
    <row r="5298" spans="1:21" ht="12" customHeight="1">
      <c r="A5298" s="4">
        <v>6184</v>
      </c>
      <c r="B5298" s="4">
        <v>43815</v>
      </c>
      <c r="C5298" s="5">
        <f t="shared" si="2236"/>
        <v>41073</v>
      </c>
      <c r="D5298" s="4" t="s">
        <v>45</v>
      </c>
      <c r="E5298" s="4">
        <v>22</v>
      </c>
      <c r="F5298" s="4">
        <v>1251.4000000000001</v>
      </c>
      <c r="G5298" s="4">
        <v>0.01</v>
      </c>
      <c r="H5298" s="4" t="s">
        <v>22</v>
      </c>
      <c r="I5298" s="6">
        <v>539.45000000000005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5"/>
        <v>41074</v>
      </c>
    </row>
    <row r="5299" spans="1:21" ht="12" customHeight="1">
      <c r="A5299" s="4">
        <v>6185</v>
      </c>
      <c r="B5299" s="4">
        <v>43815</v>
      </c>
      <c r="C5299" s="5">
        <f t="shared" si="2236"/>
        <v>41073</v>
      </c>
      <c r="D5299" s="4" t="s">
        <v>45</v>
      </c>
      <c r="E5299" s="4">
        <v>45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5"/>
        <v>41074</v>
      </c>
    </row>
    <row r="5300" spans="1:21" ht="12" customHeight="1">
      <c r="A5300" s="4">
        <v>6186</v>
      </c>
      <c r="B5300" s="4">
        <v>43844</v>
      </c>
      <c r="C5300" s="5">
        <f>DATE(2012,12,31)-792</f>
        <v>40482</v>
      </c>
      <c r="D5300" s="4" t="s">
        <v>30</v>
      </c>
      <c r="E5300" s="4">
        <v>25</v>
      </c>
      <c r="F5300" s="4">
        <v>1009.8679999999999</v>
      </c>
      <c r="G5300" s="4">
        <v>0.02</v>
      </c>
      <c r="H5300" s="4" t="s">
        <v>22</v>
      </c>
      <c r="I5300" s="6">
        <v>170.56800000000001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0.56000000000000005</v>
      </c>
      <c r="U5300" s="5">
        <f t="shared" ref="U5300:U5301" si="2237">C5300+0</f>
        <v>40482</v>
      </c>
    </row>
    <row r="5301" spans="1:21" ht="12" customHeight="1">
      <c r="A5301" s="4">
        <v>6209</v>
      </c>
      <c r="B5301" s="4">
        <v>44000</v>
      </c>
      <c r="C5301" s="5">
        <f t="shared" ref="C5301:C5302" si="2238">DATE(2012,12,31)-88</f>
        <v>41186</v>
      </c>
      <c r="D5301" s="4" t="s">
        <v>45</v>
      </c>
      <c r="E5301" s="4">
        <v>17</v>
      </c>
      <c r="F5301" s="4">
        <v>119.51</v>
      </c>
      <c r="G5301" s="4">
        <v>0.06</v>
      </c>
      <c r="H5301" s="4" t="s">
        <v>22</v>
      </c>
      <c r="I5301" s="6">
        <v>-51.301499999999997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7"/>
        <v>41186</v>
      </c>
    </row>
    <row r="5302" spans="1:21" ht="12" customHeight="1">
      <c r="A5302" s="4">
        <v>6210</v>
      </c>
      <c r="B5302" s="4">
        <v>44000</v>
      </c>
      <c r="C5302" s="5">
        <f t="shared" si="2238"/>
        <v>41186</v>
      </c>
      <c r="D5302" s="4" t="s">
        <v>45</v>
      </c>
      <c r="E5302" s="4">
        <v>19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spans="1:21" ht="12" customHeight="1">
      <c r="A5303" s="4">
        <v>6214</v>
      </c>
      <c r="B5303" s="4">
        <v>44003</v>
      </c>
      <c r="C5303" s="5">
        <f>DATE(2012,12,31)-410</f>
        <v>40864</v>
      </c>
      <c r="D5303" s="4" t="s">
        <v>21</v>
      </c>
      <c r="E5303" s="4">
        <v>38</v>
      </c>
      <c r="F5303" s="4">
        <v>202.42</v>
      </c>
      <c r="G5303" s="4">
        <v>0.09</v>
      </c>
      <c r="H5303" s="4" t="s">
        <v>22</v>
      </c>
      <c r="I5303" s="6">
        <v>0.85850000000000004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spans="1:21" ht="12" customHeight="1">
      <c r="A5304" s="4">
        <v>6229</v>
      </c>
      <c r="B5304" s="4">
        <v>44099</v>
      </c>
      <c r="C5304" s="5">
        <f t="shared" ref="C5304:C5305" si="2239">DATE(2012,12,31)-294</f>
        <v>40980</v>
      </c>
      <c r="D5304" s="4" t="s">
        <v>63</v>
      </c>
      <c r="E5304" s="4">
        <v>34</v>
      </c>
      <c r="F5304" s="4">
        <v>11823.52</v>
      </c>
      <c r="G5304" s="4">
        <v>0.1</v>
      </c>
      <c r="H5304" s="4" t="s">
        <v>22</v>
      </c>
      <c r="I5304" s="6">
        <v>4592.7370000000001</v>
      </c>
      <c r="J5304" s="4">
        <v>367.99</v>
      </c>
      <c r="K5304" s="4">
        <v>19.989999999999998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0">C5304+2</f>
        <v>40982</v>
      </c>
    </row>
    <row r="5305" spans="1:21" ht="12" customHeight="1">
      <c r="A5305" s="4">
        <v>6230</v>
      </c>
      <c r="B5305" s="4">
        <v>44099</v>
      </c>
      <c r="C5305" s="5">
        <f t="shared" si="2239"/>
        <v>40980</v>
      </c>
      <c r="D5305" s="4" t="s">
        <v>63</v>
      </c>
      <c r="E5305" s="4">
        <v>19</v>
      </c>
      <c r="F5305" s="4">
        <v>80.81</v>
      </c>
      <c r="G5305" s="4">
        <v>0.1</v>
      </c>
      <c r="H5305" s="4" t="s">
        <v>22</v>
      </c>
      <c r="I5305" s="6">
        <v>-67.459000000000003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0"/>
        <v>40982</v>
      </c>
    </row>
    <row r="5306" spans="1:21" ht="12" customHeight="1">
      <c r="A5306" s="4">
        <v>6231</v>
      </c>
      <c r="B5306" s="4">
        <v>44133</v>
      </c>
      <c r="C5306" s="5">
        <f>DATE(2012,12,31)-1090</f>
        <v>40184</v>
      </c>
      <c r="D5306" s="4" t="s">
        <v>30</v>
      </c>
      <c r="E5306" s="4">
        <v>35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spans="1:21" ht="12" customHeight="1">
      <c r="A5307" s="4">
        <v>6249</v>
      </c>
      <c r="B5307" s="4">
        <v>44261</v>
      </c>
      <c r="C5307" s="5">
        <f t="shared" ref="C5307:C5310" si="2241">DATE(2012,12,31)-283</f>
        <v>40991</v>
      </c>
      <c r="D5307" s="4" t="s">
        <v>30</v>
      </c>
      <c r="E5307" s="4">
        <v>31</v>
      </c>
      <c r="F5307" s="4">
        <v>13064.06</v>
      </c>
      <c r="G5307" s="4">
        <v>0.01</v>
      </c>
      <c r="H5307" s="4" t="s">
        <v>56</v>
      </c>
      <c r="I5307" s="6">
        <v>5979.5630000000001</v>
      </c>
      <c r="J5307" s="4">
        <v>420.98</v>
      </c>
      <c r="K5307" s="4">
        <v>19.989999999999998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2">C5307+2</f>
        <v>40993</v>
      </c>
    </row>
    <row r="5308" spans="1:21" ht="12" customHeight="1">
      <c r="A5308" s="4">
        <v>6250</v>
      </c>
      <c r="B5308" s="4">
        <v>44261</v>
      </c>
      <c r="C5308" s="5">
        <f t="shared" si="2241"/>
        <v>40991</v>
      </c>
      <c r="D5308" s="4" t="s">
        <v>30</v>
      </c>
      <c r="E5308" s="4">
        <v>34</v>
      </c>
      <c r="F5308" s="4">
        <v>4771.8900000000003</v>
      </c>
      <c r="G5308" s="4">
        <v>0.05</v>
      </c>
      <c r="H5308" s="4" t="s">
        <v>31</v>
      </c>
      <c r="I5308" s="6">
        <v>-427.99</v>
      </c>
      <c r="J5308" s="4">
        <v>140.97999999999999</v>
      </c>
      <c r="K5308" s="4">
        <v>36.090000000000003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2"/>
        <v>40993</v>
      </c>
    </row>
    <row r="5309" spans="1:21" ht="12" customHeight="1">
      <c r="A5309" s="4">
        <v>6251</v>
      </c>
      <c r="B5309" s="4">
        <v>44261</v>
      </c>
      <c r="C5309" s="5">
        <f t="shared" si="2241"/>
        <v>40991</v>
      </c>
      <c r="D5309" s="4" t="s">
        <v>30</v>
      </c>
      <c r="E5309" s="4">
        <v>1</v>
      </c>
      <c r="F5309" s="4">
        <v>3360.3</v>
      </c>
      <c r="G5309" s="4">
        <v>0.05</v>
      </c>
      <c r="H5309" s="4" t="s">
        <v>31</v>
      </c>
      <c r="I5309" s="6">
        <v>-7961.4308999999994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0.56999999999999995</v>
      </c>
      <c r="U5309" s="5">
        <f>C5309+1</f>
        <v>40992</v>
      </c>
    </row>
    <row r="5310" spans="1:21" ht="12" customHeight="1">
      <c r="A5310" s="4">
        <v>6252</v>
      </c>
      <c r="B5310" s="4">
        <v>44261</v>
      </c>
      <c r="C5310" s="5">
        <f t="shared" si="2241"/>
        <v>40991</v>
      </c>
      <c r="D5310" s="4" t="s">
        <v>30</v>
      </c>
      <c r="E5310" s="4">
        <v>10</v>
      </c>
      <c r="F5310" s="4">
        <v>306.66299999999995</v>
      </c>
      <c r="G5310" s="4">
        <v>7.0000000000000007E-2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spans="1:21" ht="12" customHeight="1">
      <c r="A5311" s="4">
        <v>6263</v>
      </c>
      <c r="B5311" s="4">
        <v>44323</v>
      </c>
      <c r="C5311" s="5">
        <f>DATE(2012,12,31)-146</f>
        <v>41128</v>
      </c>
      <c r="D5311" s="4" t="s">
        <v>63</v>
      </c>
      <c r="E5311" s="4">
        <v>27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16.059999999999999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0.56000000000000005</v>
      </c>
      <c r="U5311" s="5">
        <f>C5311+2</f>
        <v>41130</v>
      </c>
    </row>
    <row r="5312" spans="1:21" ht="12" customHeight="1">
      <c r="A5312" s="4">
        <v>6294</v>
      </c>
      <c r="B5312" s="4">
        <v>44549</v>
      </c>
      <c r="C5312" s="5">
        <f>DATE(2012,12,31)-344</f>
        <v>40930</v>
      </c>
      <c r="D5312" s="4" t="s">
        <v>63</v>
      </c>
      <c r="E5312" s="4">
        <v>5</v>
      </c>
      <c r="F5312" s="4">
        <v>11.25</v>
      </c>
      <c r="G5312" s="4">
        <v>0.08</v>
      </c>
      <c r="H5312" s="4" t="s">
        <v>22</v>
      </c>
      <c r="I5312" s="6">
        <v>-4.9564999999999992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3">C5312+1</f>
        <v>40931</v>
      </c>
    </row>
    <row r="5313" spans="1:21" ht="12" customHeight="1">
      <c r="A5313" s="4">
        <v>6315</v>
      </c>
      <c r="B5313" s="4">
        <v>44679</v>
      </c>
      <c r="C5313" s="5">
        <f t="shared" ref="C5313:C5314" si="2244">DATE(2012,12,31)-211</f>
        <v>41063</v>
      </c>
      <c r="D5313" s="4" t="s">
        <v>63</v>
      </c>
      <c r="E5313" s="4">
        <v>22</v>
      </c>
      <c r="F5313" s="4">
        <v>127.51</v>
      </c>
      <c r="G5313" s="4">
        <v>7.0000000000000007E-2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3"/>
        <v>41064</v>
      </c>
    </row>
    <row r="5314" spans="1:21" ht="12" customHeight="1">
      <c r="A5314" s="4">
        <v>6316</v>
      </c>
      <c r="B5314" s="4">
        <v>44679</v>
      </c>
      <c r="C5314" s="5">
        <f t="shared" si="2244"/>
        <v>41063</v>
      </c>
      <c r="D5314" s="4" t="s">
        <v>63</v>
      </c>
      <c r="E5314" s="4">
        <v>35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5">C5314+2</f>
        <v>41065</v>
      </c>
    </row>
    <row r="5315" spans="1:21" ht="12" customHeight="1">
      <c r="A5315" s="4">
        <v>6367</v>
      </c>
      <c r="B5315" s="4">
        <v>45158</v>
      </c>
      <c r="C5315" s="5">
        <f t="shared" ref="C5315:C5316" si="2246">DATE(2012,12,31)-996</f>
        <v>40278</v>
      </c>
      <c r="D5315" s="4" t="s">
        <v>21</v>
      </c>
      <c r="E5315" s="4">
        <v>40</v>
      </c>
      <c r="F5315" s="4">
        <v>375.52</v>
      </c>
      <c r="G5315" s="4">
        <v>0.09</v>
      </c>
      <c r="H5315" s="4" t="s">
        <v>22</v>
      </c>
      <c r="I5315" s="6">
        <v>131.69999999999999</v>
      </c>
      <c r="J5315" s="4">
        <v>9.68</v>
      </c>
      <c r="K5315" s="4">
        <v>2.0299999999999998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5"/>
        <v>40280</v>
      </c>
    </row>
    <row r="5316" spans="1:21" ht="12" customHeight="1">
      <c r="A5316" s="4">
        <v>6368</v>
      </c>
      <c r="B5316" s="4">
        <v>45158</v>
      </c>
      <c r="C5316" s="5">
        <f t="shared" si="2246"/>
        <v>40278</v>
      </c>
      <c r="D5316" s="4" t="s">
        <v>21</v>
      </c>
      <c r="E5316" s="4">
        <v>15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spans="1:21" ht="12" customHeight="1">
      <c r="A5317" s="4">
        <v>6377</v>
      </c>
      <c r="B5317" s="4">
        <v>45254</v>
      </c>
      <c r="C5317" s="5">
        <f>DATE(2012,12,31)-889</f>
        <v>40385</v>
      </c>
      <c r="D5317" s="4" t="s">
        <v>30</v>
      </c>
      <c r="E5317" s="4">
        <v>45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7">C5317+1</f>
        <v>40386</v>
      </c>
    </row>
    <row r="5318" spans="1:21" ht="12" customHeight="1">
      <c r="A5318" s="4">
        <v>6379</v>
      </c>
      <c r="B5318" s="4">
        <v>45315</v>
      </c>
      <c r="C5318" s="5">
        <f>DATE(2012,12,31)-255</f>
        <v>41019</v>
      </c>
      <c r="D5318" s="4" t="s">
        <v>63</v>
      </c>
      <c r="E5318" s="4">
        <v>32</v>
      </c>
      <c r="F5318" s="4">
        <v>1141.9000000000001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8.2200000000000006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0.56999999999999995</v>
      </c>
      <c r="U5318" s="5">
        <f t="shared" si="2247"/>
        <v>41020</v>
      </c>
    </row>
    <row r="5319" spans="1:21" ht="12" customHeight="1">
      <c r="A5319" s="4">
        <v>6393</v>
      </c>
      <c r="B5319" s="4">
        <v>45409</v>
      </c>
      <c r="C5319" s="5">
        <f t="shared" ref="C5319:C5321" si="2248">DATE(2012,12,31)-994</f>
        <v>40280</v>
      </c>
      <c r="D5319" s="4" t="s">
        <v>78</v>
      </c>
      <c r="E5319" s="4">
        <v>11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0.56999999999999995</v>
      </c>
      <c r="U5319" s="5">
        <f>C5319+3</f>
        <v>40283</v>
      </c>
    </row>
    <row r="5320" spans="1:21" ht="12" customHeight="1">
      <c r="A5320" s="4">
        <v>6394</v>
      </c>
      <c r="B5320" s="4">
        <v>45409</v>
      </c>
      <c r="C5320" s="5">
        <f t="shared" si="2248"/>
        <v>40280</v>
      </c>
      <c r="D5320" s="4" t="s">
        <v>78</v>
      </c>
      <c r="E5320" s="4">
        <v>10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0.56000000000000005</v>
      </c>
      <c r="U5320" s="5">
        <f>C5320+1</f>
        <v>40281</v>
      </c>
    </row>
    <row r="5321" spans="1:21" ht="12" customHeight="1">
      <c r="A5321" s="4">
        <v>6395</v>
      </c>
      <c r="B5321" s="4">
        <v>45409</v>
      </c>
      <c r="C5321" s="5">
        <f t="shared" si="2248"/>
        <v>40280</v>
      </c>
      <c r="D5321" s="4" t="s">
        <v>78</v>
      </c>
      <c r="E5321" s="4">
        <v>50</v>
      </c>
      <c r="F5321" s="4">
        <v>893.13750000000005</v>
      </c>
      <c r="G5321" s="4">
        <v>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spans="1:21" ht="12" customHeight="1">
      <c r="A5322" s="4">
        <v>6418</v>
      </c>
      <c r="B5322" s="4">
        <v>45605</v>
      </c>
      <c r="C5322" s="5">
        <f>DATE(2012,12,31)-996</f>
        <v>40278</v>
      </c>
      <c r="D5322" s="4" t="s">
        <v>63</v>
      </c>
      <c r="E5322" s="4">
        <v>7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spans="1:21" ht="12" customHeight="1">
      <c r="A5323" s="4">
        <v>6423</v>
      </c>
      <c r="B5323" s="4">
        <v>45664</v>
      </c>
      <c r="C5323" s="5">
        <f>DATE(2012,12,31)-205</f>
        <v>41069</v>
      </c>
      <c r="D5323" s="4" t="s">
        <v>45</v>
      </c>
      <c r="E5323" s="4">
        <v>24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spans="1:21" ht="12" customHeight="1">
      <c r="A5324" s="4">
        <v>6426</v>
      </c>
      <c r="B5324" s="4">
        <v>45671</v>
      </c>
      <c r="C5324" s="5">
        <f>DATE(2012,12,31)-568</f>
        <v>40706</v>
      </c>
      <c r="D5324" s="4" t="s">
        <v>21</v>
      </c>
      <c r="E5324" s="4">
        <v>13</v>
      </c>
      <c r="F5324" s="4">
        <v>126.68</v>
      </c>
      <c r="G5324" s="4">
        <v>0.05</v>
      </c>
      <c r="H5324" s="4" t="s">
        <v>22</v>
      </c>
      <c r="I5324" s="6">
        <v>7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spans="1:21" ht="12" customHeight="1">
      <c r="A5325" s="4">
        <v>6430</v>
      </c>
      <c r="B5325" s="4">
        <v>45728</v>
      </c>
      <c r="C5325" s="5">
        <f>DATE(2012,12,31)-924</f>
        <v>40350</v>
      </c>
      <c r="D5325" s="4" t="s">
        <v>30</v>
      </c>
      <c r="E5325" s="4">
        <v>49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spans="1:21" ht="12" customHeight="1">
      <c r="A5326" s="4">
        <v>6437</v>
      </c>
      <c r="B5326" s="4">
        <v>45762</v>
      </c>
      <c r="C5326" s="5">
        <f>DATE(2012,12,31)-894</f>
        <v>40380</v>
      </c>
      <c r="D5326" s="4" t="s">
        <v>21</v>
      </c>
      <c r="E5326" s="4">
        <v>21</v>
      </c>
      <c r="F5326" s="4">
        <v>793.85</v>
      </c>
      <c r="G5326" s="4">
        <v>0.01</v>
      </c>
      <c r="H5326" s="4" t="s">
        <v>22</v>
      </c>
      <c r="I5326" s="6">
        <v>308.52999999999997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spans="1:21" ht="12" customHeight="1">
      <c r="A5327" s="4">
        <v>6561</v>
      </c>
      <c r="B5327" s="4">
        <v>46631</v>
      </c>
      <c r="C5327" s="5">
        <f>DATE(2012,12,31)-295</f>
        <v>40979</v>
      </c>
      <c r="D5327" s="4" t="s">
        <v>45</v>
      </c>
      <c r="E5327" s="4">
        <v>39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16.920000000000002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49">C5327+2</f>
        <v>40981</v>
      </c>
    </row>
    <row r="5328" spans="1:21" ht="12" customHeight="1">
      <c r="A5328" s="4">
        <v>6563</v>
      </c>
      <c r="B5328" s="4">
        <v>46662</v>
      </c>
      <c r="C5328" s="5">
        <f t="shared" ref="C5328:C5330" si="2250">DATE(2012,12,31)-368</f>
        <v>40906</v>
      </c>
      <c r="D5328" s="4" t="s">
        <v>78</v>
      </c>
      <c r="E5328" s="4">
        <v>8</v>
      </c>
      <c r="F5328" s="4">
        <v>57.22</v>
      </c>
      <c r="G5328" s="4">
        <v>7.0000000000000007E-2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49"/>
        <v>40908</v>
      </c>
    </row>
    <row r="5329" spans="1:21" ht="12" customHeight="1">
      <c r="A5329" s="4">
        <v>6564</v>
      </c>
      <c r="B5329" s="4">
        <v>46662</v>
      </c>
      <c r="C5329" s="5">
        <f t="shared" si="2250"/>
        <v>40906</v>
      </c>
      <c r="D5329" s="4" t="s">
        <v>78</v>
      </c>
      <c r="E5329" s="4">
        <v>33</v>
      </c>
      <c r="F5329" s="4">
        <v>162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49"/>
        <v>40908</v>
      </c>
    </row>
    <row r="5330" spans="1:21" ht="12" customHeight="1">
      <c r="A5330" s="4">
        <v>6565</v>
      </c>
      <c r="B5330" s="4">
        <v>46662</v>
      </c>
      <c r="C5330" s="5">
        <f t="shared" si="2250"/>
        <v>40906</v>
      </c>
      <c r="D5330" s="4" t="s">
        <v>78</v>
      </c>
      <c r="E5330" s="4">
        <v>48</v>
      </c>
      <c r="F5330" s="4">
        <v>3410.1574999999998</v>
      </c>
      <c r="G5330" s="4">
        <v>0.1</v>
      </c>
      <c r="H5330" s="4" t="s">
        <v>22</v>
      </c>
      <c r="I5330" s="6">
        <v>1137.9059999999999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0.55000000000000004</v>
      </c>
      <c r="U5330" s="5">
        <f t="shared" si="2249"/>
        <v>40908</v>
      </c>
    </row>
    <row r="5331" spans="1:21" ht="12" customHeight="1">
      <c r="A5331" s="4">
        <v>6566</v>
      </c>
      <c r="B5331" s="4">
        <v>46691</v>
      </c>
      <c r="C5331" s="5">
        <f>DATE(2012,12,31)-190</f>
        <v>41084</v>
      </c>
      <c r="D5331" s="4" t="s">
        <v>78</v>
      </c>
      <c r="E5331" s="4">
        <v>47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0.57999999999999996</v>
      </c>
      <c r="U5331" s="5">
        <f t="shared" si="2249"/>
        <v>41086</v>
      </c>
    </row>
    <row r="5332" spans="1:21" ht="12" customHeight="1">
      <c r="A5332" s="4">
        <v>6583</v>
      </c>
      <c r="B5332" s="4">
        <v>46880</v>
      </c>
      <c r="C5332" s="5">
        <f>DATE(2012,12,31)-912</f>
        <v>40362</v>
      </c>
      <c r="D5332" s="4" t="s">
        <v>78</v>
      </c>
      <c r="E5332" s="4">
        <v>1</v>
      </c>
      <c r="F5332" s="4">
        <v>29.99</v>
      </c>
      <c r="G5332" s="4">
        <v>7.0000000000000007E-2</v>
      </c>
      <c r="H5332" s="4" t="s">
        <v>22</v>
      </c>
      <c r="I5332" s="6">
        <v>-8.8800000000000008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49"/>
        <v>40364</v>
      </c>
    </row>
    <row r="5333" spans="1:21" ht="12" customHeight="1">
      <c r="A5333" s="4">
        <v>6679</v>
      </c>
      <c r="B5333" s="4">
        <v>47522</v>
      </c>
      <c r="C5333" s="5">
        <f>DATE(2012,12,31)-69</f>
        <v>41205</v>
      </c>
      <c r="D5333" s="4" t="s">
        <v>30</v>
      </c>
      <c r="E5333" s="4">
        <v>5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1">C5333+1</f>
        <v>41206</v>
      </c>
    </row>
    <row r="5334" spans="1:21" ht="12" customHeight="1">
      <c r="A5334" s="4">
        <v>6684</v>
      </c>
      <c r="B5334" s="4">
        <v>47553</v>
      </c>
      <c r="C5334" s="5">
        <f>DATE(2012,12,31)-589</f>
        <v>40685</v>
      </c>
      <c r="D5334" s="4" t="s">
        <v>63</v>
      </c>
      <c r="E5334" s="4">
        <v>49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1"/>
        <v>40686</v>
      </c>
    </row>
    <row r="5335" spans="1:21" ht="12" customHeight="1">
      <c r="A5335" s="4">
        <v>6688</v>
      </c>
      <c r="B5335" s="4">
        <v>47584</v>
      </c>
      <c r="C5335" s="5">
        <f t="shared" ref="C5335:C5336" si="2252">DATE(2012,12,31)-888</f>
        <v>40386</v>
      </c>
      <c r="D5335" s="4" t="s">
        <v>78</v>
      </c>
      <c r="E5335" s="4">
        <v>4</v>
      </c>
      <c r="F5335" s="4">
        <v>20.190000000000001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spans="1:21" ht="12" customHeight="1">
      <c r="A5336" s="4">
        <v>6689</v>
      </c>
      <c r="B5336" s="4">
        <v>47584</v>
      </c>
      <c r="C5336" s="5">
        <f t="shared" si="2252"/>
        <v>40386</v>
      </c>
      <c r="D5336" s="4" t="s">
        <v>78</v>
      </c>
      <c r="E5336" s="4">
        <v>43</v>
      </c>
      <c r="F5336" s="4">
        <v>74.989999999999995</v>
      </c>
      <c r="G5336" s="4">
        <v>0.08</v>
      </c>
      <c r="H5336" s="4" t="s">
        <v>22</v>
      </c>
      <c r="I5336" s="6">
        <v>-8.9499999999999993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0.56999999999999995</v>
      </c>
      <c r="U5336" s="5">
        <f>C5336+1</f>
        <v>40387</v>
      </c>
    </row>
    <row r="5337" spans="1:21" ht="12" customHeight="1">
      <c r="A5337" s="4">
        <v>6696</v>
      </c>
      <c r="B5337" s="4">
        <v>47683</v>
      </c>
      <c r="C5337" s="5">
        <f>DATE(2012,12,31)-852</f>
        <v>40422</v>
      </c>
      <c r="D5337" s="4" t="s">
        <v>21</v>
      </c>
      <c r="E5337" s="4">
        <v>38</v>
      </c>
      <c r="F5337" s="4">
        <v>81.97</v>
      </c>
      <c r="G5337" s="4">
        <v>0.05</v>
      </c>
      <c r="H5337" s="4" t="s">
        <v>22</v>
      </c>
      <c r="I5337" s="6">
        <v>-148.79849999999999</v>
      </c>
      <c r="J5337" s="4">
        <v>1.98</v>
      </c>
      <c r="K5337" s="4">
        <v>4.7699999999999996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spans="1:21" ht="12" customHeight="1">
      <c r="A5338" s="4">
        <v>6726</v>
      </c>
      <c r="B5338" s="4">
        <v>47879</v>
      </c>
      <c r="C5338" s="5">
        <f>DATE(2012,12,31)-355</f>
        <v>40919</v>
      </c>
      <c r="D5338" s="4" t="s">
        <v>78</v>
      </c>
      <c r="E5338" s="4">
        <v>19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spans="1:21" ht="12" customHeight="1">
      <c r="A5339" s="4">
        <v>6739</v>
      </c>
      <c r="B5339" s="4">
        <v>47972</v>
      </c>
      <c r="C5339" s="5">
        <f>DATE(2012,12,31)-812</f>
        <v>40462</v>
      </c>
      <c r="D5339" s="4" t="s">
        <v>63</v>
      </c>
      <c r="E5339" s="4">
        <v>46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19.989999999999998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3">C5339+2</f>
        <v>40464</v>
      </c>
    </row>
    <row r="5340" spans="1:21" ht="12" customHeight="1">
      <c r="A5340" s="4">
        <v>6780</v>
      </c>
      <c r="B5340" s="4">
        <v>48288</v>
      </c>
      <c r="C5340" s="5">
        <f>DATE(2012,12,31)-528</f>
        <v>40746</v>
      </c>
      <c r="D5340" s="4" t="s">
        <v>63</v>
      </c>
      <c r="E5340" s="4">
        <v>25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130.97999999999999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3"/>
        <v>40748</v>
      </c>
    </row>
    <row r="5341" spans="1:21" ht="12" customHeight="1">
      <c r="A5341" s="4">
        <v>6781</v>
      </c>
      <c r="B5341" s="4">
        <v>48293</v>
      </c>
      <c r="C5341" s="5">
        <f>DATE(2012,12,31)-266</f>
        <v>41008</v>
      </c>
      <c r="D5341" s="4" t="s">
        <v>78</v>
      </c>
      <c r="E5341" s="4">
        <v>47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spans="1:21" ht="12" customHeight="1">
      <c r="A5342" s="4">
        <v>6782</v>
      </c>
      <c r="B5342" s="4">
        <v>48294</v>
      </c>
      <c r="C5342" s="5">
        <f>DATE(2012,12,31)-950</f>
        <v>40324</v>
      </c>
      <c r="D5342" s="4" t="s">
        <v>30</v>
      </c>
      <c r="E5342" s="4">
        <v>43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0.56000000000000005</v>
      </c>
      <c r="U5342" s="5">
        <f>C5342+0</f>
        <v>40324</v>
      </c>
    </row>
    <row r="5343" spans="1:21" ht="12" customHeight="1">
      <c r="A5343" s="4">
        <v>6785</v>
      </c>
      <c r="B5343" s="4">
        <v>48322</v>
      </c>
      <c r="C5343" s="5">
        <f>DATE(2012,12,31)-302</f>
        <v>40972</v>
      </c>
      <c r="D5343" s="4" t="s">
        <v>63</v>
      </c>
      <c r="E5343" s="4">
        <v>14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0.57999999999999996</v>
      </c>
      <c r="U5343" s="5">
        <f>C5343+1</f>
        <v>40973</v>
      </c>
    </row>
    <row r="5344" spans="1:21" ht="12" customHeight="1">
      <c r="A5344" s="4">
        <v>6787</v>
      </c>
      <c r="B5344" s="4">
        <v>48353</v>
      </c>
      <c r="C5344" s="5">
        <f>DATE(2012,12,31)-16</f>
        <v>41258</v>
      </c>
      <c r="D5344" s="4" t="s">
        <v>45</v>
      </c>
      <c r="E5344" s="4">
        <v>18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spans="1:21" ht="12" customHeight="1">
      <c r="A5345" s="4">
        <v>6814</v>
      </c>
      <c r="B5345" s="4">
        <v>48512</v>
      </c>
      <c r="C5345" s="5">
        <f t="shared" ref="C5345:C5346" si="2254">DATE(2012,12,31)-516</f>
        <v>40758</v>
      </c>
      <c r="D5345" s="4" t="s">
        <v>45</v>
      </c>
      <c r="E5345" s="4">
        <v>48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4.9800000000000004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spans="1:21" ht="12" customHeight="1">
      <c r="A5346" s="4">
        <v>6815</v>
      </c>
      <c r="B5346" s="4">
        <v>48512</v>
      </c>
      <c r="C5346" s="5">
        <f t="shared" si="2254"/>
        <v>40758</v>
      </c>
      <c r="D5346" s="4" t="s">
        <v>45</v>
      </c>
      <c r="E5346" s="4">
        <v>47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spans="1:21" ht="12" customHeight="1">
      <c r="A5347" s="4">
        <v>6828</v>
      </c>
      <c r="B5347" s="4">
        <v>48641</v>
      </c>
      <c r="C5347" s="5">
        <f>DATE(2012,12,31)-392</f>
        <v>40882</v>
      </c>
      <c r="D5347" s="4" t="s">
        <v>30</v>
      </c>
      <c r="E5347" s="4">
        <v>13</v>
      </c>
      <c r="F5347" s="4">
        <v>66.83</v>
      </c>
      <c r="G5347" s="4">
        <v>0</v>
      </c>
      <c r="H5347" s="4" t="s">
        <v>22</v>
      </c>
      <c r="I5347" s="6">
        <v>23.16</v>
      </c>
      <c r="J5347" s="4">
        <v>4.9800000000000004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spans="1:21" ht="12" customHeight="1">
      <c r="A5348" s="4">
        <v>6836</v>
      </c>
      <c r="B5348" s="4">
        <v>48672</v>
      </c>
      <c r="C5348" s="5">
        <f>DATE(2012,12,31)-5</f>
        <v>41269</v>
      </c>
      <c r="D5348" s="4" t="s">
        <v>30</v>
      </c>
      <c r="E5348" s="4">
        <v>43</v>
      </c>
      <c r="F5348" s="4">
        <v>255.7</v>
      </c>
      <c r="G5348" s="4">
        <v>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spans="1:21" ht="12" customHeight="1">
      <c r="A5349" s="4">
        <v>6841</v>
      </c>
      <c r="B5349" s="4">
        <v>48709</v>
      </c>
      <c r="C5349" s="5">
        <f>DATE(2012,12,31)-491</f>
        <v>40783</v>
      </c>
      <c r="D5349" s="4" t="s">
        <v>30</v>
      </c>
      <c r="E5349" s="4">
        <v>17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spans="1:21" ht="12" customHeight="1">
      <c r="A5350" s="4">
        <v>6855</v>
      </c>
      <c r="B5350" s="4">
        <v>48832</v>
      </c>
      <c r="C5350" s="5">
        <f>DATE(2012,12,31)-971</f>
        <v>40303</v>
      </c>
      <c r="D5350" s="4" t="s">
        <v>30</v>
      </c>
      <c r="E5350" s="4">
        <v>48</v>
      </c>
      <c r="F5350" s="4">
        <v>4480.8900000000003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spans="1:21" ht="12" customHeight="1">
      <c r="A5351" s="4">
        <v>6870</v>
      </c>
      <c r="B5351" s="4">
        <v>48935</v>
      </c>
      <c r="C5351" s="5">
        <f>DATE(2012,12,31)-1089</f>
        <v>40185</v>
      </c>
      <c r="D5351" s="4" t="s">
        <v>21</v>
      </c>
      <c r="E5351" s="4">
        <v>21</v>
      </c>
      <c r="F5351" s="4">
        <v>106.2</v>
      </c>
      <c r="G5351" s="4">
        <v>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spans="1:21" ht="12" customHeight="1">
      <c r="A5352" s="4">
        <v>6877</v>
      </c>
      <c r="B5352" s="4">
        <v>49026</v>
      </c>
      <c r="C5352" s="5">
        <f>DATE(2012,12,31)-665</f>
        <v>40609</v>
      </c>
      <c r="D5352" s="4" t="s">
        <v>21</v>
      </c>
      <c r="E5352" s="4">
        <v>36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spans="1:21" ht="12" customHeight="1">
      <c r="A5353" s="4">
        <v>6987</v>
      </c>
      <c r="B5353" s="4">
        <v>49925</v>
      </c>
      <c r="C5353" s="5">
        <f>DATE(2012,12,31)-1074</f>
        <v>40200</v>
      </c>
      <c r="D5353" s="4" t="s">
        <v>30</v>
      </c>
      <c r="E5353" s="4">
        <v>1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0.56000000000000005</v>
      </c>
      <c r="U5353" s="5">
        <f>C5353+1</f>
        <v>40201</v>
      </c>
    </row>
    <row r="5354" spans="1:21" ht="12" customHeight="1">
      <c r="A5354" s="4">
        <v>7062</v>
      </c>
      <c r="B5354" s="4">
        <v>50403</v>
      </c>
      <c r="C5354" s="5">
        <f>DATE(2012,12,31)-233</f>
        <v>41041</v>
      </c>
      <c r="D5354" s="4" t="s">
        <v>45</v>
      </c>
      <c r="E5354" s="4">
        <v>38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spans="1:21" ht="12" customHeight="1">
      <c r="A5355" s="4">
        <v>7141</v>
      </c>
      <c r="B5355" s="4">
        <v>50950</v>
      </c>
      <c r="C5355" s="5">
        <f t="shared" ref="C5355:C5356" si="2255">DATE(2012,12,31)-1</f>
        <v>41273</v>
      </c>
      <c r="D5355" s="4" t="s">
        <v>45</v>
      </c>
      <c r="E5355" s="4">
        <v>6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6">C5355+0</f>
        <v>41273</v>
      </c>
    </row>
    <row r="5356" spans="1:21" ht="12" customHeight="1">
      <c r="A5356" s="4">
        <v>7142</v>
      </c>
      <c r="B5356" s="4">
        <v>50950</v>
      </c>
      <c r="C5356" s="5">
        <f t="shared" si="2255"/>
        <v>41273</v>
      </c>
      <c r="D5356" s="4" t="s">
        <v>45</v>
      </c>
      <c r="E5356" s="4">
        <v>35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6"/>
        <v>41273</v>
      </c>
    </row>
    <row r="5357" spans="1:21" ht="12" customHeight="1">
      <c r="A5357" s="4">
        <v>7143</v>
      </c>
      <c r="B5357" s="4">
        <v>50977</v>
      </c>
      <c r="C5357" s="5">
        <f>DATE(2012,12,31)-203</f>
        <v>41071</v>
      </c>
      <c r="D5357" s="4" t="s">
        <v>21</v>
      </c>
      <c r="E5357" s="4">
        <v>1</v>
      </c>
      <c r="F5357" s="4">
        <v>34.090000000000003</v>
      </c>
      <c r="G5357" s="4">
        <v>0.05</v>
      </c>
      <c r="H5357" s="4" t="s">
        <v>56</v>
      </c>
      <c r="I5357" s="6">
        <v>-19.899999999999999</v>
      </c>
      <c r="J5357" s="4">
        <v>18.97</v>
      </c>
      <c r="K5357" s="4">
        <v>9.0299999999999994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6"/>
        <v>41071</v>
      </c>
    </row>
    <row r="5358" spans="1:21" ht="12" customHeight="1">
      <c r="A5358" s="4">
        <v>7151</v>
      </c>
      <c r="B5358" s="4">
        <v>51011</v>
      </c>
      <c r="C5358" s="5">
        <f>DATE(2012,12,31)-939</f>
        <v>40335</v>
      </c>
      <c r="D5358" s="4" t="s">
        <v>21</v>
      </c>
      <c r="E5358" s="4">
        <v>41</v>
      </c>
      <c r="F5358" s="4">
        <v>5144.8715000000002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0.55000000000000004</v>
      </c>
      <c r="U5358" s="5">
        <f t="shared" ref="U5358:U5359" si="2257">C5358+2</f>
        <v>40337</v>
      </c>
    </row>
    <row r="5359" spans="1:21" ht="12" customHeight="1">
      <c r="A5359" s="4">
        <v>7169</v>
      </c>
      <c r="B5359" s="4">
        <v>51171</v>
      </c>
      <c r="C5359" s="5">
        <f>DATE(2012,12,31)-924</f>
        <v>40350</v>
      </c>
      <c r="D5359" s="4" t="s">
        <v>30</v>
      </c>
      <c r="E5359" s="4">
        <v>34</v>
      </c>
      <c r="F5359" s="4">
        <v>783.48</v>
      </c>
      <c r="G5359" s="4">
        <v>0.01</v>
      </c>
      <c r="H5359" s="4" t="s">
        <v>22</v>
      </c>
      <c r="I5359" s="6">
        <v>-73.404499999999999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7"/>
        <v>40352</v>
      </c>
    </row>
    <row r="5360" spans="1:21" ht="12" customHeight="1">
      <c r="A5360" s="4">
        <v>7186</v>
      </c>
      <c r="B5360" s="4">
        <v>51267</v>
      </c>
      <c r="C5360" s="5">
        <f>DATE(2012,12,31)-242</f>
        <v>41032</v>
      </c>
      <c r="D5360" s="4" t="s">
        <v>21</v>
      </c>
      <c r="E5360" s="4">
        <v>46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35.840000000000003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spans="1:21" ht="12" customHeight="1">
      <c r="A5361" s="4">
        <v>7200</v>
      </c>
      <c r="B5361" s="4">
        <v>51362</v>
      </c>
      <c r="C5361" s="5">
        <f>DATE(2012,12,31)-1043</f>
        <v>40231</v>
      </c>
      <c r="D5361" s="4" t="s">
        <v>63</v>
      </c>
      <c r="E5361" s="4">
        <v>47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8">C5361+2</f>
        <v>40233</v>
      </c>
    </row>
    <row r="5362" spans="1:21" ht="12" customHeight="1">
      <c r="A5362" s="4">
        <v>7214</v>
      </c>
      <c r="B5362" s="4">
        <v>51489</v>
      </c>
      <c r="C5362" s="5">
        <f t="shared" ref="C5362:C5364" si="2259">DATE(2012,12,31)-303</f>
        <v>40971</v>
      </c>
      <c r="D5362" s="4" t="s">
        <v>78</v>
      </c>
      <c r="E5362" s="4">
        <v>42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8"/>
        <v>40973</v>
      </c>
    </row>
    <row r="5363" spans="1:21" ht="12" customHeight="1">
      <c r="A5363" s="4">
        <v>7215</v>
      </c>
      <c r="B5363" s="4">
        <v>51489</v>
      </c>
      <c r="C5363" s="5">
        <f t="shared" si="2259"/>
        <v>40971</v>
      </c>
      <c r="D5363" s="4" t="s">
        <v>78</v>
      </c>
      <c r="E5363" s="4">
        <v>5</v>
      </c>
      <c r="F5363" s="4">
        <v>32.69</v>
      </c>
      <c r="G5363" s="4">
        <v>0</v>
      </c>
      <c r="H5363" s="4" t="s">
        <v>22</v>
      </c>
      <c r="I5363" s="6">
        <v>-24.43</v>
      </c>
      <c r="J5363" s="4">
        <v>4.9800000000000004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8"/>
        <v>40973</v>
      </c>
    </row>
    <row r="5364" spans="1:21" ht="12" customHeight="1">
      <c r="A5364" s="4">
        <v>7216</v>
      </c>
      <c r="B5364" s="4">
        <v>51489</v>
      </c>
      <c r="C5364" s="5">
        <f t="shared" si="2259"/>
        <v>40971</v>
      </c>
      <c r="D5364" s="4" t="s">
        <v>78</v>
      </c>
      <c r="E5364" s="4">
        <v>22</v>
      </c>
      <c r="F5364" s="4">
        <v>38.880000000000003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spans="1:21" ht="12" customHeight="1">
      <c r="A5365" s="4">
        <v>7217</v>
      </c>
      <c r="B5365" s="4">
        <v>51493</v>
      </c>
      <c r="C5365" s="5">
        <f>DATE(2012,12,31)-544</f>
        <v>40730</v>
      </c>
      <c r="D5365" s="4" t="s">
        <v>21</v>
      </c>
      <c r="E5365" s="4">
        <v>31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spans="1:21" ht="12" customHeight="1">
      <c r="A5366" s="4">
        <v>7283</v>
      </c>
      <c r="B5366" s="4">
        <v>51969</v>
      </c>
      <c r="C5366" s="5">
        <f t="shared" ref="C5366:C5367" si="2260">DATE(2012,12,31)-484</f>
        <v>40790</v>
      </c>
      <c r="D5366" s="4" t="s">
        <v>30</v>
      </c>
      <c r="E5366" s="4">
        <v>16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spans="1:21" ht="12" customHeight="1">
      <c r="A5367" s="4">
        <v>7284</v>
      </c>
      <c r="B5367" s="4">
        <v>51969</v>
      </c>
      <c r="C5367" s="5">
        <f t="shared" si="2260"/>
        <v>40790</v>
      </c>
      <c r="D5367" s="4" t="s">
        <v>30</v>
      </c>
      <c r="E5367" s="4">
        <v>33</v>
      </c>
      <c r="F5367" s="4">
        <v>1756.6949999999999</v>
      </c>
      <c r="G5367" s="4">
        <v>0.1</v>
      </c>
      <c r="H5367" s="4" t="s">
        <v>22</v>
      </c>
      <c r="I5367" s="6">
        <v>164.97</v>
      </c>
      <c r="J5367" s="4">
        <v>65.989999999999995</v>
      </c>
      <c r="K5367" s="4">
        <v>8.8000000000000007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0.57999999999999996</v>
      </c>
      <c r="U5367" s="5">
        <f>C5367+3</f>
        <v>40793</v>
      </c>
    </row>
    <row r="5368" spans="1:21" ht="12" customHeight="1">
      <c r="A5368" s="4">
        <v>7292</v>
      </c>
      <c r="B5368" s="4">
        <v>52003</v>
      </c>
      <c r="C5368" s="5">
        <f t="shared" ref="C5368:C5369" si="2261">DATE(2012,12,31)-317</f>
        <v>40957</v>
      </c>
      <c r="D5368" s="4" t="s">
        <v>21</v>
      </c>
      <c r="E5368" s="4">
        <v>11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spans="1:21" ht="12" customHeight="1">
      <c r="A5369" s="4">
        <v>7293</v>
      </c>
      <c r="B5369" s="4">
        <v>52003</v>
      </c>
      <c r="C5369" s="5">
        <f t="shared" si="2261"/>
        <v>40957</v>
      </c>
      <c r="D5369" s="4" t="s">
        <v>21</v>
      </c>
      <c r="E5369" s="4">
        <v>2</v>
      </c>
      <c r="F5369" s="4">
        <v>93.338499999999996</v>
      </c>
      <c r="G5369" s="4">
        <v>0.1</v>
      </c>
      <c r="H5369" s="4" t="s">
        <v>22</v>
      </c>
      <c r="I5369" s="6">
        <v>-300.38799999999998</v>
      </c>
      <c r="J5369" s="4">
        <v>55.99</v>
      </c>
      <c r="K5369" s="4">
        <v>5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spans="1:21" ht="12" customHeight="1">
      <c r="A5370" s="4">
        <v>7323</v>
      </c>
      <c r="B5370" s="4">
        <v>52196</v>
      </c>
      <c r="C5370" s="5">
        <f t="shared" ref="C5370:C5371" si="2262">DATE(2012,12,31)-1066</f>
        <v>40208</v>
      </c>
      <c r="D5370" s="4" t="s">
        <v>45</v>
      </c>
      <c r="E5370" s="4">
        <v>1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spans="1:21" ht="12" customHeight="1">
      <c r="A5371" s="4">
        <v>7324</v>
      </c>
      <c r="B5371" s="4">
        <v>52196</v>
      </c>
      <c r="C5371" s="5">
        <f t="shared" si="2262"/>
        <v>40208</v>
      </c>
      <c r="D5371" s="4" t="s">
        <v>45</v>
      </c>
      <c r="E5371" s="4">
        <v>10</v>
      </c>
      <c r="F5371" s="4">
        <v>547.00049999999999</v>
      </c>
      <c r="G5371" s="4">
        <v>0.08</v>
      </c>
      <c r="H5371" s="4" t="s">
        <v>22</v>
      </c>
      <c r="I5371" s="6">
        <v>-97.195999999999998</v>
      </c>
      <c r="J5371" s="4">
        <v>65.989999999999995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0.55000000000000004</v>
      </c>
      <c r="U5371" s="5">
        <f>C5371+2</f>
        <v>40210</v>
      </c>
    </row>
    <row r="5372" spans="1:21" ht="12" customHeight="1">
      <c r="A5372" s="4">
        <v>7340</v>
      </c>
      <c r="B5372" s="4">
        <v>52292</v>
      </c>
      <c r="C5372" s="5">
        <f>DATE(2012,12,31)-820</f>
        <v>40454</v>
      </c>
      <c r="D5372" s="4" t="s">
        <v>45</v>
      </c>
      <c r="E5372" s="4">
        <v>18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130.97999999999999</v>
      </c>
      <c r="K5372" s="4">
        <v>30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spans="1:21" ht="12" customHeight="1">
      <c r="A5373" s="4">
        <v>7359</v>
      </c>
      <c r="B5373" s="4">
        <v>52423</v>
      </c>
      <c r="C5373" s="5">
        <f t="shared" ref="C5373:C5374" si="2263">DATE(2012,12,31)-630</f>
        <v>40644</v>
      </c>
      <c r="D5373" s="4" t="s">
        <v>78</v>
      </c>
      <c r="E5373" s="4">
        <v>49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35.409999999999997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spans="1:21" ht="12" customHeight="1">
      <c r="A5374" s="4">
        <v>7360</v>
      </c>
      <c r="B5374" s="4">
        <v>52423</v>
      </c>
      <c r="C5374" s="5">
        <f t="shared" si="2263"/>
        <v>40644</v>
      </c>
      <c r="D5374" s="4" t="s">
        <v>78</v>
      </c>
      <c r="E5374" s="4">
        <v>25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4">C5374+1</f>
        <v>40645</v>
      </c>
    </row>
    <row r="5375" spans="1:21" ht="12" customHeight="1">
      <c r="A5375" s="4">
        <v>7361</v>
      </c>
      <c r="B5375" s="4">
        <v>52448</v>
      </c>
      <c r="C5375" s="5">
        <f>DATE(2012,12,31)-843</f>
        <v>40431</v>
      </c>
      <c r="D5375" s="4" t="s">
        <v>45</v>
      </c>
      <c r="E5375" s="4">
        <v>22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0.56999999999999995</v>
      </c>
      <c r="U5375" s="5">
        <f t="shared" si="2264"/>
        <v>40432</v>
      </c>
    </row>
    <row r="5376" spans="1:21" ht="12" customHeight="1">
      <c r="A5376" s="4">
        <v>7376</v>
      </c>
      <c r="B5376" s="4">
        <v>52580</v>
      </c>
      <c r="C5376" s="5">
        <f t="shared" ref="C5376:C5377" si="2265">DATE(2012,12,31)-125</f>
        <v>41149</v>
      </c>
      <c r="D5376" s="4" t="s">
        <v>30</v>
      </c>
      <c r="E5376" s="4">
        <v>16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6">C5376+2</f>
        <v>41151</v>
      </c>
    </row>
    <row r="5377" spans="1:21" ht="12" customHeight="1">
      <c r="A5377" s="4">
        <v>7377</v>
      </c>
      <c r="B5377" s="4">
        <v>52580</v>
      </c>
      <c r="C5377" s="5">
        <f t="shared" si="2265"/>
        <v>41149</v>
      </c>
      <c r="D5377" s="4" t="s">
        <v>30</v>
      </c>
      <c r="E5377" s="4">
        <v>23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6"/>
        <v>41151</v>
      </c>
    </row>
    <row r="5378" spans="1:21" ht="12" customHeight="1">
      <c r="A5378" s="4">
        <v>7441</v>
      </c>
      <c r="B5378" s="4">
        <v>53056</v>
      </c>
      <c r="C5378" s="5">
        <f>DATE(2012,12,31)-424</f>
        <v>40850</v>
      </c>
      <c r="D5378" s="4" t="s">
        <v>78</v>
      </c>
      <c r="E5378" s="4">
        <v>13</v>
      </c>
      <c r="F5378" s="4">
        <v>509.49</v>
      </c>
      <c r="G5378" s="4">
        <v>7.0000000000000007E-2</v>
      </c>
      <c r="H5378" s="4" t="s">
        <v>22</v>
      </c>
      <c r="I5378" s="6">
        <v>-51.182099999999998</v>
      </c>
      <c r="J5378" s="4">
        <v>40.99</v>
      </c>
      <c r="K5378" s="4">
        <v>8.9700000000000006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spans="1:21" ht="12" customHeight="1">
      <c r="A5379" s="4">
        <v>7442</v>
      </c>
      <c r="B5379" s="4">
        <v>53060</v>
      </c>
      <c r="C5379" s="5">
        <f t="shared" ref="C5379:C5380" si="2267">DATE(2012,12,31)-1015</f>
        <v>40259</v>
      </c>
      <c r="D5379" s="4" t="s">
        <v>78</v>
      </c>
      <c r="E5379" s="4">
        <v>36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8">C5379+2</f>
        <v>40261</v>
      </c>
    </row>
    <row r="5380" spans="1:21" ht="12" customHeight="1">
      <c r="A5380" s="4">
        <v>7443</v>
      </c>
      <c r="B5380" s="4">
        <v>53060</v>
      </c>
      <c r="C5380" s="5">
        <f t="shared" si="2267"/>
        <v>40259</v>
      </c>
      <c r="D5380" s="4" t="s">
        <v>78</v>
      </c>
      <c r="E5380" s="4">
        <v>4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8"/>
        <v>40261</v>
      </c>
    </row>
    <row r="5381" spans="1:21" ht="12" customHeight="1">
      <c r="A5381" s="4">
        <v>7465</v>
      </c>
      <c r="B5381" s="4">
        <v>53283</v>
      </c>
      <c r="C5381" s="5">
        <f>DATE(2012,12,31)-430</f>
        <v>40844</v>
      </c>
      <c r="D5381" s="4" t="s">
        <v>30</v>
      </c>
      <c r="E5381" s="4">
        <v>2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spans="1:21" ht="12" customHeight="1">
      <c r="A5382" s="4">
        <v>7471</v>
      </c>
      <c r="B5382" s="4">
        <v>53344</v>
      </c>
      <c r="C5382" s="5">
        <f>DATE(2012,12,31)-1041</f>
        <v>40233</v>
      </c>
      <c r="D5382" s="4" t="s">
        <v>30</v>
      </c>
      <c r="E5382" s="4">
        <v>36</v>
      </c>
      <c r="F5382" s="4">
        <v>181.95</v>
      </c>
      <c r="G5382" s="4">
        <v>0.03</v>
      </c>
      <c r="H5382" s="4" t="s">
        <v>22</v>
      </c>
      <c r="I5382" s="6">
        <v>-132.26150000000001</v>
      </c>
      <c r="J5382" s="4">
        <v>4.8899999999999997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spans="1:21" ht="12" customHeight="1">
      <c r="A5383" s="4">
        <v>7477</v>
      </c>
      <c r="B5383" s="4">
        <v>53381</v>
      </c>
      <c r="C5383" s="5">
        <f>DATE(2012,12,31)-827</f>
        <v>40447</v>
      </c>
      <c r="D5383" s="4" t="s">
        <v>78</v>
      </c>
      <c r="E5383" s="4">
        <v>26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spans="1:21" ht="12" customHeight="1">
      <c r="A5384" s="4">
        <v>7505</v>
      </c>
      <c r="B5384" s="4">
        <v>53571</v>
      </c>
      <c r="C5384" s="5">
        <f>DATE(2012,12,31)-291</f>
        <v>40983</v>
      </c>
      <c r="D5384" s="4" t="s">
        <v>45</v>
      </c>
      <c r="E5384" s="4">
        <v>21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69">C5384+2</f>
        <v>40985</v>
      </c>
    </row>
    <row r="5385" spans="1:21" ht="12" customHeight="1">
      <c r="A5385" s="4">
        <v>7513</v>
      </c>
      <c r="B5385" s="4">
        <v>53635</v>
      </c>
      <c r="C5385" s="5">
        <f>DATE(2012,12,31)-166</f>
        <v>41108</v>
      </c>
      <c r="D5385" s="4" t="s">
        <v>45</v>
      </c>
      <c r="E5385" s="4">
        <v>33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69"/>
        <v>41110</v>
      </c>
    </row>
    <row r="5386" spans="1:21" ht="12" customHeight="1">
      <c r="A5386" s="4">
        <v>7525</v>
      </c>
      <c r="B5386" s="4">
        <v>53762</v>
      </c>
      <c r="C5386" s="5">
        <f>DATE(2012,12,31)-213</f>
        <v>41061</v>
      </c>
      <c r="D5386" s="4" t="s">
        <v>78</v>
      </c>
      <c r="E5386" s="4">
        <v>28</v>
      </c>
      <c r="F5386" s="4">
        <v>136.16</v>
      </c>
      <c r="G5386" s="4">
        <v>7.0000000000000007E-2</v>
      </c>
      <c r="H5386" s="4" t="s">
        <v>22</v>
      </c>
      <c r="I5386" s="6">
        <v>58.1</v>
      </c>
      <c r="J5386" s="4">
        <v>4.9800000000000004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spans="1:21" ht="12" customHeight="1">
      <c r="A5387" s="4">
        <v>7561</v>
      </c>
      <c r="B5387" s="4">
        <v>54086</v>
      </c>
      <c r="C5387" s="5">
        <f>DATE(2012,12,31)-116</f>
        <v>41158</v>
      </c>
      <c r="D5387" s="4" t="s">
        <v>21</v>
      </c>
      <c r="E5387" s="4">
        <v>23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270.97000000000003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0.56000000000000005</v>
      </c>
      <c r="U5387" s="5">
        <f t="shared" ref="U5387:U5392" si="2270">C5387+2</f>
        <v>41160</v>
      </c>
    </row>
    <row r="5388" spans="1:21" ht="12" customHeight="1">
      <c r="A5388" s="4">
        <v>7575</v>
      </c>
      <c r="B5388" s="4">
        <v>54180</v>
      </c>
      <c r="C5388" s="5">
        <f>DATE(2012,12,31)-70</f>
        <v>41204</v>
      </c>
      <c r="D5388" s="4" t="s">
        <v>78</v>
      </c>
      <c r="E5388" s="4">
        <v>43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0"/>
        <v>41206</v>
      </c>
    </row>
    <row r="5389" spans="1:21" ht="12" customHeight="1">
      <c r="A5389" s="4">
        <v>7581</v>
      </c>
      <c r="B5389" s="4">
        <v>54215</v>
      </c>
      <c r="C5389" s="5">
        <f>DATE(2012,12,31)-437</f>
        <v>40837</v>
      </c>
      <c r="D5389" s="4" t="s">
        <v>30</v>
      </c>
      <c r="E5389" s="4">
        <v>14</v>
      </c>
      <c r="F5389" s="4">
        <v>321.20999999999998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0"/>
        <v>40839</v>
      </c>
    </row>
    <row r="5390" spans="1:21" ht="12" customHeight="1">
      <c r="A5390" s="4">
        <v>7591</v>
      </c>
      <c r="B5390" s="4">
        <v>54336</v>
      </c>
      <c r="C5390" s="5">
        <f>DATE(2012,12,31)-991</f>
        <v>40283</v>
      </c>
      <c r="D5390" s="4" t="s">
        <v>63</v>
      </c>
      <c r="E5390" s="4">
        <v>50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0"/>
        <v>40285</v>
      </c>
    </row>
    <row r="5391" spans="1:21" ht="12" customHeight="1">
      <c r="A5391" s="4">
        <v>7610</v>
      </c>
      <c r="B5391" s="4">
        <v>54467</v>
      </c>
      <c r="C5391" s="5">
        <f t="shared" ref="C5391:C5393" si="2271">DATE(2012,12,31)-805</f>
        <v>40469</v>
      </c>
      <c r="D5391" s="4" t="s">
        <v>21</v>
      </c>
      <c r="E5391" s="4">
        <v>37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0"/>
        <v>40471</v>
      </c>
    </row>
    <row r="5392" spans="1:21" ht="12" customHeight="1">
      <c r="A5392" s="4">
        <v>7611</v>
      </c>
      <c r="B5392" s="4">
        <v>54467</v>
      </c>
      <c r="C5392" s="5">
        <f t="shared" si="2271"/>
        <v>40469</v>
      </c>
      <c r="D5392" s="4" t="s">
        <v>21</v>
      </c>
      <c r="E5392" s="4">
        <v>30</v>
      </c>
      <c r="F5392" s="4">
        <v>146.72</v>
      </c>
      <c r="G5392" s="4">
        <v>0.06</v>
      </c>
      <c r="H5392" s="4" t="s">
        <v>22</v>
      </c>
      <c r="I5392" s="6">
        <v>18.260000000000002</v>
      </c>
      <c r="J5392" s="4">
        <v>5.08</v>
      </c>
      <c r="K5392" s="4">
        <v>2.0299999999999998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0"/>
        <v>40471</v>
      </c>
    </row>
    <row r="5393" spans="1:21" ht="12" customHeight="1">
      <c r="A5393" s="4">
        <v>7612</v>
      </c>
      <c r="B5393" s="4">
        <v>54467</v>
      </c>
      <c r="C5393" s="5">
        <f t="shared" si="2271"/>
        <v>40469</v>
      </c>
      <c r="D5393" s="4" t="s">
        <v>21</v>
      </c>
      <c r="E5393" s="4">
        <v>17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4.0599999999999996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spans="1:21" ht="12" customHeight="1">
      <c r="A5394" s="4">
        <v>7623</v>
      </c>
      <c r="B5394" s="4">
        <v>54534</v>
      </c>
      <c r="C5394" s="5">
        <f>DATE(2012,12,31)-287</f>
        <v>40987</v>
      </c>
      <c r="D5394" s="4" t="s">
        <v>45</v>
      </c>
      <c r="E5394" s="4">
        <v>16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2">C5394+2</f>
        <v>40989</v>
      </c>
    </row>
    <row r="5395" spans="1:21" ht="12" customHeight="1">
      <c r="A5395" s="4">
        <v>7627</v>
      </c>
      <c r="B5395" s="4">
        <v>54564</v>
      </c>
      <c r="C5395" s="5">
        <f>DATE(2012,12,31)-756</f>
        <v>40518</v>
      </c>
      <c r="D5395" s="4" t="s">
        <v>30</v>
      </c>
      <c r="E5395" s="4">
        <v>27</v>
      </c>
      <c r="F5395" s="4">
        <v>1553.8679999999999</v>
      </c>
      <c r="G5395" s="4">
        <v>0.04</v>
      </c>
      <c r="H5395" s="4" t="s">
        <v>56</v>
      </c>
      <c r="I5395" s="6">
        <v>322.50599999999997</v>
      </c>
      <c r="J5395" s="4">
        <v>65.989999999999995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0.55000000000000004</v>
      </c>
      <c r="U5395" s="5">
        <f t="shared" si="2272"/>
        <v>40520</v>
      </c>
    </row>
    <row r="5396" spans="1:21" ht="12" customHeight="1">
      <c r="A5396" s="4">
        <v>7637</v>
      </c>
      <c r="B5396" s="4">
        <v>54692</v>
      </c>
      <c r="C5396" s="5">
        <f t="shared" ref="C5396:C5397" si="2273">DATE(2012,12,31)-1032</f>
        <v>40242</v>
      </c>
      <c r="D5396" s="4" t="s">
        <v>63</v>
      </c>
      <c r="E5396" s="4">
        <v>16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spans="1:21" ht="12" customHeight="1">
      <c r="A5397" s="4">
        <v>7638</v>
      </c>
      <c r="B5397" s="4">
        <v>54692</v>
      </c>
      <c r="C5397" s="5">
        <f t="shared" si="2273"/>
        <v>40242</v>
      </c>
      <c r="D5397" s="4" t="s">
        <v>63</v>
      </c>
      <c r="E5397" s="4">
        <v>27</v>
      </c>
      <c r="F5397" s="4">
        <v>2478.4810000000002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0.57999999999999996</v>
      </c>
      <c r="U5397" s="5">
        <f>C5397+2</f>
        <v>40244</v>
      </c>
    </row>
    <row r="5398" spans="1:21" ht="12" customHeight="1">
      <c r="A5398" s="4">
        <v>7641</v>
      </c>
      <c r="B5398" s="4">
        <v>54727</v>
      </c>
      <c r="C5398" s="5">
        <f>DATE(2012,12,31)-749</f>
        <v>40525</v>
      </c>
      <c r="D5398" s="4" t="s">
        <v>63</v>
      </c>
      <c r="E5398" s="4">
        <v>29</v>
      </c>
      <c r="F5398" s="4">
        <v>1427.14</v>
      </c>
      <c r="G5398" s="4">
        <v>0.02</v>
      </c>
      <c r="H5398" s="4" t="s">
        <v>22</v>
      </c>
      <c r="I5398" s="6">
        <v>605.91999999999996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4">C5398+1</f>
        <v>40526</v>
      </c>
    </row>
    <row r="5399" spans="1:21" ht="12" customHeight="1">
      <c r="A5399" s="4">
        <v>7656</v>
      </c>
      <c r="B5399" s="4">
        <v>54886</v>
      </c>
      <c r="C5399" s="5">
        <f>DATE(2012,12,31)-149</f>
        <v>41125</v>
      </c>
      <c r="D5399" s="4" t="s">
        <v>78</v>
      </c>
      <c r="E5399" s="4">
        <v>39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0.56999999999999995</v>
      </c>
      <c r="U5399" s="5">
        <f t="shared" si="2274"/>
        <v>41126</v>
      </c>
    </row>
    <row r="5400" spans="1:21" ht="12" customHeight="1">
      <c r="A5400" s="4">
        <v>7668</v>
      </c>
      <c r="B5400" s="4">
        <v>54977</v>
      </c>
      <c r="C5400" s="5">
        <f t="shared" ref="C5400:C5401" si="2275">DATE(2012,12,31)-540</f>
        <v>40734</v>
      </c>
      <c r="D5400" s="4" t="s">
        <v>21</v>
      </c>
      <c r="E5400" s="4">
        <v>24</v>
      </c>
      <c r="F5400" s="4">
        <v>344.25</v>
      </c>
      <c r="G5400" s="4">
        <v>0.1</v>
      </c>
      <c r="H5400" s="4" t="s">
        <v>22</v>
      </c>
      <c r="I5400" s="6">
        <v>23.961500000000001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spans="1:21" ht="12" customHeight="1">
      <c r="A5401" s="4">
        <v>7669</v>
      </c>
      <c r="B5401" s="4">
        <v>54977</v>
      </c>
      <c r="C5401" s="5">
        <f t="shared" si="2275"/>
        <v>40734</v>
      </c>
      <c r="D5401" s="4" t="s">
        <v>21</v>
      </c>
      <c r="E5401" s="4">
        <v>12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spans="1:21" ht="12" customHeight="1">
      <c r="A5402" s="4">
        <v>7692</v>
      </c>
      <c r="B5402" s="4">
        <v>55139</v>
      </c>
      <c r="C5402" s="5">
        <f>DATE(2012,12,31)-1079</f>
        <v>40195</v>
      </c>
      <c r="D5402" s="4" t="s">
        <v>45</v>
      </c>
      <c r="E5402" s="4">
        <v>41</v>
      </c>
      <c r="F5402" s="4">
        <v>576.58000000000004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0.56000000000000005</v>
      </c>
      <c r="U5402" s="5">
        <f>C5402+1</f>
        <v>40196</v>
      </c>
    </row>
    <row r="5403" spans="1:21" ht="12" customHeight="1">
      <c r="A5403" s="4">
        <v>7702</v>
      </c>
      <c r="B5403" s="4">
        <v>55203</v>
      </c>
      <c r="C5403" s="5">
        <f>DATE(2012,12,31)-995</f>
        <v>40279</v>
      </c>
      <c r="D5403" s="4" t="s">
        <v>21</v>
      </c>
      <c r="E5403" s="4">
        <v>18</v>
      </c>
      <c r="F5403" s="4">
        <v>994.47450000000003</v>
      </c>
      <c r="G5403" s="4">
        <v>0.05</v>
      </c>
      <c r="H5403" s="4" t="s">
        <v>22</v>
      </c>
      <c r="I5403" s="6">
        <v>0.71100000000000563</v>
      </c>
      <c r="J5403" s="4">
        <v>65.989999999999995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spans="1:21" ht="12" customHeight="1">
      <c r="A5404" s="4">
        <v>7744</v>
      </c>
      <c r="B5404" s="4">
        <v>55431</v>
      </c>
      <c r="C5404" s="5">
        <f>DATE(2012,12,31)-206</f>
        <v>41068</v>
      </c>
      <c r="D5404" s="4" t="s">
        <v>45</v>
      </c>
      <c r="E5404" s="4">
        <v>39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spans="1:21" ht="12" customHeight="1">
      <c r="A5405" s="4">
        <v>7756</v>
      </c>
      <c r="B5405" s="4">
        <v>55494</v>
      </c>
      <c r="C5405" s="5">
        <f t="shared" ref="C5405:C5406" si="2276">DATE(2012,12,31)-189</f>
        <v>41085</v>
      </c>
      <c r="D5405" s="4" t="s">
        <v>45</v>
      </c>
      <c r="E5405" s="4">
        <v>4</v>
      </c>
      <c r="F5405" s="4">
        <v>57.82</v>
      </c>
      <c r="G5405" s="4">
        <v>0.08</v>
      </c>
      <c r="H5405" s="4" t="s">
        <v>56</v>
      </c>
      <c r="I5405" s="6">
        <v>0.84999999999999787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spans="1:21" ht="12" customHeight="1">
      <c r="A5406" s="4">
        <v>7757</v>
      </c>
      <c r="B5406" s="4">
        <v>55494</v>
      </c>
      <c r="C5406" s="5">
        <f t="shared" si="2276"/>
        <v>41085</v>
      </c>
      <c r="D5406" s="4" t="s">
        <v>45</v>
      </c>
      <c r="E5406" s="4">
        <v>49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7">C5406+1</f>
        <v>41086</v>
      </c>
    </row>
    <row r="5407" spans="1:21" ht="12" customHeight="1">
      <c r="A5407" s="4">
        <v>7775</v>
      </c>
      <c r="B5407" s="4">
        <v>55651</v>
      </c>
      <c r="C5407" s="5">
        <f>DATE(2012,12,31)-299</f>
        <v>40975</v>
      </c>
      <c r="D5407" s="4" t="s">
        <v>63</v>
      </c>
      <c r="E5407" s="4">
        <v>11</v>
      </c>
      <c r="F5407" s="4">
        <v>995.72400000000005</v>
      </c>
      <c r="G5407" s="4">
        <v>0.05</v>
      </c>
      <c r="H5407" s="4" t="s">
        <v>22</v>
      </c>
      <c r="I5407" s="6">
        <v>-117.61199999999999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0.56999999999999995</v>
      </c>
      <c r="U5407" s="5">
        <f t="shared" si="2277"/>
        <v>40976</v>
      </c>
    </row>
    <row r="5408" spans="1:21" ht="12" customHeight="1">
      <c r="A5408" s="4">
        <v>7836</v>
      </c>
      <c r="B5408" s="4">
        <v>56006</v>
      </c>
      <c r="C5408" s="5">
        <f t="shared" ref="C5408:C5409" si="2278">DATE(2012,12,31)-457</f>
        <v>40817</v>
      </c>
      <c r="D5408" s="4" t="s">
        <v>78</v>
      </c>
      <c r="E5408" s="4">
        <v>16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spans="1:21" ht="12" customHeight="1">
      <c r="A5409" s="4">
        <v>7837</v>
      </c>
      <c r="B5409" s="4">
        <v>56006</v>
      </c>
      <c r="C5409" s="5">
        <f t="shared" si="2278"/>
        <v>40817</v>
      </c>
      <c r="D5409" s="4" t="s">
        <v>78</v>
      </c>
      <c r="E5409" s="4">
        <v>20</v>
      </c>
      <c r="F5409" s="4">
        <v>1429.088</v>
      </c>
      <c r="G5409" s="4">
        <v>0.06</v>
      </c>
      <c r="H5409" s="4" t="s">
        <v>22</v>
      </c>
      <c r="I5409" s="6">
        <v>500.04899999999998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79">C5409+2</f>
        <v>40819</v>
      </c>
    </row>
    <row r="5410" spans="1:21" ht="12" customHeight="1">
      <c r="A5410" s="4">
        <v>7850</v>
      </c>
      <c r="B5410" s="4">
        <v>56130</v>
      </c>
      <c r="C5410" s="5">
        <f t="shared" ref="C5410:C5411" si="2280">DATE(2012,12,31)-398</f>
        <v>40876</v>
      </c>
      <c r="D5410" s="4" t="s">
        <v>63</v>
      </c>
      <c r="E5410" s="4">
        <v>13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79"/>
        <v>40878</v>
      </c>
    </row>
    <row r="5411" spans="1:21" ht="12" customHeight="1">
      <c r="A5411" s="4">
        <v>7851</v>
      </c>
      <c r="B5411" s="4">
        <v>56130</v>
      </c>
      <c r="C5411" s="5">
        <f t="shared" si="2280"/>
        <v>40876</v>
      </c>
      <c r="D5411" s="4" t="s">
        <v>63</v>
      </c>
      <c r="E5411" s="4">
        <v>25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79"/>
        <v>40878</v>
      </c>
    </row>
    <row r="5412" spans="1:21" ht="12" customHeight="1">
      <c r="A5412" s="4">
        <v>7855</v>
      </c>
      <c r="B5412" s="4">
        <v>56162</v>
      </c>
      <c r="C5412" s="5">
        <f>DATE(2012,12,31)-616</f>
        <v>40658</v>
      </c>
      <c r="D5412" s="4" t="s">
        <v>45</v>
      </c>
      <c r="E5412" s="4">
        <v>30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79"/>
        <v>40660</v>
      </c>
    </row>
    <row r="5413" spans="1:21" ht="12" customHeight="1">
      <c r="A5413" s="4">
        <v>7867</v>
      </c>
      <c r="B5413" s="4">
        <v>56261</v>
      </c>
      <c r="C5413" s="5">
        <f>DATE(2012,12,31)-308</f>
        <v>40966</v>
      </c>
      <c r="D5413" s="4" t="s">
        <v>78</v>
      </c>
      <c r="E5413" s="4">
        <v>43</v>
      </c>
      <c r="F5413" s="4">
        <v>16886.759999999998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79"/>
        <v>40968</v>
      </c>
    </row>
    <row r="5414" spans="1:21" ht="12" customHeight="1">
      <c r="A5414" s="4">
        <v>7881</v>
      </c>
      <c r="B5414" s="4">
        <v>56358</v>
      </c>
      <c r="C5414" s="5">
        <f>DATE(2012,12,31)-305</f>
        <v>40969</v>
      </c>
      <c r="D5414" s="4" t="s">
        <v>45</v>
      </c>
      <c r="E5414" s="4">
        <v>1</v>
      </c>
      <c r="F5414" s="4">
        <v>11.7</v>
      </c>
      <c r="G5414" s="4">
        <v>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79"/>
        <v>40971</v>
      </c>
    </row>
    <row r="5415" spans="1:21" ht="12" customHeight="1">
      <c r="A5415" s="4">
        <v>7896</v>
      </c>
      <c r="B5415" s="4">
        <v>56484</v>
      </c>
      <c r="C5415" s="5">
        <f t="shared" ref="C5415:C5416" si="2281">DATE(2012,12,31)-406</f>
        <v>40868</v>
      </c>
      <c r="D5415" s="4" t="s">
        <v>45</v>
      </c>
      <c r="E5415" s="4">
        <v>6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2">C5415+1</f>
        <v>40869</v>
      </c>
    </row>
    <row r="5416" spans="1:21" ht="12" customHeight="1">
      <c r="A5416" s="4">
        <v>7897</v>
      </c>
      <c r="B5416" s="4">
        <v>56484</v>
      </c>
      <c r="C5416" s="5">
        <f t="shared" si="2281"/>
        <v>40868</v>
      </c>
      <c r="D5416" s="4" t="s">
        <v>45</v>
      </c>
      <c r="E5416" s="4">
        <v>15</v>
      </c>
      <c r="F5416" s="4">
        <v>1121.8399999999999</v>
      </c>
      <c r="G5416" s="4">
        <v>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2"/>
        <v>40869</v>
      </c>
    </row>
    <row r="5417" spans="1:21" ht="12" customHeight="1">
      <c r="A5417" s="4">
        <v>7931</v>
      </c>
      <c r="B5417" s="4">
        <v>56676</v>
      </c>
      <c r="C5417" s="5">
        <f>DATE(2012,12,31)-67</f>
        <v>41207</v>
      </c>
      <c r="D5417" s="4" t="s">
        <v>78</v>
      </c>
      <c r="E5417" s="4">
        <v>39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2"/>
        <v>41208</v>
      </c>
    </row>
    <row r="5418" spans="1:21" ht="12" customHeight="1">
      <c r="A5418" s="4">
        <v>7941</v>
      </c>
      <c r="B5418" s="4">
        <v>56740</v>
      </c>
      <c r="C5418" s="5">
        <f t="shared" ref="C5418:C5419" si="2283">DATE(2012,12,31)-76</f>
        <v>41198</v>
      </c>
      <c r="D5418" s="4" t="s">
        <v>21</v>
      </c>
      <c r="E5418" s="4">
        <v>6</v>
      </c>
      <c r="F5418" s="4">
        <v>34.29</v>
      </c>
      <c r="G5418" s="4">
        <v>0.05</v>
      </c>
      <c r="H5418" s="4" t="s">
        <v>22</v>
      </c>
      <c r="I5418" s="6">
        <v>-6.8194999999999997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spans="1:21" ht="12" customHeight="1">
      <c r="A5419" s="4">
        <v>7942</v>
      </c>
      <c r="B5419" s="4">
        <v>56740</v>
      </c>
      <c r="C5419" s="5">
        <f t="shared" si="2283"/>
        <v>41198</v>
      </c>
      <c r="D5419" s="4" t="s">
        <v>21</v>
      </c>
      <c r="E5419" s="4">
        <v>29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spans="1:21" ht="12" customHeight="1">
      <c r="A5420" s="4">
        <v>7948</v>
      </c>
      <c r="B5420" s="4">
        <v>56802</v>
      </c>
      <c r="C5420" s="5">
        <f>DATE(2012,12,31)-216</f>
        <v>41058</v>
      </c>
      <c r="D5420" s="4" t="s">
        <v>30</v>
      </c>
      <c r="E5420" s="4">
        <v>50</v>
      </c>
      <c r="F5420" s="4">
        <v>78.2</v>
      </c>
      <c r="G5420" s="4">
        <v>0.09</v>
      </c>
      <c r="H5420" s="4" t="s">
        <v>22</v>
      </c>
      <c r="I5420" s="6">
        <v>-4.5599999999999996</v>
      </c>
      <c r="J5420" s="4">
        <v>1.68</v>
      </c>
      <c r="K5420" s="4">
        <v>1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spans="1:21" ht="12" customHeight="1">
      <c r="A5421" s="4">
        <v>7959</v>
      </c>
      <c r="B5421" s="4">
        <v>56868</v>
      </c>
      <c r="C5421" s="5">
        <f>DATE(2012,12,31)-394</f>
        <v>40880</v>
      </c>
      <c r="D5421" s="4" t="s">
        <v>21</v>
      </c>
      <c r="E5421" s="4">
        <v>34</v>
      </c>
      <c r="F5421" s="4">
        <v>1947.4265</v>
      </c>
      <c r="G5421" s="4">
        <v>0.03</v>
      </c>
      <c r="H5421" s="4" t="s">
        <v>22</v>
      </c>
      <c r="I5421" s="6">
        <v>473.26499999999999</v>
      </c>
      <c r="J5421" s="4">
        <v>65.989999999999995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0.55000000000000004</v>
      </c>
      <c r="U5421" s="5">
        <f>C5421+7</f>
        <v>40887</v>
      </c>
    </row>
    <row r="5422" spans="1:21" ht="12" customHeight="1">
      <c r="A5422" s="4">
        <v>7960</v>
      </c>
      <c r="B5422" s="4">
        <v>56869</v>
      </c>
      <c r="C5422" s="5">
        <f>DATE(2012,12,31)-892</f>
        <v>40382</v>
      </c>
      <c r="D5422" s="4" t="s">
        <v>21</v>
      </c>
      <c r="E5422" s="4">
        <v>10</v>
      </c>
      <c r="F5422" s="4">
        <v>842.19</v>
      </c>
      <c r="G5422" s="4">
        <v>0</v>
      </c>
      <c r="H5422" s="4" t="s">
        <v>22</v>
      </c>
      <c r="I5422" s="6">
        <v>157.44999999999999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spans="1:21" ht="12" customHeight="1">
      <c r="A5423" s="4">
        <v>8004</v>
      </c>
      <c r="B5423" s="4">
        <v>57190</v>
      </c>
      <c r="C5423" s="5">
        <f t="shared" ref="C5423:C5424" si="2284">DATE(2012,12,31)-948</f>
        <v>40326</v>
      </c>
      <c r="D5423" s="4" t="s">
        <v>63</v>
      </c>
      <c r="E5423" s="4">
        <v>48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8.9700000000000006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spans="1:21" ht="12" customHeight="1">
      <c r="A5424" s="4">
        <v>8005</v>
      </c>
      <c r="B5424" s="4">
        <v>57190</v>
      </c>
      <c r="C5424" s="5">
        <f t="shared" si="2284"/>
        <v>40326</v>
      </c>
      <c r="D5424" s="4" t="s">
        <v>63</v>
      </c>
      <c r="E5424" s="4">
        <v>36</v>
      </c>
      <c r="F5424" s="4">
        <v>620.45000000000005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spans="1:21" ht="12" customHeight="1">
      <c r="A5425" s="4">
        <v>8022</v>
      </c>
      <c r="B5425" s="4">
        <v>57318</v>
      </c>
      <c r="C5425" s="5">
        <f t="shared" ref="C5425:C5426" si="2285">DATE(2012,12,31)-1086</f>
        <v>40188</v>
      </c>
      <c r="D5425" s="4" t="s">
        <v>63</v>
      </c>
      <c r="E5425" s="4">
        <v>33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6">C5425+2</f>
        <v>40190</v>
      </c>
    </row>
    <row r="5426" spans="1:21" ht="12" customHeight="1">
      <c r="A5426" s="4">
        <v>8023</v>
      </c>
      <c r="B5426" s="4">
        <v>57318</v>
      </c>
      <c r="C5426" s="5">
        <f t="shared" si="2285"/>
        <v>40188</v>
      </c>
      <c r="D5426" s="4" t="s">
        <v>63</v>
      </c>
      <c r="E5426" s="4">
        <v>12</v>
      </c>
      <c r="F5426" s="4">
        <v>79.06</v>
      </c>
      <c r="G5426" s="4">
        <v>0.1</v>
      </c>
      <c r="H5426" s="4" t="s">
        <v>22</v>
      </c>
      <c r="I5426" s="6">
        <v>-47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6"/>
        <v>40190</v>
      </c>
    </row>
    <row r="5427" spans="1:21" ht="12" customHeight="1">
      <c r="A5427" s="4">
        <v>8025</v>
      </c>
      <c r="B5427" s="4">
        <v>57350</v>
      </c>
      <c r="C5427" s="5">
        <f t="shared" ref="C5427:C5428" si="2287">DATE(2012,12,31)-586</f>
        <v>40688</v>
      </c>
      <c r="D5427" s="4" t="s">
        <v>30</v>
      </c>
      <c r="E5427" s="4">
        <v>33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8">C5427+1</f>
        <v>40689</v>
      </c>
    </row>
    <row r="5428" spans="1:21" ht="12" customHeight="1">
      <c r="A5428" s="4">
        <v>8026</v>
      </c>
      <c r="B5428" s="4">
        <v>57350</v>
      </c>
      <c r="C5428" s="5">
        <f t="shared" si="2287"/>
        <v>40688</v>
      </c>
      <c r="D5428" s="4" t="s">
        <v>30</v>
      </c>
      <c r="E5428" s="4">
        <v>50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8.8000000000000007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8"/>
        <v>40689</v>
      </c>
    </row>
    <row r="5429" spans="1:21" ht="12" customHeight="1">
      <c r="A5429" s="4">
        <v>8041</v>
      </c>
      <c r="B5429" s="4">
        <v>57444</v>
      </c>
      <c r="C5429" s="5">
        <f>DATE(2012,12,31)-597</f>
        <v>40677</v>
      </c>
      <c r="D5429" s="4" t="s">
        <v>78</v>
      </c>
      <c r="E5429" s="4">
        <v>24</v>
      </c>
      <c r="F5429" s="4">
        <v>178.92</v>
      </c>
      <c r="G5429" s="4">
        <v>0.09</v>
      </c>
      <c r="H5429" s="4" t="s">
        <v>22</v>
      </c>
      <c r="I5429" s="6">
        <v>-56.108499999999999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8"/>
        <v>40678</v>
      </c>
    </row>
    <row r="5430" spans="1:21" ht="12" customHeight="1">
      <c r="A5430" s="4">
        <v>8078</v>
      </c>
      <c r="B5430" s="4">
        <v>57633</v>
      </c>
      <c r="C5430" s="5">
        <f>DATE(2012,12,31)-694</f>
        <v>40580</v>
      </c>
      <c r="D5430" s="4" t="s">
        <v>30</v>
      </c>
      <c r="E5430" s="4">
        <v>12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8"/>
        <v>40581</v>
      </c>
    </row>
    <row r="5431" spans="1:21" ht="12" customHeight="1">
      <c r="A5431" s="4">
        <v>8085</v>
      </c>
      <c r="B5431" s="4">
        <v>57669</v>
      </c>
      <c r="C5431" s="5">
        <f>DATE(2012,12,31)-876</f>
        <v>40398</v>
      </c>
      <c r="D5431" s="4" t="s">
        <v>78</v>
      </c>
      <c r="E5431" s="4">
        <v>41</v>
      </c>
      <c r="F5431" s="4">
        <v>1803.12</v>
      </c>
      <c r="G5431" s="4">
        <v>0</v>
      </c>
      <c r="H5431" s="4" t="s">
        <v>22</v>
      </c>
      <c r="I5431" s="6">
        <v>544.92999999999995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0.56999999999999995</v>
      </c>
      <c r="U5431" s="5">
        <f t="shared" si="2288"/>
        <v>40399</v>
      </c>
    </row>
    <row r="5432" spans="1:21" ht="12" customHeight="1">
      <c r="A5432" s="4">
        <v>8095</v>
      </c>
      <c r="B5432" s="4">
        <v>57760</v>
      </c>
      <c r="C5432" s="5">
        <f t="shared" ref="C5432:C5433" si="2289">DATE(2012,12,31)-538</f>
        <v>40736</v>
      </c>
      <c r="D5432" s="4" t="s">
        <v>45</v>
      </c>
      <c r="E5432" s="4">
        <v>38</v>
      </c>
      <c r="F5432" s="4">
        <v>275.11</v>
      </c>
      <c r="G5432" s="4">
        <v>0.06</v>
      </c>
      <c r="H5432" s="4" t="s">
        <v>22</v>
      </c>
      <c r="I5432" s="6">
        <v>17.149999999999999</v>
      </c>
      <c r="J5432" s="4">
        <v>7.59</v>
      </c>
      <c r="K5432" s="4">
        <v>4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0">C5432+2</f>
        <v>40738</v>
      </c>
    </row>
    <row r="5433" spans="1:21" ht="12" customHeight="1">
      <c r="A5433" s="4">
        <v>8096</v>
      </c>
      <c r="B5433" s="4">
        <v>57760</v>
      </c>
      <c r="C5433" s="5">
        <f t="shared" si="2289"/>
        <v>40736</v>
      </c>
      <c r="D5433" s="4" t="s">
        <v>45</v>
      </c>
      <c r="E5433" s="4">
        <v>34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2.0299999999999998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0.56999999999999995</v>
      </c>
      <c r="U5433" s="5">
        <f t="shared" si="2290"/>
        <v>40738</v>
      </c>
    </row>
    <row r="5434" spans="1:21" ht="12" customHeight="1">
      <c r="A5434" s="4">
        <v>8110</v>
      </c>
      <c r="B5434" s="4">
        <v>57891</v>
      </c>
      <c r="C5434" s="5">
        <f>DATE(2012,12,31)-745</f>
        <v>40529</v>
      </c>
      <c r="D5434" s="4" t="s">
        <v>63</v>
      </c>
      <c r="E5434" s="4">
        <v>17</v>
      </c>
      <c r="F5434" s="4">
        <v>934.94050000000004</v>
      </c>
      <c r="G5434" s="4">
        <v>0.08</v>
      </c>
      <c r="H5434" s="4" t="s">
        <v>22</v>
      </c>
      <c r="I5434" s="6">
        <v>47.096999999999994</v>
      </c>
      <c r="J5434" s="4">
        <v>65.989999999999995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0.55000000000000004</v>
      </c>
      <c r="U5434" s="5">
        <f t="shared" ref="U5434:U5435" si="2291">C5434+0</f>
        <v>40529</v>
      </c>
    </row>
    <row r="5435" spans="1:21" ht="12" customHeight="1">
      <c r="A5435" s="4">
        <v>8125</v>
      </c>
      <c r="B5435" s="4">
        <v>58084</v>
      </c>
      <c r="C5435" s="5">
        <f t="shared" ref="C5435:C5436" si="2292">DATE(2012,12,31)-134</f>
        <v>41140</v>
      </c>
      <c r="D5435" s="4" t="s">
        <v>63</v>
      </c>
      <c r="E5435" s="4">
        <v>3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1"/>
        <v>41140</v>
      </c>
    </row>
    <row r="5436" spans="1:21" ht="12" customHeight="1">
      <c r="A5436" s="4">
        <v>8126</v>
      </c>
      <c r="B5436" s="4">
        <v>58084</v>
      </c>
      <c r="C5436" s="5">
        <f t="shared" si="2292"/>
        <v>41140</v>
      </c>
      <c r="D5436" s="4" t="s">
        <v>63</v>
      </c>
      <c r="E5436" s="4">
        <v>36</v>
      </c>
      <c r="F5436" s="4">
        <v>266.16000000000003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spans="1:21" ht="12" customHeight="1">
      <c r="A5437" s="4">
        <v>8139</v>
      </c>
      <c r="B5437" s="4">
        <v>58179</v>
      </c>
      <c r="C5437" s="5">
        <f>DATE(2012,12,31)-483</f>
        <v>40791</v>
      </c>
      <c r="D5437" s="4" t="s">
        <v>63</v>
      </c>
      <c r="E5437" s="4">
        <v>3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3">C5437+1</f>
        <v>40792</v>
      </c>
    </row>
    <row r="5438" spans="1:21" ht="12" customHeight="1">
      <c r="A5438" s="4">
        <v>8165</v>
      </c>
      <c r="B5438" s="4">
        <v>58369</v>
      </c>
      <c r="C5438" s="5">
        <f t="shared" ref="C5438:C5439" si="2294">DATE(2012,12,31)-123</f>
        <v>41151</v>
      </c>
      <c r="D5438" s="4" t="s">
        <v>30</v>
      </c>
      <c r="E5438" s="4">
        <v>46</v>
      </c>
      <c r="F5438" s="4">
        <v>320.57</v>
      </c>
      <c r="G5438" s="4">
        <v>0.1</v>
      </c>
      <c r="H5438" s="4" t="s">
        <v>22</v>
      </c>
      <c r="I5438" s="6">
        <v>-114.19499999999999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3"/>
        <v>41152</v>
      </c>
    </row>
    <row r="5439" spans="1:21" ht="12" customHeight="1">
      <c r="A5439" s="4">
        <v>8166</v>
      </c>
      <c r="B5439" s="4">
        <v>58369</v>
      </c>
      <c r="C5439" s="5">
        <f t="shared" si="2294"/>
        <v>41151</v>
      </c>
      <c r="D5439" s="4" t="s">
        <v>30</v>
      </c>
      <c r="E5439" s="4">
        <v>16</v>
      </c>
      <c r="F5439" s="4">
        <v>2013.8</v>
      </c>
      <c r="G5439" s="4">
        <v>0.01</v>
      </c>
      <c r="H5439" s="4" t="s">
        <v>31</v>
      </c>
      <c r="I5439" s="6">
        <v>-98.431799999999996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spans="1:21" ht="12" customHeight="1">
      <c r="A5440" s="4">
        <v>8167</v>
      </c>
      <c r="B5440" s="4">
        <v>58371</v>
      </c>
      <c r="C5440" s="5">
        <f t="shared" ref="C5440:C5442" si="2295">DATE(2012,12,31)-965</f>
        <v>40309</v>
      </c>
      <c r="D5440" s="4" t="s">
        <v>63</v>
      </c>
      <c r="E5440" s="4">
        <v>5</v>
      </c>
      <c r="F5440" s="4">
        <v>2168.0500000000002</v>
      </c>
      <c r="G5440" s="4">
        <v>0</v>
      </c>
      <c r="H5440" s="4" t="s">
        <v>22</v>
      </c>
      <c r="I5440" s="6">
        <v>416.01549999999997</v>
      </c>
      <c r="J5440" s="4">
        <v>420.98</v>
      </c>
      <c r="K5440" s="4">
        <v>19.989999999999998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spans="1:21" ht="12" customHeight="1">
      <c r="A5441" s="4">
        <v>8168</v>
      </c>
      <c r="B5441" s="4">
        <v>58371</v>
      </c>
      <c r="C5441" s="5">
        <f t="shared" si="2295"/>
        <v>40309</v>
      </c>
      <c r="D5441" s="4" t="s">
        <v>63</v>
      </c>
      <c r="E5441" s="4">
        <v>44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spans="1:21" ht="12" customHeight="1">
      <c r="A5442" s="4">
        <v>8169</v>
      </c>
      <c r="B5442" s="4">
        <v>58371</v>
      </c>
      <c r="C5442" s="5">
        <f t="shared" si="2295"/>
        <v>40309</v>
      </c>
      <c r="D5442" s="4" t="s">
        <v>63</v>
      </c>
      <c r="E5442" s="4">
        <v>48</v>
      </c>
      <c r="F5442" s="4">
        <v>1661.8</v>
      </c>
      <c r="G5442" s="4">
        <v>7.0000000000000007E-2</v>
      </c>
      <c r="H5442" s="4" t="s">
        <v>22</v>
      </c>
      <c r="I5442" s="6">
        <v>202.68</v>
      </c>
      <c r="J5442" s="4">
        <v>36.549999999999997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spans="1:21" ht="12" customHeight="1">
      <c r="A5443" s="4">
        <v>8173</v>
      </c>
      <c r="B5443" s="4">
        <v>58433</v>
      </c>
      <c r="C5443" s="5">
        <f t="shared" ref="C5443:C5445" si="2296">DATE(2012,12,31)-549</f>
        <v>40725</v>
      </c>
      <c r="D5443" s="4" t="s">
        <v>30</v>
      </c>
      <c r="E5443" s="4">
        <v>11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spans="1:21" ht="12" customHeight="1">
      <c r="A5444" s="4">
        <v>8174</v>
      </c>
      <c r="B5444" s="4">
        <v>58433</v>
      </c>
      <c r="C5444" s="5">
        <f t="shared" si="2296"/>
        <v>40725</v>
      </c>
      <c r="D5444" s="4" t="s">
        <v>30</v>
      </c>
      <c r="E5444" s="4">
        <v>30</v>
      </c>
      <c r="F5444" s="4">
        <v>1533.46</v>
      </c>
      <c r="G5444" s="4">
        <v>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7">C5444+2</f>
        <v>40727</v>
      </c>
    </row>
    <row r="5445" spans="1:21" ht="12" customHeight="1">
      <c r="A5445" s="4">
        <v>8175</v>
      </c>
      <c r="B5445" s="4">
        <v>58433</v>
      </c>
      <c r="C5445" s="5">
        <f t="shared" si="2296"/>
        <v>40725</v>
      </c>
      <c r="D5445" s="4" t="s">
        <v>30</v>
      </c>
      <c r="E5445" s="4">
        <v>20</v>
      </c>
      <c r="F5445" s="4">
        <v>5989.0480000000007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7"/>
        <v>40727</v>
      </c>
    </row>
    <row r="5446" spans="1:21" ht="12" customHeight="1">
      <c r="A5446" s="4">
        <v>8236</v>
      </c>
      <c r="B5446" s="4">
        <v>58855</v>
      </c>
      <c r="C5446" s="5">
        <f>DATE(2012,12,31)-792</f>
        <v>40482</v>
      </c>
      <c r="D5446" s="4" t="s">
        <v>63</v>
      </c>
      <c r="E5446" s="4">
        <v>38</v>
      </c>
      <c r="F5446" s="4">
        <v>69.260000000000005</v>
      </c>
      <c r="G5446" s="4">
        <v>7.0000000000000007E-2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spans="1:21" ht="12" customHeight="1">
      <c r="A5447" s="4">
        <v>8278</v>
      </c>
      <c r="B5447" s="4">
        <v>59173</v>
      </c>
      <c r="C5447" s="5">
        <f>DATE(2012,12,31)-742</f>
        <v>40532</v>
      </c>
      <c r="D5447" s="4" t="s">
        <v>30</v>
      </c>
      <c r="E5447" s="4">
        <v>27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35.840000000000003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8">C5447+1</f>
        <v>40533</v>
      </c>
    </row>
    <row r="5448" spans="1:21" ht="12" customHeight="1">
      <c r="A5448" s="4">
        <v>8284</v>
      </c>
      <c r="B5448" s="4">
        <v>59204</v>
      </c>
      <c r="C5448" s="5">
        <f t="shared" ref="C5448:C5449" si="2299">DATE(2012,12,31)-306</f>
        <v>40968</v>
      </c>
      <c r="D5448" s="4" t="s">
        <v>63</v>
      </c>
      <c r="E5448" s="4">
        <v>8</v>
      </c>
      <c r="F5448" s="4">
        <v>250.29</v>
      </c>
      <c r="G5448" s="4">
        <v>0.1</v>
      </c>
      <c r="H5448" s="4" t="s">
        <v>22</v>
      </c>
      <c r="I5448" s="6">
        <v>-9.3149999999999942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8"/>
        <v>40969</v>
      </c>
    </row>
    <row r="5449" spans="1:21" ht="12" customHeight="1">
      <c r="A5449" s="4">
        <v>8285</v>
      </c>
      <c r="B5449" s="4">
        <v>59204</v>
      </c>
      <c r="C5449" s="5">
        <f t="shared" si="2299"/>
        <v>40968</v>
      </c>
      <c r="D5449" s="4" t="s">
        <v>63</v>
      </c>
      <c r="E5449" s="4">
        <v>7</v>
      </c>
      <c r="F5449" s="4">
        <v>251.59</v>
      </c>
      <c r="G5449" s="4">
        <v>0.09</v>
      </c>
      <c r="H5449" s="4" t="s">
        <v>22</v>
      </c>
      <c r="I5449" s="6">
        <v>39.229999999999997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8"/>
        <v>40969</v>
      </c>
    </row>
    <row r="5450" spans="1:21" ht="12" customHeight="1">
      <c r="A5450" s="4">
        <v>8328</v>
      </c>
      <c r="B5450" s="4">
        <v>59553</v>
      </c>
      <c r="C5450" s="5">
        <f t="shared" ref="C5450:C5451" si="2300">DATE(2012,12,31)-780</f>
        <v>40494</v>
      </c>
      <c r="D5450" s="4" t="s">
        <v>45</v>
      </c>
      <c r="E5450" s="4">
        <v>15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8"/>
        <v>40495</v>
      </c>
    </row>
    <row r="5451" spans="1:21" ht="12" customHeight="1">
      <c r="A5451" s="4">
        <v>8329</v>
      </c>
      <c r="B5451" s="4">
        <v>59553</v>
      </c>
      <c r="C5451" s="5">
        <f t="shared" si="2300"/>
        <v>40494</v>
      </c>
      <c r="D5451" s="4" t="s">
        <v>45</v>
      </c>
      <c r="E5451" s="4">
        <v>42</v>
      </c>
      <c r="F5451" s="4">
        <v>2170.3049999999998</v>
      </c>
      <c r="G5451" s="4">
        <v>0.1</v>
      </c>
      <c r="H5451" s="4" t="s">
        <v>22</v>
      </c>
      <c r="I5451" s="6">
        <v>264.32100000000003</v>
      </c>
      <c r="J5451" s="4">
        <v>65.989999999999995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0.56000000000000005</v>
      </c>
      <c r="U5451" s="5">
        <f>C5451+2</f>
        <v>40496</v>
      </c>
    </row>
    <row r="5452" spans="1:21" ht="12" customHeight="1">
      <c r="A5452" s="4">
        <v>8369</v>
      </c>
      <c r="B5452" s="4">
        <v>59781</v>
      </c>
      <c r="C5452" s="5">
        <f t="shared" ref="C5452:C5453" si="2301">DATE(2012,12,31)-19</f>
        <v>41255</v>
      </c>
      <c r="D5452" s="4" t="s">
        <v>45</v>
      </c>
      <c r="E5452" s="4">
        <v>43</v>
      </c>
      <c r="F5452" s="4">
        <v>262.13</v>
      </c>
      <c r="G5452" s="4">
        <v>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2">C5452+1</f>
        <v>41256</v>
      </c>
    </row>
    <row r="5453" spans="1:21" ht="12" customHeight="1">
      <c r="A5453" s="4">
        <v>8370</v>
      </c>
      <c r="B5453" s="4">
        <v>59781</v>
      </c>
      <c r="C5453" s="5">
        <f t="shared" si="2301"/>
        <v>41255</v>
      </c>
      <c r="D5453" s="4" t="s">
        <v>45</v>
      </c>
      <c r="E5453" s="4">
        <v>24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2"/>
        <v>41256</v>
      </c>
    </row>
    <row r="5454" spans="1:21" ht="12" customHeight="1">
      <c r="A5454" s="4">
        <v>8374</v>
      </c>
      <c r="B5454" s="4">
        <v>59812</v>
      </c>
      <c r="C5454" s="5">
        <f t="shared" ref="C5454:C5455" si="2303">DATE(2012,12,31)-558</f>
        <v>40716</v>
      </c>
      <c r="D5454" s="4" t="s">
        <v>63</v>
      </c>
      <c r="E5454" s="4">
        <v>46</v>
      </c>
      <c r="F5454" s="4">
        <v>9261.24</v>
      </c>
      <c r="G5454" s="4">
        <v>0</v>
      </c>
      <c r="H5454" s="4" t="s">
        <v>22</v>
      </c>
      <c r="I5454" s="6">
        <v>1646.43</v>
      </c>
      <c r="J5454" s="4">
        <v>193.17</v>
      </c>
      <c r="K5454" s="4">
        <v>19.989999999999998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spans="1:21" ht="12" customHeight="1">
      <c r="A5455" s="4">
        <v>8375</v>
      </c>
      <c r="B5455" s="4">
        <v>59812</v>
      </c>
      <c r="C5455" s="5">
        <f t="shared" si="2303"/>
        <v>40716</v>
      </c>
      <c r="D5455" s="4" t="s">
        <v>63</v>
      </c>
      <c r="E5455" s="4">
        <v>2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4.9800000000000004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spans="1:21" ht="12" customHeight="1">
      <c r="A5456" s="4">
        <v>8376</v>
      </c>
      <c r="B5456" s="4">
        <v>59815</v>
      </c>
      <c r="C5456" s="5">
        <f>DATE(2012,12,31)-747</f>
        <v>40527</v>
      </c>
      <c r="D5456" s="4" t="s">
        <v>45</v>
      </c>
      <c r="E5456" s="4">
        <v>14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4">C5456+2</f>
        <v>40529</v>
      </c>
    </row>
    <row r="5457" spans="1:21" ht="12" customHeight="1">
      <c r="A5457" s="4">
        <v>8395</v>
      </c>
      <c r="B5457" s="4">
        <v>59971</v>
      </c>
      <c r="C5457" s="5">
        <f t="shared" ref="C5457:C5459" si="2305">DATE(2012,12,31)-580</f>
        <v>40694</v>
      </c>
      <c r="D5457" s="4" t="s">
        <v>78</v>
      </c>
      <c r="E5457" s="4">
        <v>26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4"/>
        <v>40696</v>
      </c>
    </row>
    <row r="5458" spans="1:21" ht="12" customHeight="1">
      <c r="A5458" s="4">
        <v>8396</v>
      </c>
      <c r="B5458" s="4">
        <v>59971</v>
      </c>
      <c r="C5458" s="5">
        <f t="shared" si="2305"/>
        <v>40694</v>
      </c>
      <c r="D5458" s="4" t="s">
        <v>78</v>
      </c>
      <c r="E5458" s="4">
        <v>45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4"/>
        <v>40696</v>
      </c>
    </row>
    <row r="5459" spans="1:21" ht="12" customHeight="1">
      <c r="A5459" s="4">
        <v>8397</v>
      </c>
      <c r="B5459" s="4">
        <v>59971</v>
      </c>
      <c r="C5459" s="5">
        <f t="shared" si="2305"/>
        <v>40694</v>
      </c>
      <c r="D5459" s="4" t="s">
        <v>78</v>
      </c>
      <c r="E5459" s="4">
        <v>12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4"/>
        <v>40696</v>
      </c>
    </row>
    <row r="5460" spans="1:21" ht="12" customHeight="1">
      <c r="A5460" s="4">
        <v>79</v>
      </c>
      <c r="B5460" s="4">
        <v>481</v>
      </c>
      <c r="C5460" s="5">
        <f>DATE(2012,12,31)-85</f>
        <v>41189</v>
      </c>
      <c r="D5460" s="4" t="s">
        <v>30</v>
      </c>
      <c r="E5460" s="4">
        <v>44</v>
      </c>
      <c r="F5460" s="4">
        <v>4509.3774999999996</v>
      </c>
      <c r="G5460" s="4">
        <v>0.01</v>
      </c>
      <c r="H5460" s="4" t="s">
        <v>22</v>
      </c>
      <c r="I5460" s="6">
        <v>1426.2570000000001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0.56999999999999995</v>
      </c>
      <c r="U5460" s="5">
        <f t="shared" si="2304"/>
        <v>41191</v>
      </c>
    </row>
    <row r="5461" spans="1:21" ht="12" customHeight="1">
      <c r="A5461" s="4">
        <v>215</v>
      </c>
      <c r="B5461" s="4">
        <v>1414</v>
      </c>
      <c r="C5461" s="5">
        <f>DATE(2012,12,31)-504</f>
        <v>40770</v>
      </c>
      <c r="D5461" s="4" t="s">
        <v>78</v>
      </c>
      <c r="E5461" s="4">
        <v>44</v>
      </c>
      <c r="F5461" s="4">
        <v>4530.96</v>
      </c>
      <c r="G5461" s="4">
        <v>7.0000000000000007E-2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spans="1:21" ht="12" customHeight="1">
      <c r="A5462" s="4">
        <v>335</v>
      </c>
      <c r="B5462" s="4">
        <v>2305</v>
      </c>
      <c r="C5462" s="5">
        <f t="shared" ref="C5462:C5463" si="2306">DATE(2012,12,31)-1071</f>
        <v>40203</v>
      </c>
      <c r="D5462" s="4" t="s">
        <v>30</v>
      </c>
      <c r="E5462" s="4">
        <v>33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spans="1:21" ht="12" customHeight="1">
      <c r="A5463" s="4">
        <v>336</v>
      </c>
      <c r="B5463" s="4">
        <v>2305</v>
      </c>
      <c r="C5463" s="5">
        <f t="shared" si="2306"/>
        <v>40203</v>
      </c>
      <c r="D5463" s="4" t="s">
        <v>30</v>
      </c>
      <c r="E5463" s="4">
        <v>1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7">C5463+1</f>
        <v>40204</v>
      </c>
    </row>
    <row r="5464" spans="1:21" ht="12" customHeight="1">
      <c r="A5464" s="4">
        <v>341</v>
      </c>
      <c r="B5464" s="4">
        <v>2311</v>
      </c>
      <c r="C5464" s="5">
        <f>DATE(2012,12,31)-610</f>
        <v>40664</v>
      </c>
      <c r="D5464" s="4" t="s">
        <v>30</v>
      </c>
      <c r="E5464" s="4">
        <v>31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0.56999999999999995</v>
      </c>
      <c r="U5464" s="5">
        <f t="shared" si="2307"/>
        <v>40665</v>
      </c>
    </row>
    <row r="5465" spans="1:21" ht="12" customHeight="1">
      <c r="A5465" s="4">
        <v>351</v>
      </c>
      <c r="B5465" s="4">
        <v>2438</v>
      </c>
      <c r="C5465" s="5">
        <f t="shared" ref="C5465:C5466" si="2308">DATE(2012,12,31)-901</f>
        <v>40373</v>
      </c>
      <c r="D5465" s="4" t="s">
        <v>30</v>
      </c>
      <c r="E5465" s="4">
        <v>20</v>
      </c>
      <c r="F5465" s="4">
        <v>278.68</v>
      </c>
      <c r="G5465" s="4">
        <v>0.06</v>
      </c>
      <c r="H5465" s="4" t="s">
        <v>22</v>
      </c>
      <c r="I5465" s="6">
        <v>8.8994999999999997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spans="1:21" ht="12" customHeight="1">
      <c r="A5466" s="4">
        <v>352</v>
      </c>
      <c r="B5466" s="4">
        <v>2438</v>
      </c>
      <c r="C5466" s="5">
        <f t="shared" si="2308"/>
        <v>40373</v>
      </c>
      <c r="D5466" s="4" t="s">
        <v>30</v>
      </c>
      <c r="E5466" s="4">
        <v>23</v>
      </c>
      <c r="F5466" s="4">
        <v>717.46799999999996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spans="1:21" ht="12" customHeight="1">
      <c r="A5467" s="4">
        <v>374</v>
      </c>
      <c r="B5467" s="4">
        <v>2595</v>
      </c>
      <c r="C5467" s="5">
        <f t="shared" ref="C5467:C5469" si="2309">DATE(2012,12,31)-384</f>
        <v>40890</v>
      </c>
      <c r="D5467" s="4" t="s">
        <v>45</v>
      </c>
      <c r="E5467" s="4">
        <v>13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spans="1:21" ht="12" customHeight="1">
      <c r="A5468" s="4">
        <v>375</v>
      </c>
      <c r="B5468" s="4">
        <v>2595</v>
      </c>
      <c r="C5468" s="5">
        <f t="shared" si="2309"/>
        <v>40890</v>
      </c>
      <c r="D5468" s="4" t="s">
        <v>45</v>
      </c>
      <c r="E5468" s="4">
        <v>4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0">C5468+2</f>
        <v>40892</v>
      </c>
    </row>
    <row r="5469" spans="1:21" ht="12" customHeight="1">
      <c r="A5469" s="4">
        <v>376</v>
      </c>
      <c r="B5469" s="4">
        <v>2595</v>
      </c>
      <c r="C5469" s="5">
        <f t="shared" si="2309"/>
        <v>40890</v>
      </c>
      <c r="D5469" s="4" t="s">
        <v>45</v>
      </c>
      <c r="E5469" s="4">
        <v>29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0"/>
        <v>40892</v>
      </c>
    </row>
    <row r="5470" spans="1:21" ht="12" customHeight="1">
      <c r="A5470" s="4">
        <v>575</v>
      </c>
      <c r="B5470" s="4">
        <v>3907</v>
      </c>
      <c r="C5470" s="5">
        <f t="shared" ref="C5470:C5471" si="2311">DATE(2012,12,31)-135</f>
        <v>41139</v>
      </c>
      <c r="D5470" s="4" t="s">
        <v>63</v>
      </c>
      <c r="E5470" s="4">
        <v>34</v>
      </c>
      <c r="F5470" s="4">
        <v>729.83</v>
      </c>
      <c r="G5470" s="4">
        <v>7.0000000000000007E-2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0"/>
        <v>41141</v>
      </c>
    </row>
    <row r="5471" spans="1:21" ht="12" customHeight="1">
      <c r="A5471" s="4">
        <v>576</v>
      </c>
      <c r="B5471" s="4">
        <v>3907</v>
      </c>
      <c r="C5471" s="5">
        <f t="shared" si="2311"/>
        <v>41139</v>
      </c>
      <c r="D5471" s="4" t="s">
        <v>63</v>
      </c>
      <c r="E5471" s="4">
        <v>36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spans="1:21" ht="12" customHeight="1">
      <c r="A5472" s="4">
        <v>613</v>
      </c>
      <c r="B5472" s="4">
        <v>4195</v>
      </c>
      <c r="C5472" s="5">
        <f>DATE(2012,12,31)-948</f>
        <v>40326</v>
      </c>
      <c r="D5472" s="4" t="s">
        <v>45</v>
      </c>
      <c r="E5472" s="4">
        <v>30</v>
      </c>
      <c r="F5472" s="4">
        <v>255.74</v>
      </c>
      <c r="G5472" s="4">
        <v>7.0000000000000007E-2</v>
      </c>
      <c r="H5472" s="4" t="s">
        <v>22</v>
      </c>
      <c r="I5472" s="6">
        <v>37.090000000000003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2">C5472+2</f>
        <v>40328</v>
      </c>
    </row>
    <row r="5473" spans="1:21" ht="12" customHeight="1">
      <c r="A5473" s="4">
        <v>631</v>
      </c>
      <c r="B5473" s="4">
        <v>4391</v>
      </c>
      <c r="C5473" s="5">
        <f>DATE(2012,12,31)-318</f>
        <v>40956</v>
      </c>
      <c r="D5473" s="4" t="s">
        <v>30</v>
      </c>
      <c r="E5473" s="4">
        <v>20</v>
      </c>
      <c r="F5473" s="4">
        <v>2592.4319999999998</v>
      </c>
      <c r="G5473" s="4">
        <v>0.06</v>
      </c>
      <c r="H5473" s="4" t="s">
        <v>22</v>
      </c>
      <c r="I5473" s="6">
        <v>428.47199999999998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0.55000000000000004</v>
      </c>
      <c r="U5473" s="5">
        <f t="shared" si="2312"/>
        <v>40958</v>
      </c>
    </row>
    <row r="5474" spans="1:21" ht="12" customHeight="1">
      <c r="A5474" s="4">
        <v>633</v>
      </c>
      <c r="B5474" s="4">
        <v>4422</v>
      </c>
      <c r="C5474" s="5">
        <f t="shared" ref="C5474:C5475" si="2313">DATE(2012,12,31)-590</f>
        <v>40684</v>
      </c>
      <c r="D5474" s="4" t="s">
        <v>63</v>
      </c>
      <c r="E5474" s="4">
        <v>12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4">C5474+0</f>
        <v>40684</v>
      </c>
    </row>
    <row r="5475" spans="1:21" ht="12" customHeight="1">
      <c r="A5475" s="4">
        <v>634</v>
      </c>
      <c r="B5475" s="4">
        <v>4422</v>
      </c>
      <c r="C5475" s="5">
        <f t="shared" si="2313"/>
        <v>40684</v>
      </c>
      <c r="D5475" s="4" t="s">
        <v>63</v>
      </c>
      <c r="E5475" s="4">
        <v>17</v>
      </c>
      <c r="F5475" s="4">
        <v>390.11</v>
      </c>
      <c r="G5475" s="4">
        <v>0.02</v>
      </c>
      <c r="H5475" s="4" t="s">
        <v>22</v>
      </c>
      <c r="I5475" s="6">
        <v>-19.920000000000002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4"/>
        <v>40684</v>
      </c>
    </row>
    <row r="5476" spans="1:21" ht="12" customHeight="1">
      <c r="A5476" s="4">
        <v>679</v>
      </c>
      <c r="B5476" s="4">
        <v>4741</v>
      </c>
      <c r="C5476" s="5">
        <f>DATE(2012,12,31)-178</f>
        <v>41096</v>
      </c>
      <c r="D5476" s="4" t="s">
        <v>45</v>
      </c>
      <c r="E5476" s="4">
        <v>40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8.5399999999999991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spans="1:21" ht="12" customHeight="1">
      <c r="A5477" s="4">
        <v>711</v>
      </c>
      <c r="B5477" s="4">
        <v>5028</v>
      </c>
      <c r="C5477" s="5">
        <f>DATE(2012,12,31)-259</f>
        <v>41015</v>
      </c>
      <c r="D5477" s="4" t="s">
        <v>30</v>
      </c>
      <c r="E5477" s="4">
        <v>10</v>
      </c>
      <c r="F5477" s="4">
        <v>79.680000000000007</v>
      </c>
      <c r="G5477" s="4">
        <v>0.06</v>
      </c>
      <c r="H5477" s="4" t="s">
        <v>22</v>
      </c>
      <c r="I5477" s="6">
        <v>18.239999999999998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spans="1:21" ht="12" customHeight="1">
      <c r="A5478" s="4">
        <v>717</v>
      </c>
      <c r="B5478" s="4">
        <v>5095</v>
      </c>
      <c r="C5478" s="5">
        <f>DATE(2012,12,31)-254</f>
        <v>41020</v>
      </c>
      <c r="D5478" s="4" t="s">
        <v>30</v>
      </c>
      <c r="E5478" s="4">
        <v>7</v>
      </c>
      <c r="F5478" s="4">
        <v>786.67499999999995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8.8000000000000007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spans="1:21" ht="12" customHeight="1">
      <c r="A5479" s="4">
        <v>816</v>
      </c>
      <c r="B5479" s="4">
        <v>5891</v>
      </c>
      <c r="C5479" s="5">
        <f>DATE(2012,12,31)-3</f>
        <v>41271</v>
      </c>
      <c r="D5479" s="4" t="s">
        <v>63</v>
      </c>
      <c r="E5479" s="4">
        <v>2</v>
      </c>
      <c r="F5479" s="4">
        <v>44.45</v>
      </c>
      <c r="G5479" s="4">
        <v>0.01</v>
      </c>
      <c r="H5479" s="4" t="s">
        <v>22</v>
      </c>
      <c r="I5479" s="6">
        <v>-17.457000000000001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spans="1:21" ht="12" customHeight="1">
      <c r="A5480" s="4">
        <v>875</v>
      </c>
      <c r="B5480" s="4">
        <v>6274</v>
      </c>
      <c r="C5480" s="5">
        <f>DATE(2012,12,31)-536</f>
        <v>40738</v>
      </c>
      <c r="D5480" s="4" t="s">
        <v>45</v>
      </c>
      <c r="E5480" s="4">
        <v>22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5">C5480+1</f>
        <v>40739</v>
      </c>
    </row>
    <row r="5481" spans="1:21" ht="12" customHeight="1">
      <c r="A5481" s="4">
        <v>878</v>
      </c>
      <c r="B5481" s="4">
        <v>6309</v>
      </c>
      <c r="C5481" s="5">
        <f>DATE(2012,12,31)-936</f>
        <v>40338</v>
      </c>
      <c r="D5481" s="4" t="s">
        <v>63</v>
      </c>
      <c r="E5481" s="4">
        <v>10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5"/>
        <v>40339</v>
      </c>
    </row>
    <row r="5482" spans="1:21" ht="12" customHeight="1">
      <c r="A5482" s="4">
        <v>961</v>
      </c>
      <c r="B5482" s="4">
        <v>6978</v>
      </c>
      <c r="C5482" s="5">
        <f>DATE(2012,12,31)-753</f>
        <v>40521</v>
      </c>
      <c r="D5482" s="4" t="s">
        <v>30</v>
      </c>
      <c r="E5482" s="4">
        <v>47</v>
      </c>
      <c r="F5482" s="4">
        <v>371.95</v>
      </c>
      <c r="G5482" s="4">
        <v>7.0000000000000007E-2</v>
      </c>
      <c r="H5482" s="4" t="s">
        <v>22</v>
      </c>
      <c r="I5482" s="6">
        <v>-87.4</v>
      </c>
      <c r="J5482" s="4">
        <v>8.1199999999999992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5"/>
        <v>40522</v>
      </c>
    </row>
    <row r="5483" spans="1:21" ht="12" customHeight="1">
      <c r="A5483" s="4">
        <v>1297</v>
      </c>
      <c r="B5483" s="4">
        <v>9505</v>
      </c>
      <c r="C5483" s="5">
        <f t="shared" ref="C5483:C5484" si="2316">DATE(2012,12,31)-207</f>
        <v>41067</v>
      </c>
      <c r="D5483" s="4" t="s">
        <v>30</v>
      </c>
      <c r="E5483" s="4">
        <v>2</v>
      </c>
      <c r="F5483" s="4">
        <v>316.52</v>
      </c>
      <c r="G5483" s="4">
        <v>0.03</v>
      </c>
      <c r="H5483" s="4" t="s">
        <v>22</v>
      </c>
      <c r="I5483" s="6">
        <v>-542.32000000000005</v>
      </c>
      <c r="J5483" s="4">
        <v>152.47999999999999</v>
      </c>
      <c r="K5483" s="4">
        <v>4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spans="1:21" ht="12" customHeight="1">
      <c r="A5484" s="4">
        <v>1298</v>
      </c>
      <c r="B5484" s="4">
        <v>9505</v>
      </c>
      <c r="C5484" s="5">
        <f t="shared" si="2316"/>
        <v>41067</v>
      </c>
      <c r="D5484" s="4" t="s">
        <v>30</v>
      </c>
      <c r="E5484" s="4">
        <v>5</v>
      </c>
      <c r="F5484" s="4">
        <v>155.38999999999999</v>
      </c>
      <c r="G5484" s="4">
        <v>0.1</v>
      </c>
      <c r="H5484" s="4" t="s">
        <v>22</v>
      </c>
      <c r="I5484" s="6">
        <v>-127.7</v>
      </c>
      <c r="J5484" s="4">
        <v>32.979999999999997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spans="1:21" ht="12" customHeight="1">
      <c r="A5485" s="4">
        <v>1340</v>
      </c>
      <c r="B5485" s="4">
        <v>9794</v>
      </c>
      <c r="C5485" s="5">
        <f>DATE(2012,12,31)-282</f>
        <v>40992</v>
      </c>
      <c r="D5485" s="4" t="s">
        <v>45</v>
      </c>
      <c r="E5485" s="4">
        <v>25</v>
      </c>
      <c r="F5485" s="4">
        <v>135.22999999999999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0.56000000000000005</v>
      </c>
      <c r="U5485" s="5">
        <f t="shared" ref="U5485:U5486" si="2317">C5485+1</f>
        <v>40993</v>
      </c>
    </row>
    <row r="5486" spans="1:21" ht="12" customHeight="1">
      <c r="A5486" s="4">
        <v>1534</v>
      </c>
      <c r="B5486" s="4">
        <v>11045</v>
      </c>
      <c r="C5486" s="5">
        <f>DATE(2012,12,31)-281</f>
        <v>40993</v>
      </c>
      <c r="D5486" s="4" t="s">
        <v>63</v>
      </c>
      <c r="E5486" s="4">
        <v>35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7"/>
        <v>40994</v>
      </c>
    </row>
    <row r="5487" spans="1:21" ht="12" customHeight="1">
      <c r="A5487" s="4">
        <v>1537</v>
      </c>
      <c r="B5487" s="4">
        <v>11074</v>
      </c>
      <c r="C5487" s="5">
        <f t="shared" ref="C5487:C5488" si="2318">DATE(2012,12,31)-571</f>
        <v>40703</v>
      </c>
      <c r="D5487" s="4" t="s">
        <v>30</v>
      </c>
      <c r="E5487" s="4">
        <v>21</v>
      </c>
      <c r="F5487" s="4">
        <v>114.53</v>
      </c>
      <c r="G5487" s="4">
        <v>7.0000000000000007E-2</v>
      </c>
      <c r="H5487" s="4" t="s">
        <v>22</v>
      </c>
      <c r="I5487" s="6">
        <v>-39.229999999999997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0.56000000000000005</v>
      </c>
      <c r="U5487" s="5">
        <f>C5487+2</f>
        <v>40705</v>
      </c>
    </row>
    <row r="5488" spans="1:21" ht="12" customHeight="1">
      <c r="A5488" s="4">
        <v>1538</v>
      </c>
      <c r="B5488" s="4">
        <v>11074</v>
      </c>
      <c r="C5488" s="5">
        <f t="shared" si="2318"/>
        <v>40703</v>
      </c>
      <c r="D5488" s="4" t="s">
        <v>30</v>
      </c>
      <c r="E5488" s="4">
        <v>44</v>
      </c>
      <c r="F5488" s="4">
        <v>7164.7435000000005</v>
      </c>
      <c r="G5488" s="4">
        <v>7.0000000000000007E-2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spans="1:21" ht="12" customHeight="1">
      <c r="A5489" s="4">
        <v>1732</v>
      </c>
      <c r="B5489" s="4">
        <v>12449</v>
      </c>
      <c r="C5489" s="5">
        <f>DATE(2012,12,31)-1065</f>
        <v>40209</v>
      </c>
      <c r="D5489" s="4" t="s">
        <v>63</v>
      </c>
      <c r="E5489" s="4">
        <v>36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39.979999999999997</v>
      </c>
      <c r="K5489" s="4">
        <v>4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spans="1:21" ht="12" customHeight="1">
      <c r="A5490" s="4">
        <v>2051</v>
      </c>
      <c r="B5490" s="4">
        <v>14661</v>
      </c>
      <c r="C5490" s="5">
        <f>DATE(2012,12,31)-1072</f>
        <v>40202</v>
      </c>
      <c r="D5490" s="4" t="s">
        <v>45</v>
      </c>
      <c r="E5490" s="4">
        <v>38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35.770000000000003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19">C5490+1</f>
        <v>40203</v>
      </c>
    </row>
    <row r="5491" spans="1:21" ht="12" customHeight="1">
      <c r="A5491" s="4">
        <v>2143</v>
      </c>
      <c r="B5491" s="4">
        <v>15303</v>
      </c>
      <c r="C5491" s="5">
        <f t="shared" ref="C5491:C5492" si="2320">DATE(2012,12,31)-840</f>
        <v>40434</v>
      </c>
      <c r="D5491" s="4" t="s">
        <v>78</v>
      </c>
      <c r="E5491" s="4">
        <v>21</v>
      </c>
      <c r="F5491" s="4">
        <v>101.13</v>
      </c>
      <c r="G5491" s="4">
        <v>0.02</v>
      </c>
      <c r="H5491" s="4" t="s">
        <v>22</v>
      </c>
      <c r="I5491" s="6">
        <v>-74.405000000000001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19"/>
        <v>40435</v>
      </c>
    </row>
    <row r="5492" spans="1:21" ht="12" customHeight="1">
      <c r="A5492" s="4">
        <v>2144</v>
      </c>
      <c r="B5492" s="4">
        <v>15303</v>
      </c>
      <c r="C5492" s="5">
        <f t="shared" si="2320"/>
        <v>40434</v>
      </c>
      <c r="D5492" s="4" t="s">
        <v>78</v>
      </c>
      <c r="E5492" s="4">
        <v>18</v>
      </c>
      <c r="F5492" s="4">
        <v>526.45000000000005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spans="1:21" ht="12" customHeight="1">
      <c r="A5493" s="4">
        <v>2171</v>
      </c>
      <c r="B5493" s="4">
        <v>15622</v>
      </c>
      <c r="C5493" s="5">
        <f t="shared" ref="C5493:C5494" si="2321">DATE(2012,12,31)-494</f>
        <v>40780</v>
      </c>
      <c r="D5493" s="4" t="s">
        <v>30</v>
      </c>
      <c r="E5493" s="4">
        <v>34</v>
      </c>
      <c r="F5493" s="4">
        <v>8581.25</v>
      </c>
      <c r="G5493" s="4">
        <v>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0.56000000000000005</v>
      </c>
      <c r="U5493" s="5">
        <f t="shared" ref="U5493:U5494" si="2322">C5493+1</f>
        <v>40781</v>
      </c>
    </row>
    <row r="5494" spans="1:21" ht="12" customHeight="1">
      <c r="A5494" s="4">
        <v>2172</v>
      </c>
      <c r="B5494" s="4">
        <v>15622</v>
      </c>
      <c r="C5494" s="5">
        <f t="shared" si="2321"/>
        <v>40780</v>
      </c>
      <c r="D5494" s="4" t="s">
        <v>30</v>
      </c>
      <c r="E5494" s="4">
        <v>21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2"/>
        <v>40781</v>
      </c>
    </row>
    <row r="5495" spans="1:21" ht="12" customHeight="1">
      <c r="A5495" s="4">
        <v>2189</v>
      </c>
      <c r="B5495" s="4">
        <v>15778</v>
      </c>
      <c r="C5495" s="5">
        <f>DATE(2012,12,31)-970</f>
        <v>40304</v>
      </c>
      <c r="D5495" s="4" t="s">
        <v>30</v>
      </c>
      <c r="E5495" s="4">
        <v>9</v>
      </c>
      <c r="F5495" s="4">
        <v>43.23</v>
      </c>
      <c r="G5495" s="4">
        <v>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spans="1:21" ht="12" customHeight="1">
      <c r="A5496" s="4">
        <v>2239</v>
      </c>
      <c r="B5496" s="4">
        <v>16164</v>
      </c>
      <c r="C5496" s="5">
        <f t="shared" ref="C5496:C5497" si="2323">DATE(2012,12,31)-363</f>
        <v>40911</v>
      </c>
      <c r="D5496" s="4" t="s">
        <v>21</v>
      </c>
      <c r="E5496" s="4">
        <v>22</v>
      </c>
      <c r="F5496" s="4">
        <v>3353.54</v>
      </c>
      <c r="G5496" s="4">
        <v>7.0000000000000007E-2</v>
      </c>
      <c r="H5496" s="4" t="s">
        <v>22</v>
      </c>
      <c r="I5496" s="6">
        <v>1189.96</v>
      </c>
      <c r="J5496" s="4">
        <v>162.93</v>
      </c>
      <c r="K5496" s="4">
        <v>19.989999999999998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spans="1:21" ht="12" customHeight="1">
      <c r="A5497" s="4">
        <v>2240</v>
      </c>
      <c r="B5497" s="4">
        <v>16164</v>
      </c>
      <c r="C5497" s="5">
        <f t="shared" si="2323"/>
        <v>40911</v>
      </c>
      <c r="D5497" s="4" t="s">
        <v>21</v>
      </c>
      <c r="E5497" s="4">
        <v>26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spans="1:21" ht="12" customHeight="1">
      <c r="A5498" s="4">
        <v>2245</v>
      </c>
      <c r="B5498" s="4">
        <v>16166</v>
      </c>
      <c r="C5498" s="5">
        <f>DATE(2012,12,31)-1065</f>
        <v>40209</v>
      </c>
      <c r="D5498" s="4" t="s">
        <v>78</v>
      </c>
      <c r="E5498" s="4">
        <v>36</v>
      </c>
      <c r="F5498" s="4">
        <v>78.510000000000005</v>
      </c>
      <c r="G5498" s="4">
        <v>0.09</v>
      </c>
      <c r="H5498" s="4" t="s">
        <v>22</v>
      </c>
      <c r="I5498" s="6">
        <v>-10.06</v>
      </c>
      <c r="J5498" s="4">
        <v>2.1800000000000002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spans="1:21" ht="12" customHeight="1">
      <c r="A5499" s="4">
        <v>2409</v>
      </c>
      <c r="B5499" s="4">
        <v>17447</v>
      </c>
      <c r="C5499" s="5">
        <f>DATE(2012,12,31)-227</f>
        <v>41047</v>
      </c>
      <c r="D5499" s="4" t="s">
        <v>21</v>
      </c>
      <c r="E5499" s="4">
        <v>42</v>
      </c>
      <c r="F5499" s="4">
        <v>861.41</v>
      </c>
      <c r="G5499" s="4">
        <v>0.01</v>
      </c>
      <c r="H5499" s="4" t="s">
        <v>22</v>
      </c>
      <c r="I5499" s="6">
        <v>128</v>
      </c>
      <c r="J5499" s="4">
        <v>18.97</v>
      </c>
      <c r="K5499" s="4">
        <v>9.5399999999999991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spans="1:21" ht="12" customHeight="1">
      <c r="A5500" s="4">
        <v>2493</v>
      </c>
      <c r="B5500" s="4">
        <v>18145</v>
      </c>
      <c r="C5500" s="5">
        <f>DATE(2012,12,31)-849</f>
        <v>40425</v>
      </c>
      <c r="D5500" s="4" t="s">
        <v>63</v>
      </c>
      <c r="E5500" s="4">
        <v>21</v>
      </c>
      <c r="F5500" s="4">
        <v>361.98</v>
      </c>
      <c r="G5500" s="4">
        <v>0</v>
      </c>
      <c r="H5500" s="4" t="s">
        <v>22</v>
      </c>
      <c r="I5500" s="6">
        <v>-55.610399999999998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4">C5500+1</f>
        <v>40426</v>
      </c>
    </row>
    <row r="5501" spans="1:21" ht="12" customHeight="1">
      <c r="A5501" s="4">
        <v>2509</v>
      </c>
      <c r="B5501" s="4">
        <v>18215</v>
      </c>
      <c r="C5501" s="5">
        <f>DATE(2012,12,31)-834</f>
        <v>40440</v>
      </c>
      <c r="D5501" s="4" t="s">
        <v>63</v>
      </c>
      <c r="E5501" s="4">
        <v>29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4"/>
        <v>40441</v>
      </c>
    </row>
    <row r="5502" spans="1:21" ht="12" customHeight="1">
      <c r="A5502" s="4">
        <v>2581</v>
      </c>
      <c r="B5502" s="4">
        <v>18598</v>
      </c>
      <c r="C5502" s="5">
        <f t="shared" ref="C5502:C5503" si="2325">DATE(2012,12,31)-878</f>
        <v>40396</v>
      </c>
      <c r="D5502" s="4" t="s">
        <v>78</v>
      </c>
      <c r="E5502" s="4">
        <v>24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spans="1:21" ht="12" customHeight="1">
      <c r="A5503" s="4">
        <v>2582</v>
      </c>
      <c r="B5503" s="4">
        <v>18598</v>
      </c>
      <c r="C5503" s="5">
        <f t="shared" si="2325"/>
        <v>40396</v>
      </c>
      <c r="D5503" s="4" t="s">
        <v>78</v>
      </c>
      <c r="E5503" s="4">
        <v>46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spans="1:21" ht="12" customHeight="1">
      <c r="A5504" s="4">
        <v>2701</v>
      </c>
      <c r="B5504" s="4">
        <v>19555</v>
      </c>
      <c r="C5504" s="5">
        <f t="shared" ref="C5504:C5505" si="2326">DATE(2012,12,31)-1054</f>
        <v>40220</v>
      </c>
      <c r="D5504" s="4" t="s">
        <v>21</v>
      </c>
      <c r="E5504" s="4">
        <v>36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spans="1:21" ht="12" customHeight="1">
      <c r="A5505" s="4">
        <v>2702</v>
      </c>
      <c r="B5505" s="4">
        <v>19555</v>
      </c>
      <c r="C5505" s="5">
        <f t="shared" si="2326"/>
        <v>40220</v>
      </c>
      <c r="D5505" s="4" t="s">
        <v>21</v>
      </c>
      <c r="E5505" s="4">
        <v>8</v>
      </c>
      <c r="F5505" s="4">
        <v>78.67</v>
      </c>
      <c r="G5505" s="4">
        <v>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spans="1:21" ht="12" customHeight="1">
      <c r="A5506" s="4">
        <v>2751</v>
      </c>
      <c r="B5506" s="4">
        <v>19843</v>
      </c>
      <c r="C5506" s="5">
        <f>DATE(2012,12,31)-886</f>
        <v>40388</v>
      </c>
      <c r="D5506" s="4" t="s">
        <v>63</v>
      </c>
      <c r="E5506" s="4">
        <v>33</v>
      </c>
      <c r="F5506" s="4">
        <v>4416.6509999999998</v>
      </c>
      <c r="G5506" s="4">
        <v>0.02</v>
      </c>
      <c r="H5506" s="4" t="s">
        <v>22</v>
      </c>
      <c r="I5506" s="6">
        <v>1020.4109999999999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0.57999999999999996</v>
      </c>
      <c r="U5506" s="5">
        <f>C5506+0</f>
        <v>40388</v>
      </c>
    </row>
    <row r="5507" spans="1:21" ht="12" customHeight="1">
      <c r="A5507" s="4">
        <v>2862</v>
      </c>
      <c r="B5507" s="4">
        <v>20646</v>
      </c>
      <c r="C5507" s="5">
        <f>DATE(2012,12,31)-642</f>
        <v>40632</v>
      </c>
      <c r="D5507" s="4" t="s">
        <v>63</v>
      </c>
      <c r="E5507" s="4">
        <v>41</v>
      </c>
      <c r="F5507" s="4">
        <v>1204.0844999999999</v>
      </c>
      <c r="G5507" s="4">
        <v>0.04</v>
      </c>
      <c r="H5507" s="4" t="s">
        <v>22</v>
      </c>
      <c r="I5507" s="6">
        <v>341.95499999999998</v>
      </c>
      <c r="J5507" s="4">
        <v>35.99</v>
      </c>
      <c r="K5507" s="4">
        <v>1.1000000000000001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0.55000000000000004</v>
      </c>
      <c r="U5507" s="5">
        <f>C5507+2</f>
        <v>40634</v>
      </c>
    </row>
    <row r="5508" spans="1:21" ht="12" customHeight="1">
      <c r="A5508" s="4">
        <v>3316</v>
      </c>
      <c r="B5508" s="4">
        <v>23685</v>
      </c>
      <c r="C5508" s="5">
        <f>DATE(2012,12,31)-185</f>
        <v>41089</v>
      </c>
      <c r="D5508" s="4" t="s">
        <v>45</v>
      </c>
      <c r="E5508" s="4">
        <v>46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spans="1:21" ht="12" customHeight="1">
      <c r="A5509" s="4">
        <v>3319</v>
      </c>
      <c r="B5509" s="4">
        <v>23745</v>
      </c>
      <c r="C5509" s="5">
        <f t="shared" ref="C5509:C5510" si="2327">DATE(2012,12,31)-26</f>
        <v>41248</v>
      </c>
      <c r="D5509" s="4" t="s">
        <v>21</v>
      </c>
      <c r="E5509" s="4">
        <v>12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spans="1:21" ht="12" customHeight="1">
      <c r="A5510" s="4">
        <v>3320</v>
      </c>
      <c r="B5510" s="4">
        <v>23745</v>
      </c>
      <c r="C5510" s="5">
        <f t="shared" si="2327"/>
        <v>41248</v>
      </c>
      <c r="D5510" s="4" t="s">
        <v>21</v>
      </c>
      <c r="E5510" s="4">
        <v>47</v>
      </c>
      <c r="F5510" s="4">
        <v>10941.23</v>
      </c>
      <c r="G5510" s="4">
        <v>0</v>
      </c>
      <c r="H5510" s="4" t="s">
        <v>31</v>
      </c>
      <c r="I5510" s="6">
        <v>1687.07</v>
      </c>
      <c r="J5510" s="4">
        <v>227.55</v>
      </c>
      <c r="K5510" s="4">
        <v>32.479999999999997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spans="1:21" ht="12" customHeight="1">
      <c r="A5511" s="4">
        <v>3585</v>
      </c>
      <c r="B5511" s="4">
        <v>25571</v>
      </c>
      <c r="C5511" s="5">
        <f>DATE(2012,12,31)-135</f>
        <v>41139</v>
      </c>
      <c r="D5511" s="4" t="s">
        <v>78</v>
      </c>
      <c r="E5511" s="4">
        <v>42</v>
      </c>
      <c r="F5511" s="4">
        <v>3749</v>
      </c>
      <c r="G5511" s="4">
        <v>0.08</v>
      </c>
      <c r="H5511" s="4" t="s">
        <v>22</v>
      </c>
      <c r="I5511" s="6">
        <v>-1032.1300000000001</v>
      </c>
      <c r="J5511" s="4">
        <v>89.83</v>
      </c>
      <c r="K5511" s="4">
        <v>35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spans="1:21" ht="12" customHeight="1">
      <c r="A5512" s="4">
        <v>3645</v>
      </c>
      <c r="B5512" s="4">
        <v>26053</v>
      </c>
      <c r="C5512" s="5">
        <f>DATE(2012,12,31)-342</f>
        <v>40932</v>
      </c>
      <c r="D5512" s="4" t="s">
        <v>21</v>
      </c>
      <c r="E5512" s="4">
        <v>48</v>
      </c>
      <c r="F5512" s="4">
        <v>878.75</v>
      </c>
      <c r="G5512" s="4">
        <v>7.0000000000000007E-2</v>
      </c>
      <c r="H5512" s="4" t="s">
        <v>56</v>
      </c>
      <c r="I5512" s="6">
        <v>70.459999999999994</v>
      </c>
      <c r="J5512" s="4">
        <v>18.97</v>
      </c>
      <c r="K5512" s="4">
        <v>9.0299999999999994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spans="1:21" ht="12" customHeight="1">
      <c r="A5513" s="4">
        <v>3670</v>
      </c>
      <c r="B5513" s="4">
        <v>26277</v>
      </c>
      <c r="C5513" s="5">
        <f>DATE(2012,12,31)-553</f>
        <v>40721</v>
      </c>
      <c r="D5513" s="4" t="s">
        <v>63</v>
      </c>
      <c r="E5513" s="4">
        <v>17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19.989999999999998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8">C5513+1</f>
        <v>40722</v>
      </c>
    </row>
    <row r="5514" spans="1:21" ht="12" customHeight="1">
      <c r="A5514" s="4">
        <v>3913</v>
      </c>
      <c r="B5514" s="4">
        <v>27904</v>
      </c>
      <c r="C5514" s="5">
        <f>DATE(2012,12,31)-485</f>
        <v>40789</v>
      </c>
      <c r="D5514" s="4" t="s">
        <v>30</v>
      </c>
      <c r="E5514" s="4">
        <v>8</v>
      </c>
      <c r="F5514" s="4">
        <v>460.58949999999999</v>
      </c>
      <c r="G5514" s="4">
        <v>0.02</v>
      </c>
      <c r="H5514" s="4" t="s">
        <v>22</v>
      </c>
      <c r="I5514" s="6">
        <v>-171.20399999999998</v>
      </c>
      <c r="J5514" s="4">
        <v>65.989999999999995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0.56000000000000005</v>
      </c>
      <c r="U5514" s="5">
        <f t="shared" si="2328"/>
        <v>40790</v>
      </c>
    </row>
    <row r="5515" spans="1:21" ht="12" customHeight="1">
      <c r="A5515" s="4">
        <v>3925</v>
      </c>
      <c r="B5515" s="4">
        <v>27974</v>
      </c>
      <c r="C5515" s="5">
        <f>DATE(2012,12,31)-816</f>
        <v>40458</v>
      </c>
      <c r="D5515" s="4" t="s">
        <v>30</v>
      </c>
      <c r="E5515" s="4">
        <v>31</v>
      </c>
      <c r="F5515" s="4">
        <v>813.41</v>
      </c>
      <c r="G5515" s="4">
        <v>0.09</v>
      </c>
      <c r="H5515" s="4" t="s">
        <v>56</v>
      </c>
      <c r="I5515" s="6">
        <v>284.64999999999998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spans="1:21" ht="12" customHeight="1">
      <c r="A5516" s="4">
        <v>4192</v>
      </c>
      <c r="B5516" s="4">
        <v>29767</v>
      </c>
      <c r="C5516" s="5">
        <f>DATE(2012,12,31)-695</f>
        <v>40579</v>
      </c>
      <c r="D5516" s="4" t="s">
        <v>30</v>
      </c>
      <c r="E5516" s="4">
        <v>48</v>
      </c>
      <c r="F5516" s="4">
        <v>4153.0600000000004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0.56000000000000005</v>
      </c>
      <c r="U5516" s="5">
        <f>C5516+1</f>
        <v>40580</v>
      </c>
    </row>
    <row r="5517" spans="1:21" ht="12" customHeight="1">
      <c r="A5517" s="4">
        <v>4290</v>
      </c>
      <c r="B5517" s="4">
        <v>30566</v>
      </c>
      <c r="C5517" s="5">
        <f>DATE(2012,12,31)-549</f>
        <v>40725</v>
      </c>
      <c r="D5517" s="4" t="s">
        <v>21</v>
      </c>
      <c r="E5517" s="4">
        <v>34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9.5399999999999991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spans="1:21" ht="12" customHeight="1">
      <c r="A5518" s="4">
        <v>4379</v>
      </c>
      <c r="B5518" s="4">
        <v>31204</v>
      </c>
      <c r="C5518" s="5">
        <f t="shared" ref="C5518:C5519" si="2329">DATE(2012,12,31)-863</f>
        <v>40411</v>
      </c>
      <c r="D5518" s="4" t="s">
        <v>21</v>
      </c>
      <c r="E5518" s="4">
        <v>14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spans="1:21" ht="12" customHeight="1">
      <c r="A5519" s="4">
        <v>4380</v>
      </c>
      <c r="B5519" s="4">
        <v>31204</v>
      </c>
      <c r="C5519" s="5">
        <f t="shared" si="2329"/>
        <v>40411</v>
      </c>
      <c r="D5519" s="4" t="s">
        <v>21</v>
      </c>
      <c r="E5519" s="4">
        <v>8</v>
      </c>
      <c r="F5519" s="4">
        <v>10.46</v>
      </c>
      <c r="G5519" s="4">
        <v>0</v>
      </c>
      <c r="H5519" s="4" t="s">
        <v>22</v>
      </c>
      <c r="I5519" s="6">
        <v>-0.89</v>
      </c>
      <c r="J5519" s="4">
        <v>1.1399999999999999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spans="1:21" ht="12" customHeight="1">
      <c r="A5520" s="4">
        <v>4567</v>
      </c>
      <c r="B5520" s="4">
        <v>32513</v>
      </c>
      <c r="C5520" s="5">
        <f t="shared" ref="C5520:C5521" si="2330">DATE(2012,12,31)-333</f>
        <v>40941</v>
      </c>
      <c r="D5520" s="4" t="s">
        <v>21</v>
      </c>
      <c r="E5520" s="4">
        <v>23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19.989999999999998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1">C5520+5</f>
        <v>40946</v>
      </c>
    </row>
    <row r="5521" spans="1:21" ht="12" customHeight="1">
      <c r="A5521" s="4">
        <v>4568</v>
      </c>
      <c r="B5521" s="4">
        <v>32513</v>
      </c>
      <c r="C5521" s="5">
        <f t="shared" si="2330"/>
        <v>40941</v>
      </c>
      <c r="D5521" s="4" t="s">
        <v>21</v>
      </c>
      <c r="E5521" s="4">
        <v>40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1"/>
        <v>40946</v>
      </c>
    </row>
    <row r="5522" spans="1:21" ht="12" customHeight="1">
      <c r="A5522" s="4">
        <v>4589</v>
      </c>
      <c r="B5522" s="4">
        <v>32641</v>
      </c>
      <c r="C5522" s="5">
        <f>DATE(2012,12,31)-1016</f>
        <v>40258</v>
      </c>
      <c r="D5522" s="4" t="s">
        <v>30</v>
      </c>
      <c r="E5522" s="4">
        <v>18</v>
      </c>
      <c r="F5522" s="4">
        <v>167.53</v>
      </c>
      <c r="G5522" s="4">
        <v>0.05</v>
      </c>
      <c r="H5522" s="4" t="s">
        <v>22</v>
      </c>
      <c r="I5522" s="6">
        <v>-9.5679999999999996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2">C5522+1</f>
        <v>40259</v>
      </c>
    </row>
    <row r="5523" spans="1:21" ht="12" customHeight="1">
      <c r="A5523" s="4">
        <v>4741</v>
      </c>
      <c r="B5523" s="4">
        <v>33729</v>
      </c>
      <c r="C5523" s="5">
        <f>DATE(2012,12,31)-103</f>
        <v>41171</v>
      </c>
      <c r="D5523" s="4" t="s">
        <v>45</v>
      </c>
      <c r="E5523" s="4">
        <v>26</v>
      </c>
      <c r="F5523" s="4">
        <v>6995.56</v>
      </c>
      <c r="G5523" s="4">
        <v>7.0000000000000007E-2</v>
      </c>
      <c r="H5523" s="4" t="s">
        <v>22</v>
      </c>
      <c r="I5523" s="6">
        <v>-286.58</v>
      </c>
      <c r="J5523" s="4">
        <v>279.48</v>
      </c>
      <c r="K5523" s="4">
        <v>35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2"/>
        <v>41172</v>
      </c>
    </row>
    <row r="5524" spans="1:21" ht="12" customHeight="1">
      <c r="A5524" s="4">
        <v>4796</v>
      </c>
      <c r="B5524" s="4">
        <v>34083</v>
      </c>
      <c r="C5524" s="5">
        <f>DATE(2012,12,31)-330</f>
        <v>40944</v>
      </c>
      <c r="D5524" s="4" t="s">
        <v>45</v>
      </c>
      <c r="E5524" s="4">
        <v>29</v>
      </c>
      <c r="F5524" s="4">
        <v>1415.1480000000001</v>
      </c>
      <c r="G5524" s="4">
        <v>0.02</v>
      </c>
      <c r="H5524" s="4" t="s">
        <v>56</v>
      </c>
      <c r="I5524" s="6">
        <v>-64.944000000000003</v>
      </c>
      <c r="J5524" s="4">
        <v>55.99</v>
      </c>
      <c r="K5524" s="4">
        <v>5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spans="1:21" ht="12" customHeight="1">
      <c r="A5525" s="4">
        <v>4854</v>
      </c>
      <c r="B5525" s="4">
        <v>34532</v>
      </c>
      <c r="C5525" s="5">
        <f>DATE(2012,12,31)-20</f>
        <v>41254</v>
      </c>
      <c r="D5525" s="4" t="s">
        <v>21</v>
      </c>
      <c r="E5525" s="4">
        <v>41</v>
      </c>
      <c r="F5525" s="4">
        <v>1234.3599999999999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19.510000000000002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spans="1:21" ht="12" customHeight="1">
      <c r="A5526" s="4">
        <v>4942</v>
      </c>
      <c r="B5526" s="4">
        <v>35139</v>
      </c>
      <c r="C5526" s="5">
        <f t="shared" ref="C5526:C5528" si="2333">DATE(2012,12,31)-1078</f>
        <v>40196</v>
      </c>
      <c r="D5526" s="4" t="s">
        <v>30</v>
      </c>
      <c r="E5526" s="4">
        <v>3</v>
      </c>
      <c r="F5526" s="4">
        <v>10380.34</v>
      </c>
      <c r="G5526" s="4">
        <v>0.05</v>
      </c>
      <c r="H5526" s="4" t="s">
        <v>31</v>
      </c>
      <c r="I5526" s="6">
        <v>-8389.4709000000003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0.56999999999999995</v>
      </c>
      <c r="U5526" s="5">
        <f>C5526+1</f>
        <v>40197</v>
      </c>
    </row>
    <row r="5527" spans="1:21" ht="12" customHeight="1">
      <c r="A5527" s="4">
        <v>4943</v>
      </c>
      <c r="B5527" s="4">
        <v>35139</v>
      </c>
      <c r="C5527" s="5">
        <f t="shared" si="2333"/>
        <v>40196</v>
      </c>
      <c r="D5527" s="4" t="s">
        <v>30</v>
      </c>
      <c r="E5527" s="4">
        <v>25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0.56000000000000005</v>
      </c>
      <c r="U5527" s="5">
        <f t="shared" ref="U5527:U5528" si="2334">C5527+2</f>
        <v>40198</v>
      </c>
    </row>
    <row r="5528" spans="1:21" ht="12" customHeight="1">
      <c r="A5528" s="4">
        <v>4944</v>
      </c>
      <c r="B5528" s="4">
        <v>35139</v>
      </c>
      <c r="C5528" s="5">
        <f t="shared" si="2333"/>
        <v>40196</v>
      </c>
      <c r="D5528" s="4" t="s">
        <v>30</v>
      </c>
      <c r="E5528" s="4">
        <v>32</v>
      </c>
      <c r="F5528" s="4">
        <v>389.98</v>
      </c>
      <c r="G5528" s="4">
        <v>7.0000000000000007E-2</v>
      </c>
      <c r="H5528" s="4" t="s">
        <v>22</v>
      </c>
      <c r="I5528" s="6">
        <v>-14.98</v>
      </c>
      <c r="J5528" s="4">
        <v>12.21</v>
      </c>
      <c r="K5528" s="4">
        <v>4.8099999999999996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0.57999999999999996</v>
      </c>
      <c r="U5528" s="5">
        <f t="shared" si="2334"/>
        <v>40198</v>
      </c>
    </row>
    <row r="5529" spans="1:21" ht="12" customHeight="1">
      <c r="A5529" s="4">
        <v>4952</v>
      </c>
      <c r="B5529" s="4">
        <v>35239</v>
      </c>
      <c r="C5529" s="5">
        <f t="shared" ref="C5529:C5530" si="2335">DATE(2012,12,31)-415</f>
        <v>40859</v>
      </c>
      <c r="D5529" s="4" t="s">
        <v>78</v>
      </c>
      <c r="E5529" s="4">
        <v>21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spans="1:21" ht="12" customHeight="1">
      <c r="A5530" s="4">
        <v>4953</v>
      </c>
      <c r="B5530" s="4">
        <v>35239</v>
      </c>
      <c r="C5530" s="5">
        <f t="shared" si="2335"/>
        <v>40859</v>
      </c>
      <c r="D5530" s="4" t="s">
        <v>78</v>
      </c>
      <c r="E5530" s="4">
        <v>38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9.7100000000000009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0.56999999999999995</v>
      </c>
      <c r="U5530" s="5">
        <f>C5530+2</f>
        <v>40861</v>
      </c>
    </row>
    <row r="5531" spans="1:21" ht="12" customHeight="1">
      <c r="A5531" s="4">
        <v>5032</v>
      </c>
      <c r="B5531" s="4">
        <v>35875</v>
      </c>
      <c r="C5531" s="5">
        <f>DATE(2012,12,31)-566</f>
        <v>40708</v>
      </c>
      <c r="D5531" s="4" t="s">
        <v>30</v>
      </c>
      <c r="E5531" s="4">
        <v>31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0.56999999999999995</v>
      </c>
      <c r="U5531" s="5">
        <f>C5531+0</f>
        <v>40708</v>
      </c>
    </row>
    <row r="5532" spans="1:21" ht="12" customHeight="1">
      <c r="A5532" s="4">
        <v>5217</v>
      </c>
      <c r="B5532" s="4">
        <v>37125</v>
      </c>
      <c r="C5532" s="5">
        <f>DATE(2012,12,31)-1082</f>
        <v>40192</v>
      </c>
      <c r="D5532" s="4" t="s">
        <v>30</v>
      </c>
      <c r="E5532" s="4">
        <v>46</v>
      </c>
      <c r="F5532" s="4">
        <v>72.180000000000007</v>
      </c>
      <c r="G5532" s="4">
        <v>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spans="1:21" ht="12" customHeight="1">
      <c r="A5533" s="4">
        <v>5222</v>
      </c>
      <c r="B5533" s="4">
        <v>37158</v>
      </c>
      <c r="C5533" s="5">
        <f>DATE(2012,12,31)-100</f>
        <v>41174</v>
      </c>
      <c r="D5533" s="4" t="s">
        <v>21</v>
      </c>
      <c r="E5533" s="4">
        <v>25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spans="1:21" ht="12" customHeight="1">
      <c r="A5534" s="4">
        <v>5252</v>
      </c>
      <c r="B5534" s="4">
        <v>37380</v>
      </c>
      <c r="C5534" s="5">
        <f t="shared" ref="C5534:C5536" si="2336">DATE(2012,12,31)-640</f>
        <v>40634</v>
      </c>
      <c r="D5534" s="4" t="s">
        <v>78</v>
      </c>
      <c r="E5534" s="4">
        <v>29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7">C5534+1</f>
        <v>40635</v>
      </c>
    </row>
    <row r="5535" spans="1:21" ht="12" customHeight="1">
      <c r="A5535" s="4">
        <v>5253</v>
      </c>
      <c r="B5535" s="4">
        <v>37380</v>
      </c>
      <c r="C5535" s="5">
        <f t="shared" si="2336"/>
        <v>40634</v>
      </c>
      <c r="D5535" s="4" t="s">
        <v>78</v>
      </c>
      <c r="E5535" s="4">
        <v>47</v>
      </c>
      <c r="F5535" s="4">
        <v>507.18</v>
      </c>
      <c r="G5535" s="4">
        <v>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7"/>
        <v>40635</v>
      </c>
    </row>
    <row r="5536" spans="1:21" ht="12" customHeight="1">
      <c r="A5536" s="4">
        <v>5254</v>
      </c>
      <c r="B5536" s="4">
        <v>37380</v>
      </c>
      <c r="C5536" s="5">
        <f t="shared" si="2336"/>
        <v>40634</v>
      </c>
      <c r="D5536" s="4" t="s">
        <v>78</v>
      </c>
      <c r="E5536" s="4">
        <v>42</v>
      </c>
      <c r="F5536" s="4">
        <v>151.19</v>
      </c>
      <c r="G5536" s="4">
        <v>7.0000000000000007E-2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7"/>
        <v>40635</v>
      </c>
    </row>
    <row r="5537" spans="1:21" ht="12" customHeight="1">
      <c r="A5537" s="4">
        <v>5264</v>
      </c>
      <c r="B5537" s="4">
        <v>37445</v>
      </c>
      <c r="C5537" s="5">
        <f>DATE(2012,12,31)-317</f>
        <v>40957</v>
      </c>
      <c r="D5537" s="4" t="s">
        <v>30</v>
      </c>
      <c r="E5537" s="4">
        <v>37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0.56999999999999995</v>
      </c>
      <c r="U5537" s="5">
        <f t="shared" si="2337"/>
        <v>40958</v>
      </c>
    </row>
    <row r="5538" spans="1:21" ht="12" customHeight="1">
      <c r="A5538" s="4">
        <v>5373</v>
      </c>
      <c r="B5538" s="4">
        <v>38212</v>
      </c>
      <c r="C5538" s="5">
        <f t="shared" ref="C5538:C5540" si="2338">DATE(2012,12,31)-637</f>
        <v>40637</v>
      </c>
      <c r="D5538" s="4" t="s">
        <v>63</v>
      </c>
      <c r="E5538" s="4">
        <v>24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4.9800000000000004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7"/>
        <v>40638</v>
      </c>
    </row>
    <row r="5539" spans="1:21" ht="12" customHeight="1">
      <c r="A5539" s="4">
        <v>5374</v>
      </c>
      <c r="B5539" s="4">
        <v>38212</v>
      </c>
      <c r="C5539" s="5">
        <f t="shared" si="2338"/>
        <v>40637</v>
      </c>
      <c r="D5539" s="4" t="s">
        <v>63</v>
      </c>
      <c r="E5539" s="4">
        <v>46</v>
      </c>
      <c r="F5539" s="4">
        <v>3533.97</v>
      </c>
      <c r="G5539" s="4">
        <v>7.0000000000000007E-2</v>
      </c>
      <c r="H5539" s="4" t="s">
        <v>22</v>
      </c>
      <c r="I5539" s="6">
        <v>-1329.81</v>
      </c>
      <c r="J5539" s="4">
        <v>80.98</v>
      </c>
      <c r="K5539" s="4">
        <v>35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39">C5539+2</f>
        <v>40639</v>
      </c>
    </row>
    <row r="5540" spans="1:21" ht="12" customHeight="1">
      <c r="A5540" s="4">
        <v>5375</v>
      </c>
      <c r="B5540" s="4">
        <v>38212</v>
      </c>
      <c r="C5540" s="5">
        <f t="shared" si="2338"/>
        <v>40637</v>
      </c>
      <c r="D5540" s="4" t="s">
        <v>63</v>
      </c>
      <c r="E5540" s="4">
        <v>38</v>
      </c>
      <c r="F5540" s="4">
        <v>3821.4045000000001</v>
      </c>
      <c r="G5540" s="4">
        <v>0</v>
      </c>
      <c r="H5540" s="4" t="s">
        <v>22</v>
      </c>
      <c r="I5540" s="6">
        <v>1256.9670000000001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0.55000000000000004</v>
      </c>
      <c r="U5540" s="5">
        <f t="shared" si="2339"/>
        <v>40639</v>
      </c>
    </row>
    <row r="5541" spans="1:21" ht="12" customHeight="1">
      <c r="A5541" s="4">
        <v>5447</v>
      </c>
      <c r="B5541" s="4">
        <v>38661</v>
      </c>
      <c r="C5541" s="5">
        <f t="shared" ref="C5541:C5542" si="2340">DATE(2012,12,31)-323</f>
        <v>40951</v>
      </c>
      <c r="D5541" s="4" t="s">
        <v>30</v>
      </c>
      <c r="E5541" s="4">
        <v>48</v>
      </c>
      <c r="F5541" s="4">
        <v>326.10000000000002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spans="1:21" ht="12" customHeight="1">
      <c r="A5542" s="4">
        <v>5448</v>
      </c>
      <c r="B5542" s="4">
        <v>38661</v>
      </c>
      <c r="C5542" s="5">
        <f t="shared" si="2340"/>
        <v>40951</v>
      </c>
      <c r="D5542" s="4" t="s">
        <v>30</v>
      </c>
      <c r="E5542" s="4">
        <v>6</v>
      </c>
      <c r="F5542" s="4">
        <v>170.374</v>
      </c>
      <c r="G5542" s="4">
        <v>0.09</v>
      </c>
      <c r="H5542" s="4" t="s">
        <v>22</v>
      </c>
      <c r="I5542" s="6">
        <v>-67.132999999999996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spans="1:21" ht="12" customHeight="1">
      <c r="A5543" s="4">
        <v>5516</v>
      </c>
      <c r="B5543" s="4">
        <v>39110</v>
      </c>
      <c r="C5543" s="5">
        <f>DATE(2012,12,31)-1060</f>
        <v>40214</v>
      </c>
      <c r="D5543" s="4" t="s">
        <v>63</v>
      </c>
      <c r="E5543" s="4">
        <v>14</v>
      </c>
      <c r="F5543" s="4">
        <v>2595.0700000000002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spans="1:21" ht="12" customHeight="1">
      <c r="A5544" s="4">
        <v>5537</v>
      </c>
      <c r="B5544" s="4">
        <v>39235</v>
      </c>
      <c r="C5544" s="5">
        <f>DATE(2012,12,31)-901</f>
        <v>40373</v>
      </c>
      <c r="D5544" s="4" t="s">
        <v>63</v>
      </c>
      <c r="E5544" s="4">
        <v>34</v>
      </c>
      <c r="F5544" s="4">
        <v>801.98</v>
      </c>
      <c r="G5544" s="4">
        <v>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spans="1:21" ht="12" customHeight="1">
      <c r="A5545" s="4">
        <v>5548</v>
      </c>
      <c r="B5545" s="4">
        <v>39270</v>
      </c>
      <c r="C5545" s="5">
        <f>DATE(2012,12,31)-694</f>
        <v>40580</v>
      </c>
      <c r="D5545" s="4" t="s">
        <v>30</v>
      </c>
      <c r="E5545" s="4">
        <v>11</v>
      </c>
      <c r="F5545" s="4">
        <v>65.78</v>
      </c>
      <c r="G5545" s="4">
        <v>7.0000000000000007E-2</v>
      </c>
      <c r="H5545" s="4" t="s">
        <v>22</v>
      </c>
      <c r="I5545" s="6">
        <v>-17.420000000000002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spans="1:21" ht="12" customHeight="1">
      <c r="A5546" s="4">
        <v>5582</v>
      </c>
      <c r="B5546" s="4">
        <v>39586</v>
      </c>
      <c r="C5546" s="5">
        <f>DATE(2012,12,31)-592</f>
        <v>40682</v>
      </c>
      <c r="D5546" s="4" t="s">
        <v>45</v>
      </c>
      <c r="E5546" s="4">
        <v>1</v>
      </c>
      <c r="F5546" s="4">
        <v>10.48</v>
      </c>
      <c r="G5546" s="4">
        <v>0.04</v>
      </c>
      <c r="H5546" s="4" t="s">
        <v>22</v>
      </c>
      <c r="I5546" s="6">
        <v>-5.4395000000000007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spans="1:21" ht="12" customHeight="1">
      <c r="A5547" s="4">
        <v>5731</v>
      </c>
      <c r="B5547" s="4">
        <v>40673</v>
      </c>
      <c r="C5547" s="5">
        <f>DATE(2012,12,31)-318</f>
        <v>40956</v>
      </c>
      <c r="D5547" s="4" t="s">
        <v>21</v>
      </c>
      <c r="E5547" s="4">
        <v>14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spans="1:21" ht="12" customHeight="1">
      <c r="A5548" s="4">
        <v>5837</v>
      </c>
      <c r="B5548" s="4">
        <v>41413</v>
      </c>
      <c r="C5548" s="5">
        <f t="shared" ref="C5548:C5550" si="2341">DATE(2012,12,31)-411</f>
        <v>40863</v>
      </c>
      <c r="D5548" s="4" t="s">
        <v>21</v>
      </c>
      <c r="E5548" s="4">
        <v>17</v>
      </c>
      <c r="F5548" s="4">
        <v>10134.549999999999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spans="1:21" ht="12" customHeight="1">
      <c r="A5549" s="4">
        <v>5838</v>
      </c>
      <c r="B5549" s="4">
        <v>41413</v>
      </c>
      <c r="C5549" s="5">
        <f t="shared" si="2341"/>
        <v>40863</v>
      </c>
      <c r="D5549" s="4" t="s">
        <v>21</v>
      </c>
      <c r="E5549" s="4">
        <v>46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0.56999999999999995</v>
      </c>
      <c r="U5549" s="5">
        <f>C5549+2</f>
        <v>40865</v>
      </c>
    </row>
    <row r="5550" spans="1:21" ht="12" customHeight="1">
      <c r="A5550" s="4">
        <v>5839</v>
      </c>
      <c r="B5550" s="4">
        <v>41413</v>
      </c>
      <c r="C5550" s="5">
        <f t="shared" si="2341"/>
        <v>40863</v>
      </c>
      <c r="D5550" s="4" t="s">
        <v>21</v>
      </c>
      <c r="E5550" s="4">
        <v>23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spans="1:21" ht="12" customHeight="1">
      <c r="A5551" s="4">
        <v>5895</v>
      </c>
      <c r="B5551" s="4">
        <v>41824</v>
      </c>
      <c r="C5551" s="5">
        <f t="shared" ref="C5551:C5552" si="2342">DATE(2012,12,31)-911</f>
        <v>40363</v>
      </c>
      <c r="D5551" s="4" t="s">
        <v>45</v>
      </c>
      <c r="E5551" s="4">
        <v>8</v>
      </c>
      <c r="F5551" s="4">
        <v>157.51</v>
      </c>
      <c r="G5551" s="4">
        <v>0.01</v>
      </c>
      <c r="H5551" s="4" t="s">
        <v>22</v>
      </c>
      <c r="I5551" s="6">
        <v>46.478000000000002</v>
      </c>
      <c r="J5551" s="4">
        <v>18.940000000000001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spans="1:21" ht="12" customHeight="1">
      <c r="A5552" s="4">
        <v>5896</v>
      </c>
      <c r="B5552" s="4">
        <v>41824</v>
      </c>
      <c r="C5552" s="5">
        <f t="shared" si="2342"/>
        <v>40363</v>
      </c>
      <c r="D5552" s="4" t="s">
        <v>45</v>
      </c>
      <c r="E5552" s="4">
        <v>33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2.0299999999999998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0.56999999999999995</v>
      </c>
      <c r="U5552" s="5">
        <f t="shared" ref="U5552:U5553" si="2343">C5552+2</f>
        <v>40365</v>
      </c>
    </row>
    <row r="5553" spans="1:21" ht="12" customHeight="1">
      <c r="A5553" s="4">
        <v>6015</v>
      </c>
      <c r="B5553" s="4">
        <v>42628</v>
      </c>
      <c r="C5553" s="5">
        <f>DATE(2012,12,31)-606</f>
        <v>40668</v>
      </c>
      <c r="D5553" s="4" t="s">
        <v>45</v>
      </c>
      <c r="E5553" s="4">
        <v>4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3"/>
        <v>40670</v>
      </c>
    </row>
    <row r="5554" spans="1:21" ht="12" customHeight="1">
      <c r="A5554" s="4">
        <v>6030</v>
      </c>
      <c r="B5554" s="4">
        <v>42722</v>
      </c>
      <c r="C5554" s="5">
        <f t="shared" ref="C5554:C5555" si="2344">DATE(2012,12,31)-85</f>
        <v>41189</v>
      </c>
      <c r="D5554" s="4" t="s">
        <v>45</v>
      </c>
      <c r="E5554" s="4">
        <v>23</v>
      </c>
      <c r="F5554" s="4">
        <v>1152.1600000000001</v>
      </c>
      <c r="G5554" s="4">
        <v>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spans="1:21" ht="12" customHeight="1">
      <c r="A5555" s="4">
        <v>6031</v>
      </c>
      <c r="B5555" s="4">
        <v>42722</v>
      </c>
      <c r="C5555" s="5">
        <f t="shared" si="2344"/>
        <v>41189</v>
      </c>
      <c r="D5555" s="4" t="s">
        <v>45</v>
      </c>
      <c r="E5555" s="4">
        <v>2</v>
      </c>
      <c r="F5555" s="4">
        <v>19.899999999999999</v>
      </c>
      <c r="G5555" s="4">
        <v>7.0000000000000007E-2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0.56000000000000005</v>
      </c>
      <c r="U5555" s="5">
        <f t="shared" ref="U5555:U5556" si="2345">C5555+2</f>
        <v>41191</v>
      </c>
    </row>
    <row r="5556" spans="1:21" ht="12" customHeight="1">
      <c r="A5556" s="4">
        <v>6035</v>
      </c>
      <c r="B5556" s="4">
        <v>42753</v>
      </c>
      <c r="C5556" s="5">
        <f>DATE(2012,12,31)-348</f>
        <v>40926</v>
      </c>
      <c r="D5556" s="4" t="s">
        <v>63</v>
      </c>
      <c r="E5556" s="4">
        <v>45</v>
      </c>
      <c r="F5556" s="4">
        <v>4072.8175000000001</v>
      </c>
      <c r="G5556" s="4">
        <v>0.1</v>
      </c>
      <c r="H5556" s="4" t="s">
        <v>22</v>
      </c>
      <c r="I5556" s="6">
        <v>897.36300000000006</v>
      </c>
      <c r="J5556" s="4">
        <v>115.99</v>
      </c>
      <c r="K5556" s="4">
        <v>3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5"/>
        <v>40928</v>
      </c>
    </row>
    <row r="5557" spans="1:21" ht="12" customHeight="1">
      <c r="A5557" s="4">
        <v>6073</v>
      </c>
      <c r="B5557" s="4">
        <v>43013</v>
      </c>
      <c r="C5557" s="5">
        <f>DATE(2012,12,31)-619</f>
        <v>40655</v>
      </c>
      <c r="D5557" s="4" t="s">
        <v>21</v>
      </c>
      <c r="E5557" s="4">
        <v>43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8.2200000000000006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0.56999999999999995</v>
      </c>
      <c r="U5557" s="5">
        <f>C5557+5</f>
        <v>40660</v>
      </c>
    </row>
    <row r="5558" spans="1:21" ht="12" customHeight="1">
      <c r="A5558" s="4">
        <v>6238</v>
      </c>
      <c r="B5558" s="4">
        <v>44198</v>
      </c>
      <c r="C5558" s="5">
        <f>DATE(2012,12,31)-727</f>
        <v>40547</v>
      </c>
      <c r="D5558" s="4" t="s">
        <v>78</v>
      </c>
      <c r="E5558" s="4">
        <v>35</v>
      </c>
      <c r="F5558" s="4">
        <v>625.94849999999997</v>
      </c>
      <c r="G5558" s="4">
        <v>0.04</v>
      </c>
      <c r="H5558" s="4" t="s">
        <v>56</v>
      </c>
      <c r="I5558" s="6">
        <v>-87.021000000000001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spans="1:21" ht="12" customHeight="1">
      <c r="A5559" s="4">
        <v>6281</v>
      </c>
      <c r="B5559" s="4">
        <v>44451</v>
      </c>
      <c r="C5559" s="5">
        <f>DATE(2012,12,31)-477</f>
        <v>40797</v>
      </c>
      <c r="D5559" s="4" t="s">
        <v>21</v>
      </c>
      <c r="E5559" s="4">
        <v>4</v>
      </c>
      <c r="F5559" s="4">
        <v>12.49</v>
      </c>
      <c r="G5559" s="4">
        <v>0.08</v>
      </c>
      <c r="H5559" s="4" t="s">
        <v>22</v>
      </c>
      <c r="I5559" s="6">
        <v>-13.500999999999999</v>
      </c>
      <c r="J5559" s="4">
        <v>1.98</v>
      </c>
      <c r="K5559" s="4">
        <v>4.7699999999999996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spans="1:21" ht="12" customHeight="1">
      <c r="A5560" s="4">
        <v>6473</v>
      </c>
      <c r="B5560" s="4">
        <v>46053</v>
      </c>
      <c r="C5560" s="5">
        <f>DATE(2012,12,31)-109</f>
        <v>41165</v>
      </c>
      <c r="D5560" s="4" t="s">
        <v>30</v>
      </c>
      <c r="E5560" s="4">
        <v>31</v>
      </c>
      <c r="F5560" s="4">
        <v>2447.1074999999996</v>
      </c>
      <c r="G5560" s="4">
        <v>0</v>
      </c>
      <c r="H5560" s="4" t="s">
        <v>22</v>
      </c>
      <c r="I5560" s="6">
        <v>856.96199999999999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0.55000000000000004</v>
      </c>
      <c r="U5560" s="5">
        <f>C5560+1</f>
        <v>41166</v>
      </c>
    </row>
    <row r="5561" spans="1:21" ht="12" customHeight="1">
      <c r="A5561" s="4">
        <v>6654</v>
      </c>
      <c r="B5561" s="4">
        <v>47329</v>
      </c>
      <c r="C5561" s="5">
        <f t="shared" ref="C5561:C5562" si="2346">DATE(2012,12,31)-1055</f>
        <v>40219</v>
      </c>
      <c r="D5561" s="4" t="s">
        <v>21</v>
      </c>
      <c r="E5561" s="4">
        <v>2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0.55000000000000004</v>
      </c>
      <c r="U5561" s="5">
        <f>C5561+5</f>
        <v>40224</v>
      </c>
    </row>
    <row r="5562" spans="1:21" ht="12" customHeight="1">
      <c r="A5562" s="4">
        <v>6655</v>
      </c>
      <c r="B5562" s="4">
        <v>47329</v>
      </c>
      <c r="C5562" s="5">
        <f t="shared" si="2346"/>
        <v>40219</v>
      </c>
      <c r="D5562" s="4" t="s">
        <v>21</v>
      </c>
      <c r="E5562" s="4">
        <v>16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4.9800000000000004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spans="1:21" ht="12" customHeight="1">
      <c r="A5563" s="4">
        <v>6666</v>
      </c>
      <c r="B5563" s="4">
        <v>47461</v>
      </c>
      <c r="C5563" s="5">
        <f t="shared" ref="C5563:C5565" si="2347">DATE(2012,12,31)-981</f>
        <v>40293</v>
      </c>
      <c r="D5563" s="4" t="s">
        <v>30</v>
      </c>
      <c r="E5563" s="4">
        <v>39</v>
      </c>
      <c r="F5563" s="4">
        <v>318.27999999999997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8">C5563+1</f>
        <v>40294</v>
      </c>
    </row>
    <row r="5564" spans="1:21" ht="12" customHeight="1">
      <c r="A5564" s="4">
        <v>6667</v>
      </c>
      <c r="B5564" s="4">
        <v>47461</v>
      </c>
      <c r="C5564" s="5">
        <f t="shared" si="2347"/>
        <v>40293</v>
      </c>
      <c r="D5564" s="4" t="s">
        <v>30</v>
      </c>
      <c r="E5564" s="4">
        <v>34</v>
      </c>
      <c r="F5564" s="4">
        <v>289.52999999999997</v>
      </c>
      <c r="G5564" s="4">
        <v>0.08</v>
      </c>
      <c r="H5564" s="4" t="s">
        <v>56</v>
      </c>
      <c r="I5564" s="6">
        <v>46.970999999999997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8"/>
        <v>40294</v>
      </c>
    </row>
    <row r="5565" spans="1:21" ht="12" customHeight="1">
      <c r="A5565" s="4">
        <v>6668</v>
      </c>
      <c r="B5565" s="4">
        <v>47461</v>
      </c>
      <c r="C5565" s="5">
        <f t="shared" si="2347"/>
        <v>40293</v>
      </c>
      <c r="D5565" s="4" t="s">
        <v>30</v>
      </c>
      <c r="E5565" s="4">
        <v>45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spans="1:21" ht="12" customHeight="1">
      <c r="A5566" s="4">
        <v>6682</v>
      </c>
      <c r="B5566" s="4">
        <v>47525</v>
      </c>
      <c r="C5566" s="5">
        <f>DATE(2012,12,31)-669</f>
        <v>40605</v>
      </c>
      <c r="D5566" s="4" t="s">
        <v>63</v>
      </c>
      <c r="E5566" s="4">
        <v>40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49">C5566+1</f>
        <v>40606</v>
      </c>
    </row>
    <row r="5567" spans="1:21" ht="12" customHeight="1">
      <c r="A5567" s="4">
        <v>6854</v>
      </c>
      <c r="B5567" s="4">
        <v>48803</v>
      </c>
      <c r="C5567" s="5">
        <f>DATE(2012,12,31)-52</f>
        <v>41222</v>
      </c>
      <c r="D5567" s="4" t="s">
        <v>78</v>
      </c>
      <c r="E5567" s="4">
        <v>19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49"/>
        <v>41223</v>
      </c>
    </row>
    <row r="5568" spans="1:21" ht="12" customHeight="1">
      <c r="A5568" s="4">
        <v>6878</v>
      </c>
      <c r="B5568" s="4">
        <v>49027</v>
      </c>
      <c r="C5568" s="5">
        <f>DATE(2012,12,31)-630</f>
        <v>40644</v>
      </c>
      <c r="D5568" s="4" t="s">
        <v>30</v>
      </c>
      <c r="E5568" s="4">
        <v>41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17.670000000000002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49"/>
        <v>40645</v>
      </c>
    </row>
    <row r="5569" spans="1:21" ht="12" customHeight="1">
      <c r="A5569" s="4">
        <v>7124</v>
      </c>
      <c r="B5569" s="4">
        <v>50822</v>
      </c>
      <c r="C5569" s="5">
        <f t="shared" ref="C5569:C5570" si="2350">DATE(2012,12,31)-328</f>
        <v>40946</v>
      </c>
      <c r="D5569" s="4" t="s">
        <v>63</v>
      </c>
      <c r="E5569" s="4">
        <v>6</v>
      </c>
      <c r="F5569" s="4">
        <v>1635.29</v>
      </c>
      <c r="G5569" s="4">
        <v>0.1</v>
      </c>
      <c r="H5569" s="4" t="s">
        <v>22</v>
      </c>
      <c r="I5569" s="6">
        <v>7.9200000000000728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49"/>
        <v>40947</v>
      </c>
    </row>
    <row r="5570" spans="1:21" ht="12" customHeight="1">
      <c r="A5570" s="4">
        <v>7125</v>
      </c>
      <c r="B5570" s="4">
        <v>50822</v>
      </c>
      <c r="C5570" s="5">
        <f t="shared" si="2350"/>
        <v>40946</v>
      </c>
      <c r="D5570" s="4" t="s">
        <v>63</v>
      </c>
      <c r="E5570" s="4">
        <v>37</v>
      </c>
      <c r="F5570" s="4">
        <v>316.35000000000002</v>
      </c>
      <c r="G5570" s="4">
        <v>0.01</v>
      </c>
      <c r="H5570" s="4" t="s">
        <v>56</v>
      </c>
      <c r="I5570" s="6">
        <v>-52.18</v>
      </c>
      <c r="J5570" s="4">
        <v>8.1199999999999992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49"/>
        <v>40947</v>
      </c>
    </row>
    <row r="5571" spans="1:21" ht="12" customHeight="1">
      <c r="A5571" s="4">
        <v>7275</v>
      </c>
      <c r="B5571" s="4">
        <v>51906</v>
      </c>
      <c r="C5571" s="5">
        <f>DATE(2012,12,31)-487</f>
        <v>40787</v>
      </c>
      <c r="D5571" s="4" t="s">
        <v>30</v>
      </c>
      <c r="E5571" s="4">
        <v>24</v>
      </c>
      <c r="F5571" s="4">
        <v>206.34</v>
      </c>
      <c r="G5571" s="4">
        <v>0.04</v>
      </c>
      <c r="H5571" s="4" t="s">
        <v>22</v>
      </c>
      <c r="I5571" s="6">
        <v>-38.229999999999997</v>
      </c>
      <c r="J5571" s="4">
        <v>8.4600000000000009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49"/>
        <v>40788</v>
      </c>
    </row>
    <row r="5572" spans="1:21" ht="12" customHeight="1">
      <c r="A5572" s="4">
        <v>7309</v>
      </c>
      <c r="B5572" s="4">
        <v>52128</v>
      </c>
      <c r="C5572" s="5">
        <f>DATE(2012,12,31)-770</f>
        <v>40504</v>
      </c>
      <c r="D5572" s="4" t="s">
        <v>45</v>
      </c>
      <c r="E5572" s="4">
        <v>11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49"/>
        <v>40505</v>
      </c>
    </row>
    <row r="5573" spans="1:21" ht="12" customHeight="1">
      <c r="A5573" s="4">
        <v>7392</v>
      </c>
      <c r="B5573" s="4">
        <v>52675</v>
      </c>
      <c r="C5573" s="5">
        <f t="shared" ref="C5573:C5574" si="2351">DATE(2012,12,31)-448</f>
        <v>40826</v>
      </c>
      <c r="D5573" s="4" t="s">
        <v>63</v>
      </c>
      <c r="E5573" s="4">
        <v>4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4.7699999999999996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2">C5573+2</f>
        <v>40828</v>
      </c>
    </row>
    <row r="5574" spans="1:21" ht="12" customHeight="1">
      <c r="A5574" s="4">
        <v>7393</v>
      </c>
      <c r="B5574" s="4">
        <v>52675</v>
      </c>
      <c r="C5574" s="5">
        <f t="shared" si="2351"/>
        <v>40826</v>
      </c>
      <c r="D5574" s="4" t="s">
        <v>63</v>
      </c>
      <c r="E5574" s="4">
        <v>22</v>
      </c>
      <c r="F5574" s="4">
        <v>52.62</v>
      </c>
      <c r="G5574" s="4">
        <v>0.01</v>
      </c>
      <c r="H5574" s="4" t="s">
        <v>22</v>
      </c>
      <c r="I5574" s="6">
        <v>-4.6399999999999997</v>
      </c>
      <c r="J5574" s="4">
        <v>2.21</v>
      </c>
      <c r="K5574" s="4">
        <v>1.1200000000000001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0.57999999999999996</v>
      </c>
      <c r="U5574" s="5">
        <f t="shared" si="2352"/>
        <v>40828</v>
      </c>
    </row>
    <row r="5575" spans="1:21" ht="12" customHeight="1">
      <c r="A5575" s="4">
        <v>7455</v>
      </c>
      <c r="B5575" s="4">
        <v>53189</v>
      </c>
      <c r="C5575" s="5">
        <f>DATE(2012,12,31)-496</f>
        <v>40778</v>
      </c>
      <c r="D5575" s="4" t="s">
        <v>78</v>
      </c>
      <c r="E5575" s="4">
        <v>29</v>
      </c>
      <c r="F5575" s="4">
        <v>214.19</v>
      </c>
      <c r="G5575" s="4">
        <v>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spans="1:21" ht="12" customHeight="1">
      <c r="A5576" s="4">
        <v>7590</v>
      </c>
      <c r="B5576" s="4">
        <v>54307</v>
      </c>
      <c r="C5576" s="5">
        <f>DATE(2012,12,31)-358</f>
        <v>40916</v>
      </c>
      <c r="D5576" s="4" t="s">
        <v>30</v>
      </c>
      <c r="E5576" s="4">
        <v>41</v>
      </c>
      <c r="F5576" s="4">
        <v>198.29</v>
      </c>
      <c r="G5576" s="4">
        <v>0.08</v>
      </c>
      <c r="H5576" s="4" t="s">
        <v>22</v>
      </c>
      <c r="I5576" s="6">
        <v>-134.41200000000001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3">C5576+1</f>
        <v>40917</v>
      </c>
    </row>
    <row r="5577" spans="1:21" ht="12" customHeight="1">
      <c r="A5577" s="4">
        <v>7661</v>
      </c>
      <c r="B5577" s="4">
        <v>54917</v>
      </c>
      <c r="C5577" s="5">
        <f>DATE(2012,12,31)-997</f>
        <v>40277</v>
      </c>
      <c r="D5577" s="4" t="s">
        <v>30</v>
      </c>
      <c r="E5577" s="4">
        <v>12</v>
      </c>
      <c r="F5577" s="4">
        <v>6034.68</v>
      </c>
      <c r="G5577" s="4">
        <v>0.06</v>
      </c>
      <c r="H5577" s="4" t="s">
        <v>22</v>
      </c>
      <c r="I5577" s="6">
        <v>-517.08000000000004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3"/>
        <v>40278</v>
      </c>
    </row>
    <row r="5578" spans="1:21" ht="12" customHeight="1">
      <c r="A5578" s="4">
        <v>7965</v>
      </c>
      <c r="B5578" s="4">
        <v>56930</v>
      </c>
      <c r="C5578" s="5">
        <f>DATE(2012,12,31)-136</f>
        <v>41138</v>
      </c>
      <c r="D5578" s="4" t="s">
        <v>21</v>
      </c>
      <c r="E5578" s="4">
        <v>47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spans="1:21" ht="12" customHeight="1">
      <c r="A5579" s="4">
        <v>8106</v>
      </c>
      <c r="B5579" s="4">
        <v>57857</v>
      </c>
      <c r="C5579" s="5">
        <f>DATE(2012,12,31)-975</f>
        <v>40299</v>
      </c>
      <c r="D5579" s="4" t="s">
        <v>30</v>
      </c>
      <c r="E5579" s="4">
        <v>18</v>
      </c>
      <c r="F5579" s="4">
        <v>314.95999999999998</v>
      </c>
      <c r="G5579" s="4">
        <v>0.1</v>
      </c>
      <c r="H5579" s="4" t="s">
        <v>22</v>
      </c>
      <c r="I5579" s="6">
        <v>153.47999999999999</v>
      </c>
      <c r="J5579" s="4">
        <v>18.649999999999999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spans="1:21" ht="12" customHeight="1">
      <c r="A5580" s="4">
        <v>8107</v>
      </c>
      <c r="B5580" s="4">
        <v>57861</v>
      </c>
      <c r="C5580" s="5">
        <f>DATE(2012,12,31)-67</f>
        <v>41207</v>
      </c>
      <c r="D5580" s="4" t="s">
        <v>63</v>
      </c>
      <c r="E5580" s="4">
        <v>40</v>
      </c>
      <c r="F5580" s="4">
        <v>120.15</v>
      </c>
      <c r="G5580" s="4">
        <v>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spans="1:21" ht="12" customHeight="1">
      <c r="A5581" s="4">
        <v>8145</v>
      </c>
      <c r="B5581" s="4">
        <v>58247</v>
      </c>
      <c r="C5581" s="5">
        <f t="shared" ref="C5581:C5582" si="2354">DATE(2012,12,31)-465</f>
        <v>40809</v>
      </c>
      <c r="D5581" s="4" t="s">
        <v>45</v>
      </c>
      <c r="E5581" s="4">
        <v>8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0.55000000000000004</v>
      </c>
      <c r="U5581" s="5">
        <f>C5581+0</f>
        <v>40809</v>
      </c>
    </row>
    <row r="5582" spans="1:21" ht="12" customHeight="1">
      <c r="A5582" s="4">
        <v>8146</v>
      </c>
      <c r="B5582" s="4">
        <v>58247</v>
      </c>
      <c r="C5582" s="5">
        <f t="shared" si="2354"/>
        <v>40809</v>
      </c>
      <c r="D5582" s="4" t="s">
        <v>45</v>
      </c>
      <c r="E5582" s="4">
        <v>14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spans="1:21" ht="12" customHeight="1">
      <c r="A5583" s="4">
        <v>8178</v>
      </c>
      <c r="B5583" s="4">
        <v>58470</v>
      </c>
      <c r="C5583" s="5">
        <f t="shared" ref="C5583:C5587" si="2355">DATE(2012,12,31)-572</f>
        <v>40702</v>
      </c>
      <c r="D5583" s="4" t="s">
        <v>30</v>
      </c>
      <c r="E5583" s="4">
        <v>24</v>
      </c>
      <c r="F5583" s="4">
        <v>1811.55</v>
      </c>
      <c r="G5583" s="4">
        <v>0.09</v>
      </c>
      <c r="H5583" s="4" t="s">
        <v>22</v>
      </c>
      <c r="I5583" s="6">
        <v>512.69000000000005</v>
      </c>
      <c r="J5583" s="4">
        <v>81.319999999999993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0.56999999999999995</v>
      </c>
      <c r="U5583" s="5">
        <f>C5583+1</f>
        <v>40703</v>
      </c>
    </row>
    <row r="5584" spans="1:21" ht="12" customHeight="1">
      <c r="A5584" s="4">
        <v>8179</v>
      </c>
      <c r="B5584" s="4">
        <v>58470</v>
      </c>
      <c r="C5584" s="5">
        <f t="shared" si="2355"/>
        <v>40702</v>
      </c>
      <c r="D5584" s="4" t="s">
        <v>30</v>
      </c>
      <c r="E5584" s="4">
        <v>13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spans="1:21" ht="12" customHeight="1">
      <c r="A5585" s="4">
        <v>8180</v>
      </c>
      <c r="B5585" s="4">
        <v>58470</v>
      </c>
      <c r="C5585" s="5">
        <f t="shared" si="2355"/>
        <v>40702</v>
      </c>
      <c r="D5585" s="4" t="s">
        <v>30</v>
      </c>
      <c r="E5585" s="4">
        <v>36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spans="1:21" ht="12" customHeight="1">
      <c r="A5586" s="4">
        <v>8181</v>
      </c>
      <c r="B5586" s="4">
        <v>58470</v>
      </c>
      <c r="C5586" s="5">
        <f t="shared" si="2355"/>
        <v>40702</v>
      </c>
      <c r="D5586" s="4" t="s">
        <v>30</v>
      </c>
      <c r="E5586" s="4">
        <v>45</v>
      </c>
      <c r="F5586" s="4">
        <v>854.14</v>
      </c>
      <c r="G5586" s="4">
        <v>0.01</v>
      </c>
      <c r="H5586" s="4" t="s">
        <v>22</v>
      </c>
      <c r="I5586" s="6">
        <v>94</v>
      </c>
      <c r="J5586" s="4">
        <v>18.97</v>
      </c>
      <c r="K5586" s="4">
        <v>9.0299999999999994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spans="1:21" ht="12" customHeight="1">
      <c r="A5587" s="4">
        <v>8182</v>
      </c>
      <c r="B5587" s="4">
        <v>58470</v>
      </c>
      <c r="C5587" s="5">
        <f t="shared" si="2355"/>
        <v>40702</v>
      </c>
      <c r="D5587" s="4" t="s">
        <v>30</v>
      </c>
      <c r="E5587" s="4">
        <v>5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spans="1:21" ht="12" customHeight="1">
      <c r="A5588" s="4">
        <v>8365</v>
      </c>
      <c r="B5588" s="4">
        <v>59780</v>
      </c>
      <c r="C5588" s="5">
        <f>DATE(2012,12,31)-1045</f>
        <v>40229</v>
      </c>
      <c r="D5588" s="4" t="s">
        <v>78</v>
      </c>
      <c r="E5588" s="4">
        <v>21</v>
      </c>
      <c r="F5588" s="4">
        <v>6776.92</v>
      </c>
      <c r="G5588" s="4">
        <v>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0.56000000000000005</v>
      </c>
      <c r="U5588" s="5">
        <f>C5588+0</f>
        <v>40229</v>
      </c>
    </row>
    <row r="5589" spans="1:21" ht="12" customHeight="1">
      <c r="A5589" s="4">
        <v>62</v>
      </c>
      <c r="B5589" s="4">
        <v>358</v>
      </c>
      <c r="C5589" s="5">
        <f t="shared" ref="C5589:C5590" si="2356">DATE(2012,12,31)-834</f>
        <v>40440</v>
      </c>
      <c r="D5589" s="4" t="s">
        <v>30</v>
      </c>
      <c r="E5589" s="4">
        <v>33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spans="1:21" ht="12" customHeight="1">
      <c r="A5590" s="4">
        <v>63</v>
      </c>
      <c r="B5590" s="4">
        <v>358</v>
      </c>
      <c r="C5590" s="5">
        <f t="shared" si="2356"/>
        <v>40440</v>
      </c>
      <c r="D5590" s="4" t="s">
        <v>30</v>
      </c>
      <c r="E5590" s="4">
        <v>33</v>
      </c>
      <c r="F5590" s="4">
        <v>1235.8699999999999</v>
      </c>
      <c r="G5590" s="4">
        <v>7.0000000000000007E-2</v>
      </c>
      <c r="H5590" s="4" t="s">
        <v>22</v>
      </c>
      <c r="I5590" s="6">
        <v>269.27</v>
      </c>
      <c r="J5590" s="4">
        <v>39.479999999999997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spans="1:21" ht="12" customHeight="1">
      <c r="A5591" s="4">
        <v>255</v>
      </c>
      <c r="B5591" s="4">
        <v>1767</v>
      </c>
      <c r="C5591" s="5">
        <f>DATE(2012,12,31)-659</f>
        <v>40615</v>
      </c>
      <c r="D5591" s="4" t="s">
        <v>30</v>
      </c>
      <c r="E5591" s="4">
        <v>10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spans="1:21" ht="12" customHeight="1">
      <c r="A5592" s="4">
        <v>271</v>
      </c>
      <c r="B5592" s="4">
        <v>1863</v>
      </c>
      <c r="C5592" s="5">
        <f>DATE(2012,12,31)-831</f>
        <v>40443</v>
      </c>
      <c r="D5592" s="4" t="s">
        <v>45</v>
      </c>
      <c r="E5592" s="4">
        <v>26</v>
      </c>
      <c r="F5592" s="4">
        <v>2415.38</v>
      </c>
      <c r="G5592" s="4">
        <v>0.08</v>
      </c>
      <c r="H5592" s="4" t="s">
        <v>31</v>
      </c>
      <c r="I5592" s="6">
        <v>-1131.5999999999999</v>
      </c>
      <c r="J5592" s="4">
        <v>95.95</v>
      </c>
      <c r="K5592" s="4">
        <v>74.349999999999994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0.56999999999999995</v>
      </c>
      <c r="U5592" s="5">
        <f>C5592+1</f>
        <v>40444</v>
      </c>
    </row>
    <row r="5593" spans="1:21" ht="12" customHeight="1">
      <c r="A5593" s="4">
        <v>449</v>
      </c>
      <c r="B5593" s="4">
        <v>3046</v>
      </c>
      <c r="C5593" s="5">
        <f>DATE(2012,12,31)-398</f>
        <v>40876</v>
      </c>
      <c r="D5593" s="4" t="s">
        <v>30</v>
      </c>
      <c r="E5593" s="4">
        <v>24</v>
      </c>
      <c r="F5593" s="4">
        <v>10094.43</v>
      </c>
      <c r="G5593" s="4">
        <v>0.03</v>
      </c>
      <c r="H5593" s="4" t="s">
        <v>22</v>
      </c>
      <c r="I5593" s="6">
        <v>4451.0079999999998</v>
      </c>
      <c r="J5593" s="4">
        <v>420.98</v>
      </c>
      <c r="K5593" s="4">
        <v>19.989999999999998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7">C5593+2</f>
        <v>40878</v>
      </c>
    </row>
    <row r="5594" spans="1:21" ht="12" customHeight="1">
      <c r="A5594" s="4">
        <v>862</v>
      </c>
      <c r="B5594" s="4">
        <v>6180</v>
      </c>
      <c r="C5594" s="5">
        <f>DATE(2012,12,31)-630</f>
        <v>40644</v>
      </c>
      <c r="D5594" s="4" t="s">
        <v>63</v>
      </c>
      <c r="E5594" s="4">
        <v>44</v>
      </c>
      <c r="F5594" s="4">
        <v>2443.3420000000001</v>
      </c>
      <c r="G5594" s="4">
        <v>0.01</v>
      </c>
      <c r="H5594" s="4" t="s">
        <v>22</v>
      </c>
      <c r="I5594" s="6">
        <v>590.31899999999996</v>
      </c>
      <c r="J5594" s="4">
        <v>65.989999999999995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7"/>
        <v>40646</v>
      </c>
    </row>
    <row r="5595" spans="1:21" ht="12" customHeight="1">
      <c r="A5595" s="4">
        <v>975</v>
      </c>
      <c r="B5595" s="4">
        <v>7078</v>
      </c>
      <c r="C5595" s="5">
        <f t="shared" ref="C5595:C5598" si="2358">DATE(2012,12,31)-995</f>
        <v>40279</v>
      </c>
      <c r="D5595" s="4" t="s">
        <v>30</v>
      </c>
      <c r="E5595" s="4">
        <v>9</v>
      </c>
      <c r="F5595" s="4">
        <v>112.12</v>
      </c>
      <c r="G5595" s="4">
        <v>0.01</v>
      </c>
      <c r="H5595" s="4" t="s">
        <v>22</v>
      </c>
      <c r="I5595" s="6">
        <v>-8.4499999999999993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7"/>
        <v>40281</v>
      </c>
    </row>
    <row r="5596" spans="1:21" ht="12" customHeight="1">
      <c r="A5596" s="4">
        <v>976</v>
      </c>
      <c r="B5596" s="4">
        <v>7078</v>
      </c>
      <c r="C5596" s="5">
        <f t="shared" si="2358"/>
        <v>40279</v>
      </c>
      <c r="D5596" s="4" t="s">
        <v>30</v>
      </c>
      <c r="E5596" s="4">
        <v>11</v>
      </c>
      <c r="F5596" s="4">
        <v>49.58</v>
      </c>
      <c r="G5596" s="4">
        <v>0.1</v>
      </c>
      <c r="H5596" s="4" t="s">
        <v>56</v>
      </c>
      <c r="I5596" s="6">
        <v>-47.023499999999999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spans="1:21" ht="12" customHeight="1">
      <c r="A5597" s="4">
        <v>977</v>
      </c>
      <c r="B5597" s="4">
        <v>7078</v>
      </c>
      <c r="C5597" s="5">
        <f t="shared" si="2358"/>
        <v>40279</v>
      </c>
      <c r="D5597" s="4" t="s">
        <v>30</v>
      </c>
      <c r="E5597" s="4">
        <v>16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spans="1:21" ht="12" customHeight="1">
      <c r="A5598" s="4">
        <v>978</v>
      </c>
      <c r="B5598" s="4">
        <v>7078</v>
      </c>
      <c r="C5598" s="5">
        <f t="shared" si="2358"/>
        <v>40279</v>
      </c>
      <c r="D5598" s="4" t="s">
        <v>30</v>
      </c>
      <c r="E5598" s="4">
        <v>29</v>
      </c>
      <c r="F5598" s="4">
        <v>465.52</v>
      </c>
      <c r="G5598" s="4">
        <v>0.02</v>
      </c>
      <c r="H5598" s="4" t="s">
        <v>56</v>
      </c>
      <c r="I5598" s="6">
        <v>65.349999999999994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spans="1:21" ht="12" customHeight="1">
      <c r="A5599" s="4">
        <v>1045</v>
      </c>
      <c r="B5599" s="4">
        <v>7654</v>
      </c>
      <c r="C5599" s="5">
        <f>DATE(2012,12,31)-1055</f>
        <v>40219</v>
      </c>
      <c r="D5599" s="4" t="s">
        <v>30</v>
      </c>
      <c r="E5599" s="4">
        <v>3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59">C5599+2</f>
        <v>40221</v>
      </c>
    </row>
    <row r="5600" spans="1:21" ht="12" customHeight="1">
      <c r="A5600" s="4">
        <v>1050</v>
      </c>
      <c r="B5600" s="4">
        <v>7746</v>
      </c>
      <c r="C5600" s="5">
        <f>DATE(2012,12,31)-757</f>
        <v>40517</v>
      </c>
      <c r="D5600" s="4" t="s">
        <v>63</v>
      </c>
      <c r="E5600" s="4">
        <v>1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59"/>
        <v>40519</v>
      </c>
    </row>
    <row r="5601" spans="1:21" ht="12" customHeight="1">
      <c r="A5601" s="4">
        <v>1149</v>
      </c>
      <c r="B5601" s="4">
        <v>8387</v>
      </c>
      <c r="C5601" s="5">
        <f>DATE(2012,12,31)-1017</f>
        <v>40257</v>
      </c>
      <c r="D5601" s="4" t="s">
        <v>45</v>
      </c>
      <c r="E5601" s="4">
        <v>35</v>
      </c>
      <c r="F5601" s="4">
        <v>1133.96</v>
      </c>
      <c r="G5601" s="4">
        <v>0.02</v>
      </c>
      <c r="H5601" s="4" t="s">
        <v>22</v>
      </c>
      <c r="I5601" s="6">
        <v>185.08750000000001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0">C5601+1</f>
        <v>40258</v>
      </c>
    </row>
    <row r="5602" spans="1:21" ht="12" customHeight="1">
      <c r="A5602" s="4">
        <v>1195</v>
      </c>
      <c r="B5602" s="4">
        <v>8768</v>
      </c>
      <c r="C5602" s="5">
        <f>DATE(2012,12,31)-501</f>
        <v>40773</v>
      </c>
      <c r="D5602" s="4" t="s">
        <v>30</v>
      </c>
      <c r="E5602" s="4">
        <v>44</v>
      </c>
      <c r="F5602" s="4">
        <v>2422.4404999999997</v>
      </c>
      <c r="G5602" s="4">
        <v>0.03</v>
      </c>
      <c r="H5602" s="4" t="s">
        <v>22</v>
      </c>
      <c r="I5602" s="6">
        <v>568.17899999999997</v>
      </c>
      <c r="J5602" s="4">
        <v>65.989999999999995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0.56999999999999995</v>
      </c>
      <c r="U5602" s="5">
        <f t="shared" si="2360"/>
        <v>40774</v>
      </c>
    </row>
    <row r="5603" spans="1:21" ht="12" customHeight="1">
      <c r="A5603" s="4">
        <v>1296</v>
      </c>
      <c r="B5603" s="4">
        <v>9504</v>
      </c>
      <c r="C5603" s="5">
        <f>DATE(2012,12,31)-36</f>
        <v>41238</v>
      </c>
      <c r="D5603" s="4" t="s">
        <v>63</v>
      </c>
      <c r="E5603" s="4">
        <v>17</v>
      </c>
      <c r="F5603" s="4">
        <v>1954.796</v>
      </c>
      <c r="G5603" s="4">
        <v>0.05</v>
      </c>
      <c r="H5603" s="4" t="s">
        <v>22</v>
      </c>
      <c r="I5603" s="6">
        <v>98.352000000000004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spans="1:21" ht="12" customHeight="1">
      <c r="A5604" s="4">
        <v>1431</v>
      </c>
      <c r="B5604" s="4">
        <v>10341</v>
      </c>
      <c r="C5604" s="5">
        <f>DATE(2012,12,31)-10</f>
        <v>41264</v>
      </c>
      <c r="D5604" s="4" t="s">
        <v>30</v>
      </c>
      <c r="E5604" s="4">
        <v>17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145.44999999999999</v>
      </c>
      <c r="K5604" s="4">
        <v>17.850000000000001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0.56000000000000005</v>
      </c>
      <c r="U5604" s="5">
        <f t="shared" ref="U5604:U5605" si="2361">C5604+1</f>
        <v>41265</v>
      </c>
    </row>
    <row r="5605" spans="1:21" ht="12" customHeight="1">
      <c r="A5605" s="4">
        <v>1522</v>
      </c>
      <c r="B5605" s="4">
        <v>10982</v>
      </c>
      <c r="C5605" s="5">
        <f t="shared" ref="C5605:C5607" si="2362">DATE(2012,12,31)-21</f>
        <v>41253</v>
      </c>
      <c r="D5605" s="4" t="s">
        <v>45</v>
      </c>
      <c r="E5605" s="4">
        <v>29</v>
      </c>
      <c r="F5605" s="4">
        <v>538.27</v>
      </c>
      <c r="G5605" s="4">
        <v>0.02</v>
      </c>
      <c r="H5605" s="4" t="s">
        <v>22</v>
      </c>
      <c r="I5605" s="6">
        <v>225.19900000000001</v>
      </c>
      <c r="J5605" s="4">
        <v>18.940000000000001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1"/>
        <v>41254</v>
      </c>
    </row>
    <row r="5606" spans="1:21" ht="12" customHeight="1">
      <c r="A5606" s="4">
        <v>1523</v>
      </c>
      <c r="B5606" s="4">
        <v>10982</v>
      </c>
      <c r="C5606" s="5">
        <f t="shared" si="2362"/>
        <v>41253</v>
      </c>
      <c r="D5606" s="4" t="s">
        <v>45</v>
      </c>
      <c r="E5606" s="4">
        <v>30</v>
      </c>
      <c r="F5606" s="4">
        <v>3665.41</v>
      </c>
      <c r="G5606" s="4">
        <v>0.05</v>
      </c>
      <c r="H5606" s="4" t="s">
        <v>22</v>
      </c>
      <c r="I5606" s="6">
        <v>1236.3589999999999</v>
      </c>
      <c r="J5606" s="4">
        <v>122.99</v>
      </c>
      <c r="K5606" s="4">
        <v>19.989999999999998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3">C5606+2</f>
        <v>41255</v>
      </c>
    </row>
    <row r="5607" spans="1:21" ht="12" customHeight="1">
      <c r="A5607" s="4">
        <v>1524</v>
      </c>
      <c r="B5607" s="4">
        <v>10982</v>
      </c>
      <c r="C5607" s="5">
        <f t="shared" si="2362"/>
        <v>41253</v>
      </c>
      <c r="D5607" s="4" t="s">
        <v>45</v>
      </c>
      <c r="E5607" s="4">
        <v>14</v>
      </c>
      <c r="F5607" s="4">
        <v>20.95</v>
      </c>
      <c r="G5607" s="4">
        <v>0</v>
      </c>
      <c r="H5607" s="4" t="s">
        <v>56</v>
      </c>
      <c r="I5607" s="6">
        <v>2.81</v>
      </c>
      <c r="J5607" s="4">
        <v>1.1399999999999999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3"/>
        <v>41255</v>
      </c>
    </row>
    <row r="5608" spans="1:21" ht="12" customHeight="1">
      <c r="A5608" s="4">
        <v>1531</v>
      </c>
      <c r="B5608" s="4">
        <v>11014</v>
      </c>
      <c r="C5608" s="5">
        <f>DATE(2012,12,31)-846</f>
        <v>40428</v>
      </c>
      <c r="D5608" s="4" t="s">
        <v>30</v>
      </c>
      <c r="E5608" s="4">
        <v>39</v>
      </c>
      <c r="F5608" s="4">
        <v>286.81</v>
      </c>
      <c r="G5608" s="4">
        <v>7.0000000000000007E-2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spans="1:21" ht="12" customHeight="1">
      <c r="A5609" s="4">
        <v>2031</v>
      </c>
      <c r="B5609" s="4">
        <v>14497</v>
      </c>
      <c r="C5609" s="5">
        <f>DATE(2012,12,31)-225</f>
        <v>41049</v>
      </c>
      <c r="D5609" s="4" t="s">
        <v>63</v>
      </c>
      <c r="E5609" s="4">
        <v>34</v>
      </c>
      <c r="F5609" s="4">
        <v>214.03</v>
      </c>
      <c r="G5609" s="4">
        <v>0.02</v>
      </c>
      <c r="H5609" s="4" t="s">
        <v>22</v>
      </c>
      <c r="I5609" s="6">
        <v>-138.91999999999999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4">C5609+3</f>
        <v>41052</v>
      </c>
    </row>
    <row r="5610" spans="1:21" ht="12" customHeight="1">
      <c r="A5610" s="4">
        <v>2112</v>
      </c>
      <c r="B5610" s="4">
        <v>15104</v>
      </c>
      <c r="C5610" s="5">
        <f>DATE(2012,12,31)-277</f>
        <v>40997</v>
      </c>
      <c r="D5610" s="4" t="s">
        <v>63</v>
      </c>
      <c r="E5610" s="4">
        <v>23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4"/>
        <v>41000</v>
      </c>
    </row>
    <row r="5611" spans="1:21" ht="12" customHeight="1">
      <c r="A5611" s="4">
        <v>2339</v>
      </c>
      <c r="B5611" s="4">
        <v>16834</v>
      </c>
      <c r="C5611" s="5">
        <f>DATE(2012,12,31)-800</f>
        <v>40474</v>
      </c>
      <c r="D5611" s="4" t="s">
        <v>21</v>
      </c>
      <c r="E5611" s="4">
        <v>23</v>
      </c>
      <c r="F5611" s="4">
        <v>158.78</v>
      </c>
      <c r="G5611" s="4">
        <v>7.0000000000000007E-2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spans="1:21" ht="12" customHeight="1">
      <c r="A5612" s="4">
        <v>2407</v>
      </c>
      <c r="B5612" s="4">
        <v>17445</v>
      </c>
      <c r="C5612" s="5">
        <f>DATE(2012,12,31)-498</f>
        <v>40776</v>
      </c>
      <c r="D5612" s="4" t="s">
        <v>45</v>
      </c>
      <c r="E5612" s="4">
        <v>33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spans="1:21" ht="12" customHeight="1">
      <c r="A5613" s="4">
        <v>2574</v>
      </c>
      <c r="B5613" s="4">
        <v>18593</v>
      </c>
      <c r="C5613" s="5">
        <f t="shared" ref="C5613:C5614" si="2365">DATE(2012,12,31)-466</f>
        <v>40808</v>
      </c>
      <c r="D5613" s="4" t="s">
        <v>30</v>
      </c>
      <c r="E5613" s="4">
        <v>23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300.97000000000003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spans="1:21" ht="12" customHeight="1">
      <c r="A5614" s="4">
        <v>2575</v>
      </c>
      <c r="B5614" s="4">
        <v>18593</v>
      </c>
      <c r="C5614" s="5">
        <f t="shared" si="2365"/>
        <v>40808</v>
      </c>
      <c r="D5614" s="4" t="s">
        <v>30</v>
      </c>
      <c r="E5614" s="4">
        <v>19</v>
      </c>
      <c r="F5614" s="4">
        <v>1051.992</v>
      </c>
      <c r="G5614" s="4">
        <v>0.09</v>
      </c>
      <c r="H5614" s="4" t="s">
        <v>31</v>
      </c>
      <c r="I5614" s="6">
        <v>-1280.5999999999999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spans="1:21" ht="12" customHeight="1">
      <c r="A5615" s="4">
        <v>2722</v>
      </c>
      <c r="B5615" s="4">
        <v>19652</v>
      </c>
      <c r="C5615" s="5">
        <f t="shared" ref="C5615:C5616" si="2366">DATE(2012,12,31)-212</f>
        <v>41062</v>
      </c>
      <c r="D5615" s="4" t="s">
        <v>78</v>
      </c>
      <c r="E5615" s="4">
        <v>28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spans="1:21" ht="12" customHeight="1">
      <c r="A5616" s="4">
        <v>2723</v>
      </c>
      <c r="B5616" s="4">
        <v>19652</v>
      </c>
      <c r="C5616" s="5">
        <f t="shared" si="2366"/>
        <v>41062</v>
      </c>
      <c r="D5616" s="4" t="s">
        <v>78</v>
      </c>
      <c r="E5616" s="4">
        <v>34</v>
      </c>
      <c r="F5616" s="4">
        <v>1829.8715</v>
      </c>
      <c r="G5616" s="4">
        <v>0.05</v>
      </c>
      <c r="H5616" s="4" t="s">
        <v>22</v>
      </c>
      <c r="I5616" s="6">
        <v>367.46100000000001</v>
      </c>
      <c r="J5616" s="4">
        <v>65.989999999999995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0.56999999999999995</v>
      </c>
      <c r="U5616" s="5">
        <f>C5616+2</f>
        <v>41064</v>
      </c>
    </row>
    <row r="5617" spans="1:21" ht="12" customHeight="1">
      <c r="A5617" s="4">
        <v>2879</v>
      </c>
      <c r="B5617" s="4">
        <v>20743</v>
      </c>
      <c r="C5617" s="5">
        <f>DATE(2012,12,31)-382</f>
        <v>40892</v>
      </c>
      <c r="D5617" s="4" t="s">
        <v>30</v>
      </c>
      <c r="E5617" s="4">
        <v>39</v>
      </c>
      <c r="F5617" s="4">
        <v>231.21</v>
      </c>
      <c r="G5617" s="4">
        <v>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spans="1:21" ht="12" customHeight="1">
      <c r="A5618" s="4">
        <v>3047</v>
      </c>
      <c r="B5618" s="4">
        <v>21862</v>
      </c>
      <c r="C5618" s="5">
        <f t="shared" ref="C5618:C5620" si="2367">DATE(2012,12,31)-841</f>
        <v>40433</v>
      </c>
      <c r="D5618" s="4" t="s">
        <v>45</v>
      </c>
      <c r="E5618" s="4">
        <v>1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spans="1:21" ht="12" customHeight="1">
      <c r="A5619" s="4">
        <v>3048</v>
      </c>
      <c r="B5619" s="4">
        <v>21862</v>
      </c>
      <c r="C5619" s="5">
        <f t="shared" si="2367"/>
        <v>40433</v>
      </c>
      <c r="D5619" s="4" t="s">
        <v>45</v>
      </c>
      <c r="E5619" s="4">
        <v>4</v>
      </c>
      <c r="F5619" s="4">
        <v>19014.240000000002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spans="1:21" ht="12" customHeight="1">
      <c r="A5620" s="4">
        <v>3049</v>
      </c>
      <c r="B5620" s="4">
        <v>21862</v>
      </c>
      <c r="C5620" s="5">
        <f t="shared" si="2367"/>
        <v>40433</v>
      </c>
      <c r="D5620" s="4" t="s">
        <v>45</v>
      </c>
      <c r="E5620" s="4">
        <v>46</v>
      </c>
      <c r="F5620" s="4">
        <v>385.05</v>
      </c>
      <c r="G5620" s="4">
        <v>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spans="1:21" ht="12" customHeight="1">
      <c r="A5621" s="4">
        <v>3169</v>
      </c>
      <c r="B5621" s="4">
        <v>22787</v>
      </c>
      <c r="C5621" s="5">
        <f>DATE(2012,12,31)-636</f>
        <v>40638</v>
      </c>
      <c r="D5621" s="4" t="s">
        <v>63</v>
      </c>
      <c r="E5621" s="4">
        <v>35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spans="1:21" ht="12" customHeight="1">
      <c r="A5622" s="4">
        <v>3256</v>
      </c>
      <c r="B5622" s="4">
        <v>23328</v>
      </c>
      <c r="C5622" s="5">
        <f>DATE(2012,12,31)-838</f>
        <v>40436</v>
      </c>
      <c r="D5622" s="4" t="s">
        <v>30</v>
      </c>
      <c r="E5622" s="4">
        <v>39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145.44999999999999</v>
      </c>
      <c r="K5622" s="4">
        <v>17.850000000000001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0.56000000000000005</v>
      </c>
      <c r="U5622" s="5">
        <f t="shared" ref="U5622:U5623" si="2368">C5622+1</f>
        <v>40437</v>
      </c>
    </row>
    <row r="5623" spans="1:21" ht="12" customHeight="1">
      <c r="A5623" s="4">
        <v>3403</v>
      </c>
      <c r="B5623" s="4">
        <v>24260</v>
      </c>
      <c r="C5623" s="5">
        <f>DATE(2012,12,31)-820</f>
        <v>40454</v>
      </c>
      <c r="D5623" s="4" t="s">
        <v>45</v>
      </c>
      <c r="E5623" s="4">
        <v>48</v>
      </c>
      <c r="F5623" s="4">
        <v>548.29999999999995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4.9800000000000004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0.57999999999999996</v>
      </c>
      <c r="U5623" s="5">
        <f t="shared" si="2368"/>
        <v>40455</v>
      </c>
    </row>
    <row r="5624" spans="1:21" ht="12" customHeight="1">
      <c r="A5624" s="4">
        <v>3404</v>
      </c>
      <c r="B5624" s="4">
        <v>24261</v>
      </c>
      <c r="C5624" s="5">
        <f>DATE(2012,12,31)-105</f>
        <v>41169</v>
      </c>
      <c r="D5624" s="4" t="s">
        <v>78</v>
      </c>
      <c r="E5624" s="4">
        <v>28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69">C5624+2</f>
        <v>41171</v>
      </c>
    </row>
    <row r="5625" spans="1:21" ht="12" customHeight="1">
      <c r="A5625" s="4">
        <v>3646</v>
      </c>
      <c r="B5625" s="4">
        <v>26054</v>
      </c>
      <c r="C5625" s="5">
        <f>DATE(2012,12,31)-1053</f>
        <v>40221</v>
      </c>
      <c r="D5625" s="4" t="s">
        <v>78</v>
      </c>
      <c r="E5625" s="4">
        <v>47</v>
      </c>
      <c r="F5625" s="4">
        <v>396.78</v>
      </c>
      <c r="G5625" s="4">
        <v>0.09</v>
      </c>
      <c r="H5625" s="4" t="s">
        <v>22</v>
      </c>
      <c r="I5625" s="6">
        <v>-321.20999999999998</v>
      </c>
      <c r="J5625" s="4">
        <v>8.3699999999999992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69"/>
        <v>40223</v>
      </c>
    </row>
    <row r="5626" spans="1:21" ht="12" customHeight="1">
      <c r="A5626" s="4">
        <v>3887</v>
      </c>
      <c r="B5626" s="4">
        <v>27750</v>
      </c>
      <c r="C5626" s="5">
        <f t="shared" ref="C5626:C5627" si="2370">DATE(2012,12,31)-73</f>
        <v>41201</v>
      </c>
      <c r="D5626" s="4" t="s">
        <v>21</v>
      </c>
      <c r="E5626" s="4">
        <v>12</v>
      </c>
      <c r="F5626" s="4">
        <v>769.17</v>
      </c>
      <c r="G5626" s="4">
        <v>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spans="1:21" ht="12" customHeight="1">
      <c r="A5627" s="4">
        <v>3888</v>
      </c>
      <c r="B5627" s="4">
        <v>27750</v>
      </c>
      <c r="C5627" s="5">
        <f t="shared" si="2370"/>
        <v>41201</v>
      </c>
      <c r="D5627" s="4" t="s">
        <v>21</v>
      </c>
      <c r="E5627" s="4">
        <v>18</v>
      </c>
      <c r="F5627" s="4">
        <v>7370.84</v>
      </c>
      <c r="G5627" s="4">
        <v>0.09</v>
      </c>
      <c r="H5627" s="4" t="s">
        <v>31</v>
      </c>
      <c r="I5627" s="6">
        <v>999.86500000000001</v>
      </c>
      <c r="J5627" s="4">
        <v>449.99</v>
      </c>
      <c r="K5627" s="4">
        <v>49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spans="1:21" ht="12" customHeight="1">
      <c r="A5628" s="4">
        <v>3908</v>
      </c>
      <c r="B5628" s="4">
        <v>27872</v>
      </c>
      <c r="C5628" s="5">
        <f>DATE(2012,12,31)-445</f>
        <v>40829</v>
      </c>
      <c r="D5628" s="4" t="s">
        <v>45</v>
      </c>
      <c r="E5628" s="4">
        <v>25</v>
      </c>
      <c r="F5628" s="4">
        <v>388.71</v>
      </c>
      <c r="G5628" s="4">
        <v>0.01</v>
      </c>
      <c r="H5628" s="4" t="s">
        <v>22</v>
      </c>
      <c r="I5628" s="6">
        <v>36.430999999999997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spans="1:21" ht="12" customHeight="1">
      <c r="A5629" s="4">
        <v>4368</v>
      </c>
      <c r="B5629" s="4">
        <v>31109</v>
      </c>
      <c r="C5629" s="5">
        <f>DATE(2012,12,31)-430</f>
        <v>40844</v>
      </c>
      <c r="D5629" s="4" t="s">
        <v>21</v>
      </c>
      <c r="E5629" s="4">
        <v>49</v>
      </c>
      <c r="F5629" s="4">
        <v>1515</v>
      </c>
      <c r="G5629" s="4">
        <v>0.08</v>
      </c>
      <c r="H5629" s="4" t="s">
        <v>22</v>
      </c>
      <c r="I5629" s="6">
        <v>219.03649999999999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spans="1:21" ht="12" customHeight="1">
      <c r="A5630" s="4">
        <v>4521</v>
      </c>
      <c r="B5630" s="4">
        <v>32165</v>
      </c>
      <c r="C5630" s="5">
        <f t="shared" ref="C5630:C5631" si="2371">DATE(2012,12,31)-78</f>
        <v>41196</v>
      </c>
      <c r="D5630" s="4" t="s">
        <v>45</v>
      </c>
      <c r="E5630" s="4">
        <v>47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spans="1:21" ht="12" customHeight="1">
      <c r="A5631" s="4">
        <v>4522</v>
      </c>
      <c r="B5631" s="4">
        <v>32165</v>
      </c>
      <c r="C5631" s="5">
        <f t="shared" si="2371"/>
        <v>41196</v>
      </c>
      <c r="D5631" s="4" t="s">
        <v>45</v>
      </c>
      <c r="E5631" s="4">
        <v>38</v>
      </c>
      <c r="F5631" s="4">
        <v>2939.6824999999999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2">C5631+1</f>
        <v>41197</v>
      </c>
    </row>
    <row r="5632" spans="1:21" ht="12" customHeight="1">
      <c r="A5632" s="4">
        <v>4544</v>
      </c>
      <c r="B5632" s="4">
        <v>32325</v>
      </c>
      <c r="C5632" s="5">
        <f>DATE(2012,12,31)-60</f>
        <v>41214</v>
      </c>
      <c r="D5632" s="4" t="s">
        <v>78</v>
      </c>
      <c r="E5632" s="4">
        <v>45</v>
      </c>
      <c r="F5632" s="4">
        <v>1103.73</v>
      </c>
      <c r="G5632" s="4">
        <v>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2"/>
        <v>41215</v>
      </c>
    </row>
    <row r="5633" spans="1:21" ht="12" customHeight="1">
      <c r="A5633" s="4">
        <v>4627</v>
      </c>
      <c r="B5633" s="4">
        <v>32931</v>
      </c>
      <c r="C5633" s="5">
        <f t="shared" ref="C5633:C5634" si="2373">DATE(2012,12,31)-1050</f>
        <v>40224</v>
      </c>
      <c r="D5633" s="4" t="s">
        <v>21</v>
      </c>
      <c r="E5633" s="4">
        <v>31</v>
      </c>
      <c r="F5633" s="4">
        <v>86.1</v>
      </c>
      <c r="G5633" s="4">
        <v>0.06</v>
      </c>
      <c r="H5633" s="4" t="s">
        <v>22</v>
      </c>
      <c r="I5633" s="6">
        <v>32.700000000000003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spans="1:21" ht="12" customHeight="1">
      <c r="A5634" s="4">
        <v>4628</v>
      </c>
      <c r="B5634" s="4">
        <v>32931</v>
      </c>
      <c r="C5634" s="5">
        <f t="shared" si="2373"/>
        <v>40224</v>
      </c>
      <c r="D5634" s="4" t="s">
        <v>21</v>
      </c>
      <c r="E5634" s="4">
        <v>25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0.56999999999999995</v>
      </c>
      <c r="U5634" s="5">
        <f>C5634+5</f>
        <v>40229</v>
      </c>
    </row>
    <row r="5635" spans="1:21" ht="12" customHeight="1">
      <c r="A5635" s="4">
        <v>4699</v>
      </c>
      <c r="B5635" s="4">
        <v>33479</v>
      </c>
      <c r="C5635" s="5">
        <f t="shared" ref="C5635:C5636" si="2374">DATE(2012,12,31)-104</f>
        <v>41170</v>
      </c>
      <c r="D5635" s="4" t="s">
        <v>78</v>
      </c>
      <c r="E5635" s="4">
        <v>50</v>
      </c>
      <c r="F5635" s="4">
        <v>762.2</v>
      </c>
      <c r="G5635" s="4">
        <v>7.0000000000000007E-2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5">C5635+2</f>
        <v>41172</v>
      </c>
    </row>
    <row r="5636" spans="1:21" ht="12" customHeight="1">
      <c r="A5636" s="4">
        <v>4700</v>
      </c>
      <c r="B5636" s="4">
        <v>33479</v>
      </c>
      <c r="C5636" s="5">
        <f t="shared" si="2374"/>
        <v>41170</v>
      </c>
      <c r="D5636" s="4" t="s">
        <v>78</v>
      </c>
      <c r="E5636" s="4">
        <v>27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5"/>
        <v>41172</v>
      </c>
    </row>
    <row r="5637" spans="1:21" ht="12" customHeight="1">
      <c r="A5637" s="4">
        <v>4937</v>
      </c>
      <c r="B5637" s="4">
        <v>35111</v>
      </c>
      <c r="C5637" s="5">
        <f>DATE(2012,12,31)-940</f>
        <v>40334</v>
      </c>
      <c r="D5637" s="4" t="s">
        <v>78</v>
      </c>
      <c r="E5637" s="4">
        <v>39</v>
      </c>
      <c r="F5637" s="4">
        <v>893.29</v>
      </c>
      <c r="G5637" s="4">
        <v>0.08</v>
      </c>
      <c r="H5637" s="4" t="s">
        <v>22</v>
      </c>
      <c r="I5637" s="6">
        <v>256.16000000000003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5"/>
        <v>40336</v>
      </c>
    </row>
    <row r="5638" spans="1:21" ht="12" customHeight="1">
      <c r="A5638" s="4">
        <v>4947</v>
      </c>
      <c r="B5638" s="4">
        <v>35173</v>
      </c>
      <c r="C5638" s="5">
        <f t="shared" ref="C5638:C5639" si="2376">DATE(2012,12,31)-293</f>
        <v>40981</v>
      </c>
      <c r="D5638" s="4" t="s">
        <v>45</v>
      </c>
      <c r="E5638" s="4">
        <v>29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0.56000000000000005</v>
      </c>
      <c r="U5638" s="5">
        <f t="shared" si="2375"/>
        <v>40983</v>
      </c>
    </row>
    <row r="5639" spans="1:21" ht="12" customHeight="1">
      <c r="A5639" s="4">
        <v>4948</v>
      </c>
      <c r="B5639" s="4">
        <v>35173</v>
      </c>
      <c r="C5639" s="5">
        <f t="shared" si="2376"/>
        <v>40981</v>
      </c>
      <c r="D5639" s="4" t="s">
        <v>45</v>
      </c>
      <c r="E5639" s="4">
        <v>13</v>
      </c>
      <c r="F5639" s="4">
        <v>1446.2070000000001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0.56999999999999995</v>
      </c>
      <c r="U5639" s="5">
        <f t="shared" si="2375"/>
        <v>40983</v>
      </c>
    </row>
    <row r="5640" spans="1:21" ht="12" customHeight="1">
      <c r="A5640" s="4">
        <v>5169</v>
      </c>
      <c r="B5640" s="4">
        <v>36773</v>
      </c>
      <c r="C5640" s="5">
        <f>DATE(2012,12,31)-830</f>
        <v>40444</v>
      </c>
      <c r="D5640" s="4" t="s">
        <v>45</v>
      </c>
      <c r="E5640" s="4">
        <v>24</v>
      </c>
      <c r="F5640" s="4">
        <v>2048.7800000000002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5"/>
        <v>40446</v>
      </c>
    </row>
    <row r="5641" spans="1:21" ht="12" customHeight="1">
      <c r="A5641" s="4">
        <v>5205</v>
      </c>
      <c r="B5641" s="4">
        <v>36997</v>
      </c>
      <c r="C5641" s="5">
        <f>DATE(2012,12,31)-757</f>
        <v>40517</v>
      </c>
      <c r="D5641" s="4" t="s">
        <v>45</v>
      </c>
      <c r="E5641" s="4">
        <v>39</v>
      </c>
      <c r="F5641" s="4">
        <v>104.33</v>
      </c>
      <c r="G5641" s="4">
        <v>0</v>
      </c>
      <c r="H5641" s="4" t="s">
        <v>22</v>
      </c>
      <c r="I5641" s="6">
        <v>39.909999999999997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spans="1:21" ht="12" customHeight="1">
      <c r="A5642" s="4">
        <v>5682</v>
      </c>
      <c r="B5642" s="4">
        <v>40162</v>
      </c>
      <c r="C5642" s="5">
        <f>DATE(2012,12,31)-1072</f>
        <v>40202</v>
      </c>
      <c r="D5642" s="4" t="s">
        <v>78</v>
      </c>
      <c r="E5642" s="4">
        <v>28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spans="1:21" ht="12" customHeight="1">
      <c r="A5643" s="4">
        <v>5727</v>
      </c>
      <c r="B5643" s="4">
        <v>40612</v>
      </c>
      <c r="C5643" s="5">
        <f>DATE(2012,12,31)-672</f>
        <v>40602</v>
      </c>
      <c r="D5643" s="4" t="s">
        <v>30</v>
      </c>
      <c r="E5643" s="4">
        <v>9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1.1200000000000001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0.57999999999999996</v>
      </c>
      <c r="U5643" s="5">
        <f t="shared" ref="U5643:U5644" si="2377">C5643+1</f>
        <v>40603</v>
      </c>
    </row>
    <row r="5644" spans="1:21" ht="12" customHeight="1">
      <c r="A5644" s="4">
        <v>5918</v>
      </c>
      <c r="B5644" s="4">
        <v>41987</v>
      </c>
      <c r="C5644" s="5">
        <f>DATE(2012,12,31)-437</f>
        <v>40837</v>
      </c>
      <c r="D5644" s="4" t="s">
        <v>45</v>
      </c>
      <c r="E5644" s="4">
        <v>25</v>
      </c>
      <c r="F5644" s="4">
        <v>6481.0480000000007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7"/>
        <v>40838</v>
      </c>
    </row>
    <row r="5645" spans="1:21" ht="12" customHeight="1">
      <c r="A5645" s="4">
        <v>5932</v>
      </c>
      <c r="B5645" s="4">
        <v>42083</v>
      </c>
      <c r="C5645" s="5">
        <f t="shared" ref="C5645:C5647" si="2378">DATE(2012,12,31)-386</f>
        <v>40888</v>
      </c>
      <c r="D5645" s="4" t="s">
        <v>78</v>
      </c>
      <c r="E5645" s="4">
        <v>38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0.56999999999999995</v>
      </c>
      <c r="U5645" s="5">
        <f t="shared" ref="U5645:U5646" si="2379">C5645+2</f>
        <v>40890</v>
      </c>
    </row>
    <row r="5646" spans="1:21" ht="12" customHeight="1">
      <c r="A5646" s="4">
        <v>5933</v>
      </c>
      <c r="B5646" s="4">
        <v>42083</v>
      </c>
      <c r="C5646" s="5">
        <f t="shared" si="2378"/>
        <v>40888</v>
      </c>
      <c r="D5646" s="4" t="s">
        <v>78</v>
      </c>
      <c r="E5646" s="4">
        <v>36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79"/>
        <v>40890</v>
      </c>
    </row>
    <row r="5647" spans="1:21" ht="12" customHeight="1">
      <c r="A5647" s="4">
        <v>5934</v>
      </c>
      <c r="B5647" s="4">
        <v>42083</v>
      </c>
      <c r="C5647" s="5">
        <f t="shared" si="2378"/>
        <v>40888</v>
      </c>
      <c r="D5647" s="4" t="s">
        <v>78</v>
      </c>
      <c r="E5647" s="4">
        <v>33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0.55000000000000004</v>
      </c>
      <c r="U5647" s="5">
        <f>C5647+0</f>
        <v>40888</v>
      </c>
    </row>
    <row r="5648" spans="1:21" ht="12" customHeight="1">
      <c r="A5648" s="4">
        <v>5941</v>
      </c>
      <c r="B5648" s="4">
        <v>42151</v>
      </c>
      <c r="C5648" s="5">
        <f>DATE(2012,12,31)-747</f>
        <v>40527</v>
      </c>
      <c r="D5648" s="4" t="s">
        <v>30</v>
      </c>
      <c r="E5648" s="4">
        <v>35</v>
      </c>
      <c r="F5648" s="4">
        <v>4408.6695</v>
      </c>
      <c r="G5648" s="4">
        <v>0.05</v>
      </c>
      <c r="H5648" s="4" t="s">
        <v>22</v>
      </c>
      <c r="I5648" s="6">
        <v>1140.6690000000001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0.55000000000000004</v>
      </c>
      <c r="U5648" s="5">
        <f>C5648+3</f>
        <v>40530</v>
      </c>
    </row>
    <row r="5649" spans="1:21" ht="12" customHeight="1">
      <c r="A5649" s="4">
        <v>6021</v>
      </c>
      <c r="B5649" s="4">
        <v>42658</v>
      </c>
      <c r="C5649" s="5">
        <f>DATE(2012,12,31)-930</f>
        <v>40344</v>
      </c>
      <c r="D5649" s="4" t="s">
        <v>63</v>
      </c>
      <c r="E5649" s="4">
        <v>29</v>
      </c>
      <c r="F5649" s="4">
        <v>146.68</v>
      </c>
      <c r="G5649" s="4">
        <v>0.08</v>
      </c>
      <c r="H5649" s="4" t="s">
        <v>22</v>
      </c>
      <c r="I5649" s="6">
        <v>-8.3260000000000005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spans="1:21" ht="12" customHeight="1">
      <c r="A5650" s="4">
        <v>6215</v>
      </c>
      <c r="B5650" s="4">
        <v>44005</v>
      </c>
      <c r="C5650" s="5">
        <f>DATE(2012,12,31)-850</f>
        <v>40424</v>
      </c>
      <c r="D5650" s="4" t="s">
        <v>63</v>
      </c>
      <c r="E5650" s="4">
        <v>7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19.989999999999998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spans="1:21" ht="12" customHeight="1">
      <c r="A5651" s="4">
        <v>6285</v>
      </c>
      <c r="B5651" s="4">
        <v>44486</v>
      </c>
      <c r="C5651" s="5">
        <f>DATE(2012,12,31)-175</f>
        <v>41099</v>
      </c>
      <c r="D5651" s="4" t="s">
        <v>78</v>
      </c>
      <c r="E5651" s="4">
        <v>36</v>
      </c>
      <c r="F5651" s="4">
        <v>198.1</v>
      </c>
      <c r="G5651" s="4">
        <v>0.09</v>
      </c>
      <c r="H5651" s="4" t="s">
        <v>22</v>
      </c>
      <c r="I5651" s="6">
        <v>-66.930000000000007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spans="1:21" ht="12" customHeight="1">
      <c r="A5652" s="4">
        <v>6378</v>
      </c>
      <c r="B5652" s="4">
        <v>45284</v>
      </c>
      <c r="C5652" s="5">
        <f>DATE(2012,12,31)-359</f>
        <v>40915</v>
      </c>
      <c r="D5652" s="4" t="s">
        <v>30</v>
      </c>
      <c r="E5652" s="4">
        <v>7</v>
      </c>
      <c r="F5652" s="4">
        <v>91.43</v>
      </c>
      <c r="G5652" s="4">
        <v>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0">C5652+1</f>
        <v>40916</v>
      </c>
    </row>
    <row r="5653" spans="1:21" ht="12" customHeight="1">
      <c r="A5653" s="4">
        <v>6424</v>
      </c>
      <c r="B5653" s="4">
        <v>45668</v>
      </c>
      <c r="C5653" s="5">
        <f>DATE(2012,12,31)-750</f>
        <v>40524</v>
      </c>
      <c r="D5653" s="4" t="s">
        <v>45</v>
      </c>
      <c r="E5653" s="4">
        <v>8</v>
      </c>
      <c r="F5653" s="4">
        <v>704.77</v>
      </c>
      <c r="G5653" s="4">
        <v>0.01</v>
      </c>
      <c r="H5653" s="4" t="s">
        <v>31</v>
      </c>
      <c r="I5653" s="6">
        <v>-298.89999999999998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0"/>
        <v>40525</v>
      </c>
    </row>
    <row r="5654" spans="1:21" ht="12" customHeight="1">
      <c r="A5654" s="4">
        <v>6465</v>
      </c>
      <c r="B5654" s="4">
        <v>46023</v>
      </c>
      <c r="C5654" s="5">
        <f>DATE(2012,12,31)-282</f>
        <v>40992</v>
      </c>
      <c r="D5654" s="4" t="s">
        <v>45</v>
      </c>
      <c r="E5654" s="4">
        <v>50</v>
      </c>
      <c r="F5654" s="4">
        <v>1101.76</v>
      </c>
      <c r="G5654" s="4">
        <v>7.0000000000000007E-2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0"/>
        <v>40993</v>
      </c>
    </row>
    <row r="5655" spans="1:21" ht="12" customHeight="1">
      <c r="A5655" s="4">
        <v>6784</v>
      </c>
      <c r="B5655" s="4">
        <v>48321</v>
      </c>
      <c r="C5655" s="5">
        <f>DATE(2012,12,31)-886</f>
        <v>40388</v>
      </c>
      <c r="D5655" s="4" t="s">
        <v>30</v>
      </c>
      <c r="E5655" s="4">
        <v>31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19.989999999999998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0.55000000000000004</v>
      </c>
      <c r="U5655" s="5">
        <f t="shared" si="2380"/>
        <v>40389</v>
      </c>
    </row>
    <row r="5656" spans="1:21" ht="12" customHeight="1">
      <c r="A5656" s="4">
        <v>6837</v>
      </c>
      <c r="B5656" s="4">
        <v>48673</v>
      </c>
      <c r="C5656" s="5">
        <f>DATE(2012,12,31)-249</f>
        <v>41025</v>
      </c>
      <c r="D5656" s="4" t="s">
        <v>45</v>
      </c>
      <c r="E5656" s="4">
        <v>36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8.7799999999999994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0.56999999999999995</v>
      </c>
      <c r="U5656" s="5">
        <f t="shared" si="2380"/>
        <v>41026</v>
      </c>
    </row>
    <row r="5657" spans="1:21" ht="12" customHeight="1">
      <c r="A5657" s="4">
        <v>6843</v>
      </c>
      <c r="B5657" s="4">
        <v>48742</v>
      </c>
      <c r="C5657" s="5">
        <f>DATE(2012,12,31)-258</f>
        <v>41016</v>
      </c>
      <c r="D5657" s="4" t="s">
        <v>45</v>
      </c>
      <c r="E5657" s="4">
        <v>42</v>
      </c>
      <c r="F5657" s="4">
        <v>825.63</v>
      </c>
      <c r="G5657" s="4">
        <v>0.03</v>
      </c>
      <c r="H5657" s="4" t="s">
        <v>22</v>
      </c>
      <c r="I5657" s="6">
        <v>379.73750000000001</v>
      </c>
      <c r="J5657" s="4">
        <v>18.940000000000001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spans="1:21" ht="12" customHeight="1">
      <c r="A5658" s="4">
        <v>7038</v>
      </c>
      <c r="B5658" s="4">
        <v>50246</v>
      </c>
      <c r="C5658" s="5">
        <f>DATE(2012,12,31)-866</f>
        <v>40408</v>
      </c>
      <c r="D5658" s="4" t="s">
        <v>63</v>
      </c>
      <c r="E5658" s="4">
        <v>14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spans="1:21" ht="12" customHeight="1">
      <c r="A5659" s="4">
        <v>7172</v>
      </c>
      <c r="B5659" s="4">
        <v>51200</v>
      </c>
      <c r="C5659" s="5">
        <f>DATE(2012,12,31)-409</f>
        <v>40865</v>
      </c>
      <c r="D5659" s="4" t="s">
        <v>63</v>
      </c>
      <c r="E5659" s="4">
        <v>29</v>
      </c>
      <c r="F5659" s="4">
        <v>1617.88</v>
      </c>
      <c r="G5659" s="4">
        <v>0</v>
      </c>
      <c r="H5659" s="4" t="s">
        <v>22</v>
      </c>
      <c r="I5659" s="6">
        <v>271.89999999999998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spans="1:21" ht="12" customHeight="1">
      <c r="A5660" s="4">
        <v>7189</v>
      </c>
      <c r="B5660" s="4">
        <v>51271</v>
      </c>
      <c r="C5660" s="5">
        <f t="shared" ref="C5660:C5661" si="2381">DATE(2012,12,31)-798</f>
        <v>40476</v>
      </c>
      <c r="D5660" s="4" t="s">
        <v>30</v>
      </c>
      <c r="E5660" s="4">
        <v>31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140.97999999999999</v>
      </c>
      <c r="K5660" s="4">
        <v>36.090000000000003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2">C5660+2</f>
        <v>40478</v>
      </c>
    </row>
    <row r="5661" spans="1:21" ht="12" customHeight="1">
      <c r="A5661" s="4">
        <v>7190</v>
      </c>
      <c r="B5661" s="4">
        <v>51271</v>
      </c>
      <c r="C5661" s="5">
        <f t="shared" si="2381"/>
        <v>40476</v>
      </c>
      <c r="D5661" s="4" t="s">
        <v>30</v>
      </c>
      <c r="E5661" s="4">
        <v>16</v>
      </c>
      <c r="F5661" s="4">
        <v>2882.7069999999999</v>
      </c>
      <c r="G5661" s="4">
        <v>0.02</v>
      </c>
      <c r="H5661" s="4" t="s">
        <v>22</v>
      </c>
      <c r="I5661" s="6">
        <v>303.22800000000001</v>
      </c>
      <c r="J5661" s="4">
        <v>205.99</v>
      </c>
      <c r="K5661" s="4">
        <v>5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2"/>
        <v>40478</v>
      </c>
    </row>
    <row r="5662" spans="1:21" ht="12" customHeight="1">
      <c r="A5662" s="4">
        <v>7191</v>
      </c>
      <c r="B5662" s="4">
        <v>51297</v>
      </c>
      <c r="C5662" s="5">
        <f>DATE(2012,12,31)-50</f>
        <v>41224</v>
      </c>
      <c r="D5662" s="4" t="s">
        <v>21</v>
      </c>
      <c r="E5662" s="4">
        <v>41</v>
      </c>
      <c r="F5662" s="4">
        <v>356.28</v>
      </c>
      <c r="G5662" s="4">
        <v>7.0000000000000007E-2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spans="1:21" ht="12" customHeight="1">
      <c r="A5663" s="4">
        <v>7266</v>
      </c>
      <c r="B5663" s="4">
        <v>51842</v>
      </c>
      <c r="C5663" s="5">
        <f t="shared" ref="C5663:C5664" si="2383">DATE(2012,12,31)-399</f>
        <v>40875</v>
      </c>
      <c r="D5663" s="4" t="s">
        <v>21</v>
      </c>
      <c r="E5663" s="4">
        <v>1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spans="1:21" ht="12" customHeight="1">
      <c r="A5664" s="4">
        <v>7267</v>
      </c>
      <c r="B5664" s="4">
        <v>51842</v>
      </c>
      <c r="C5664" s="5">
        <f t="shared" si="2383"/>
        <v>40875</v>
      </c>
      <c r="D5664" s="4" t="s">
        <v>21</v>
      </c>
      <c r="E5664" s="4">
        <v>4</v>
      </c>
      <c r="F5664" s="4">
        <v>431.11</v>
      </c>
      <c r="G5664" s="4">
        <v>7.0000000000000007E-2</v>
      </c>
      <c r="H5664" s="4" t="s">
        <v>22</v>
      </c>
      <c r="I5664" s="6">
        <v>-244.33</v>
      </c>
      <c r="J5664" s="4">
        <v>101.41</v>
      </c>
      <c r="K5664" s="4">
        <v>35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spans="1:21" ht="12" customHeight="1">
      <c r="A5665" s="4">
        <v>7374</v>
      </c>
      <c r="B5665" s="4">
        <v>52578</v>
      </c>
      <c r="C5665" s="5">
        <f t="shared" ref="C5665:C5666" si="2384">DATE(2012,12,31)-665</f>
        <v>40609</v>
      </c>
      <c r="D5665" s="4" t="s">
        <v>78</v>
      </c>
      <c r="E5665" s="4">
        <v>38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spans="1:21" ht="12" customHeight="1">
      <c r="A5666" s="4">
        <v>7375</v>
      </c>
      <c r="B5666" s="4">
        <v>52578</v>
      </c>
      <c r="C5666" s="5">
        <f t="shared" si="2384"/>
        <v>40609</v>
      </c>
      <c r="D5666" s="4" t="s">
        <v>78</v>
      </c>
      <c r="E5666" s="4">
        <v>8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spans="1:21" ht="12" customHeight="1">
      <c r="A5667" s="4">
        <v>7439</v>
      </c>
      <c r="B5667" s="4">
        <v>53027</v>
      </c>
      <c r="C5667" s="5">
        <f>DATE(2012,12,31)-797</f>
        <v>40477</v>
      </c>
      <c r="D5667" s="4" t="s">
        <v>21</v>
      </c>
      <c r="E5667" s="4">
        <v>38</v>
      </c>
      <c r="F5667" s="4">
        <v>1323.31</v>
      </c>
      <c r="G5667" s="4">
        <v>0.05</v>
      </c>
      <c r="H5667" s="4" t="s">
        <v>22</v>
      </c>
      <c r="I5667" s="6">
        <v>146.63999999999999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spans="1:21" ht="12" customHeight="1">
      <c r="A5668" s="4">
        <v>7580</v>
      </c>
      <c r="B5668" s="4">
        <v>54214</v>
      </c>
      <c r="C5668" s="5">
        <f>DATE(2012,12,31)-364</f>
        <v>40910</v>
      </c>
      <c r="D5668" s="4" t="s">
        <v>63</v>
      </c>
      <c r="E5668" s="4">
        <v>38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spans="1:21" ht="12" customHeight="1">
      <c r="A5669" s="4">
        <v>7635</v>
      </c>
      <c r="B5669" s="4">
        <v>54656</v>
      </c>
      <c r="C5669" s="5">
        <f>DATE(2012,12,31)-42</f>
        <v>41232</v>
      </c>
      <c r="D5669" s="4" t="s">
        <v>30</v>
      </c>
      <c r="E5669" s="4">
        <v>22</v>
      </c>
      <c r="F5669" s="4">
        <v>109.52</v>
      </c>
      <c r="G5669" s="4">
        <v>0.09</v>
      </c>
      <c r="H5669" s="4" t="s">
        <v>56</v>
      </c>
      <c r="I5669" s="6">
        <v>-73.347000000000008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spans="1:21" ht="12" customHeight="1">
      <c r="A5670" s="4">
        <v>7802</v>
      </c>
      <c r="B5670" s="4">
        <v>55813</v>
      </c>
      <c r="C5670" s="5">
        <f>DATE(2012,12,31)-156</f>
        <v>41118</v>
      </c>
      <c r="D5670" s="4" t="s">
        <v>21</v>
      </c>
      <c r="E5670" s="4">
        <v>39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70.709999999999994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spans="1:21" ht="12" customHeight="1">
      <c r="A5671" s="4">
        <v>7910</v>
      </c>
      <c r="B5671" s="4">
        <v>56577</v>
      </c>
      <c r="C5671" s="5">
        <f>DATE(2012,12,31)-425</f>
        <v>40849</v>
      </c>
      <c r="D5671" s="4" t="s">
        <v>78</v>
      </c>
      <c r="E5671" s="4">
        <v>19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5">C5671+2</f>
        <v>40851</v>
      </c>
    </row>
    <row r="5672" spans="1:21" ht="12" customHeight="1">
      <c r="A5672" s="4">
        <v>7954</v>
      </c>
      <c r="B5672" s="4">
        <v>56834</v>
      </c>
      <c r="C5672" s="5">
        <f t="shared" ref="C5672:C5673" si="2386">DATE(2012,12,31)-610</f>
        <v>40664</v>
      </c>
      <c r="D5672" s="4" t="s">
        <v>30</v>
      </c>
      <c r="E5672" s="4">
        <v>22</v>
      </c>
      <c r="F5672" s="4">
        <v>1900.47</v>
      </c>
      <c r="G5672" s="4">
        <v>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5"/>
        <v>40666</v>
      </c>
    </row>
    <row r="5673" spans="1:21" ht="12" customHeight="1">
      <c r="A5673" s="4">
        <v>7955</v>
      </c>
      <c r="B5673" s="4">
        <v>56834</v>
      </c>
      <c r="C5673" s="5">
        <f t="shared" si="2386"/>
        <v>40664</v>
      </c>
      <c r="D5673" s="4" t="s">
        <v>30</v>
      </c>
      <c r="E5673" s="4">
        <v>33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spans="1:21" ht="12" customHeight="1">
      <c r="A5674" s="4">
        <v>8031</v>
      </c>
      <c r="B5674" s="4">
        <v>57380</v>
      </c>
      <c r="C5674" s="5">
        <f>DATE(2012,12,31)-438</f>
        <v>40836</v>
      </c>
      <c r="D5674" s="4" t="s">
        <v>21</v>
      </c>
      <c r="E5674" s="4">
        <v>3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spans="1:21" ht="12" customHeight="1">
      <c r="A5675" s="4">
        <v>8213</v>
      </c>
      <c r="B5675" s="4">
        <v>58722</v>
      </c>
      <c r="C5675" s="5">
        <f>DATE(2012,12,31)-81</f>
        <v>41193</v>
      </c>
      <c r="D5675" s="4" t="s">
        <v>78</v>
      </c>
      <c r="E5675" s="4">
        <v>45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7">C5675+2</f>
        <v>41195</v>
      </c>
    </row>
    <row r="5676" spans="1:21" ht="12" customHeight="1">
      <c r="A5676" s="4">
        <v>8249</v>
      </c>
      <c r="B5676" s="4">
        <v>58981</v>
      </c>
      <c r="C5676" s="5">
        <f>DATE(2012,12,31)-700</f>
        <v>40574</v>
      </c>
      <c r="D5676" s="4" t="s">
        <v>30</v>
      </c>
      <c r="E5676" s="4">
        <v>28</v>
      </c>
      <c r="F5676" s="4">
        <v>1262.75</v>
      </c>
      <c r="G5676" s="4">
        <v>7.0000000000000007E-2</v>
      </c>
      <c r="H5676" s="4" t="s">
        <v>22</v>
      </c>
      <c r="I5676" s="6">
        <v>422.23</v>
      </c>
      <c r="J5676" s="4">
        <v>46.89</v>
      </c>
      <c r="K5676" s="4">
        <v>5.0999999999999996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7"/>
        <v>40576</v>
      </c>
    </row>
    <row r="5677" spans="1:21" ht="12" customHeight="1">
      <c r="A5677" s="4">
        <v>8356</v>
      </c>
      <c r="B5677" s="4">
        <v>59686</v>
      </c>
      <c r="C5677" s="5">
        <f>DATE(2012,12,31)-664</f>
        <v>40610</v>
      </c>
      <c r="D5677" s="4" t="s">
        <v>21</v>
      </c>
      <c r="E5677" s="4">
        <v>41</v>
      </c>
      <c r="F5677" s="4">
        <v>243.37</v>
      </c>
      <c r="G5677" s="4">
        <v>0.01</v>
      </c>
      <c r="H5677" s="4" t="s">
        <v>22</v>
      </c>
      <c r="I5677" s="6">
        <v>-106.42100000000001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spans="1:21" ht="12" customHeight="1">
      <c r="A5678" s="4">
        <v>939</v>
      </c>
      <c r="B5678" s="4">
        <v>6791</v>
      </c>
      <c r="C5678" s="5">
        <f>DATE(2012,12,31)-699</f>
        <v>40575</v>
      </c>
      <c r="D5678" s="4" t="s">
        <v>63</v>
      </c>
      <c r="E5678" s="4">
        <v>14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spans="1:21" ht="12" customHeight="1">
      <c r="A5679" s="4">
        <v>1359</v>
      </c>
      <c r="B5679" s="4">
        <v>9895</v>
      </c>
      <c r="C5679" s="5">
        <f t="shared" ref="C5679:C5681" si="2388">DATE(2012,12,31)-986</f>
        <v>40288</v>
      </c>
      <c r="D5679" s="4" t="s">
        <v>21</v>
      </c>
      <c r="E5679" s="4">
        <v>9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0.56000000000000005</v>
      </c>
      <c r="U5679" s="5">
        <f t="shared" ref="U5679:U5680" si="2389">C5679+4</f>
        <v>40292</v>
      </c>
    </row>
    <row r="5680" spans="1:21" ht="12" customHeight="1">
      <c r="A5680" s="4">
        <v>1640</v>
      </c>
      <c r="B5680" s="4">
        <v>11846</v>
      </c>
      <c r="C5680" s="5">
        <f t="shared" si="2388"/>
        <v>40288</v>
      </c>
      <c r="D5680" s="4" t="s">
        <v>21</v>
      </c>
      <c r="E5680" s="4">
        <v>49</v>
      </c>
      <c r="F5680" s="4">
        <v>7319.85</v>
      </c>
      <c r="G5680" s="4">
        <v>0.03</v>
      </c>
      <c r="H5680" s="4" t="s">
        <v>22</v>
      </c>
      <c r="I5680" s="6">
        <v>611.42999999999995</v>
      </c>
      <c r="J5680" s="4">
        <v>152.47999999999999</v>
      </c>
      <c r="K5680" s="4">
        <v>4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89"/>
        <v>40292</v>
      </c>
    </row>
    <row r="5681" spans="1:21" ht="12" customHeight="1">
      <c r="A5681" s="4">
        <v>1641</v>
      </c>
      <c r="B5681" s="4">
        <v>11846</v>
      </c>
      <c r="C5681" s="5">
        <f t="shared" si="2388"/>
        <v>40288</v>
      </c>
      <c r="D5681" s="4" t="s">
        <v>21</v>
      </c>
      <c r="E5681" s="4">
        <v>28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8.7899999999999991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spans="1:21" ht="12" customHeight="1">
      <c r="A5682" s="4">
        <v>2290</v>
      </c>
      <c r="B5682" s="4">
        <v>16518</v>
      </c>
      <c r="C5682" s="5">
        <f t="shared" ref="C5682:C5683" si="2390">DATE(2012,12,31)-93</f>
        <v>41181</v>
      </c>
      <c r="D5682" s="4" t="s">
        <v>78</v>
      </c>
      <c r="E5682" s="4">
        <v>4</v>
      </c>
      <c r="F5682" s="4">
        <v>80.290000000000006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spans="1:21" ht="12" customHeight="1">
      <c r="A5683" s="4">
        <v>2291</v>
      </c>
      <c r="B5683" s="4">
        <v>16518</v>
      </c>
      <c r="C5683" s="5">
        <f t="shared" si="2390"/>
        <v>41181</v>
      </c>
      <c r="D5683" s="4" t="s">
        <v>78</v>
      </c>
      <c r="E5683" s="4">
        <v>36</v>
      </c>
      <c r="F5683" s="4">
        <v>2628.9224999999997</v>
      </c>
      <c r="G5683" s="4">
        <v>0.03</v>
      </c>
      <c r="H5683" s="4" t="s">
        <v>22</v>
      </c>
      <c r="I5683" s="6">
        <v>832.19399999999996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0.55000000000000004</v>
      </c>
      <c r="U5683" s="5">
        <f>C5683+3</f>
        <v>41184</v>
      </c>
    </row>
    <row r="5684" spans="1:21" ht="12" customHeight="1">
      <c r="A5684" s="4">
        <v>2459</v>
      </c>
      <c r="B5684" s="4">
        <v>17860</v>
      </c>
      <c r="C5684" s="5">
        <f>DATE(2012,12,31)-635</f>
        <v>40639</v>
      </c>
      <c r="D5684" s="4" t="s">
        <v>78</v>
      </c>
      <c r="E5684" s="4">
        <v>16</v>
      </c>
      <c r="F5684" s="4">
        <v>139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0.57999999999999996</v>
      </c>
      <c r="U5684" s="5">
        <f>C5684+2</f>
        <v>40641</v>
      </c>
    </row>
    <row r="5685" spans="1:21" ht="12" customHeight="1">
      <c r="A5685" s="4">
        <v>2465</v>
      </c>
      <c r="B5685" s="4">
        <v>17952</v>
      </c>
      <c r="C5685" s="5">
        <f>DATE(2012,12,31)-812</f>
        <v>40462</v>
      </c>
      <c r="D5685" s="4" t="s">
        <v>63</v>
      </c>
      <c r="E5685" s="4">
        <v>28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spans="1:21" ht="12" customHeight="1">
      <c r="A5686" s="4">
        <v>2578</v>
      </c>
      <c r="B5686" s="4">
        <v>18596</v>
      </c>
      <c r="C5686" s="5">
        <f t="shared" ref="C5686:C5687" si="2391">DATE(2012,12,31)-90</f>
        <v>41184</v>
      </c>
      <c r="D5686" s="4" t="s">
        <v>21</v>
      </c>
      <c r="E5686" s="4">
        <v>42</v>
      </c>
      <c r="F5686" s="4">
        <v>4917.6899999999996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2">C5686+2</f>
        <v>41186</v>
      </c>
    </row>
    <row r="5687" spans="1:21" ht="12" customHeight="1">
      <c r="A5687" s="4">
        <v>2579</v>
      </c>
      <c r="B5687" s="4">
        <v>18596</v>
      </c>
      <c r="C5687" s="5">
        <f t="shared" si="2391"/>
        <v>41184</v>
      </c>
      <c r="D5687" s="4" t="s">
        <v>21</v>
      </c>
      <c r="E5687" s="4">
        <v>32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2"/>
        <v>41186</v>
      </c>
    </row>
    <row r="5688" spans="1:21" ht="12" customHeight="1">
      <c r="A5688" s="4">
        <v>2957</v>
      </c>
      <c r="B5688" s="4">
        <v>21410</v>
      </c>
      <c r="C5688" s="5">
        <f>DATE(2012,12,31)-244</f>
        <v>41030</v>
      </c>
      <c r="D5688" s="4" t="s">
        <v>78</v>
      </c>
      <c r="E5688" s="4">
        <v>16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2"/>
        <v>41032</v>
      </c>
    </row>
    <row r="5689" spans="1:21" ht="12" customHeight="1">
      <c r="A5689" s="4">
        <v>3148</v>
      </c>
      <c r="B5689" s="4">
        <v>22563</v>
      </c>
      <c r="C5689" s="5">
        <f>DATE(2012,12,31)-225</f>
        <v>41049</v>
      </c>
      <c r="D5689" s="4" t="s">
        <v>78</v>
      </c>
      <c r="E5689" s="4">
        <v>32</v>
      </c>
      <c r="F5689" s="4">
        <v>251.51</v>
      </c>
      <c r="G5689" s="4">
        <v>0.06</v>
      </c>
      <c r="H5689" s="4" t="s">
        <v>22</v>
      </c>
      <c r="I5689" s="6">
        <v>-9.7799999999999994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spans="1:21" ht="12" customHeight="1">
      <c r="A5690" s="4">
        <v>3553</v>
      </c>
      <c r="B5690" s="4">
        <v>25318</v>
      </c>
      <c r="C5690" s="5">
        <f>DATE(2012,12,31)-408</f>
        <v>40866</v>
      </c>
      <c r="D5690" s="4" t="s">
        <v>78</v>
      </c>
      <c r="E5690" s="4">
        <v>1</v>
      </c>
      <c r="F5690" s="4">
        <v>3.2</v>
      </c>
      <c r="G5690" s="4">
        <v>0.09</v>
      </c>
      <c r="H5690" s="4" t="s">
        <v>22</v>
      </c>
      <c r="I5690" s="6">
        <v>-3.1625000000000001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3">C5690+2</f>
        <v>40868</v>
      </c>
    </row>
    <row r="5691" spans="1:21" ht="12" customHeight="1">
      <c r="A5691" s="4">
        <v>3732</v>
      </c>
      <c r="B5691" s="4">
        <v>26688</v>
      </c>
      <c r="C5691" s="5">
        <f t="shared" ref="C5691:C5692" si="2394">DATE(2012,12,31)-866</f>
        <v>40408</v>
      </c>
      <c r="D5691" s="4" t="s">
        <v>63</v>
      </c>
      <c r="E5691" s="4">
        <v>21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0.56999999999999995</v>
      </c>
      <c r="U5691" s="5">
        <f t="shared" si="2393"/>
        <v>40410</v>
      </c>
    </row>
    <row r="5692" spans="1:21" ht="12" customHeight="1">
      <c r="A5692" s="4">
        <v>3733</v>
      </c>
      <c r="B5692" s="4">
        <v>26688</v>
      </c>
      <c r="C5692" s="5">
        <f t="shared" si="2394"/>
        <v>40408</v>
      </c>
      <c r="D5692" s="4" t="s">
        <v>63</v>
      </c>
      <c r="E5692" s="4">
        <v>7</v>
      </c>
      <c r="F5692" s="4">
        <v>69.400000000000006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1.0900000000000001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5">C5692+1</f>
        <v>40409</v>
      </c>
    </row>
    <row r="5693" spans="1:21" ht="12" customHeight="1">
      <c r="A5693" s="4">
        <v>3763</v>
      </c>
      <c r="B5693" s="4">
        <v>26887</v>
      </c>
      <c r="C5693" s="5">
        <f t="shared" ref="C5693:C5694" si="2396">DATE(2012,12,31)-596</f>
        <v>40678</v>
      </c>
      <c r="D5693" s="4" t="s">
        <v>78</v>
      </c>
      <c r="E5693" s="4">
        <v>38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0.56000000000000005</v>
      </c>
      <c r="U5693" s="5">
        <f t="shared" si="2395"/>
        <v>40679</v>
      </c>
    </row>
    <row r="5694" spans="1:21" ht="12" customHeight="1">
      <c r="A5694" s="4">
        <v>3764</v>
      </c>
      <c r="B5694" s="4">
        <v>26887</v>
      </c>
      <c r="C5694" s="5">
        <f t="shared" si="2396"/>
        <v>40678</v>
      </c>
      <c r="D5694" s="4" t="s">
        <v>78</v>
      </c>
      <c r="E5694" s="4">
        <v>23</v>
      </c>
      <c r="F5694" s="4">
        <v>193.84</v>
      </c>
      <c r="G5694" s="4">
        <v>7.0000000000000007E-2</v>
      </c>
      <c r="H5694" s="4" t="s">
        <v>56</v>
      </c>
      <c r="I5694" s="6">
        <v>-117.1045</v>
      </c>
      <c r="J5694" s="4">
        <v>8.0399999999999991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spans="1:21" ht="12" customHeight="1">
      <c r="A5695" s="4">
        <v>4184</v>
      </c>
      <c r="B5695" s="4">
        <v>29761</v>
      </c>
      <c r="C5695" s="5">
        <f t="shared" ref="C5695:C5697" si="2397">DATE(2012,12,31)-181</f>
        <v>41093</v>
      </c>
      <c r="D5695" s="4" t="s">
        <v>63</v>
      </c>
      <c r="E5695" s="4">
        <v>48</v>
      </c>
      <c r="F5695" s="4">
        <v>1463.105</v>
      </c>
      <c r="G5695" s="4">
        <v>0.06</v>
      </c>
      <c r="H5695" s="4" t="s">
        <v>22</v>
      </c>
      <c r="I5695" s="6">
        <v>446.99400000000003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0.56999999999999995</v>
      </c>
      <c r="U5695" s="5">
        <f>C5695+1</f>
        <v>41094</v>
      </c>
    </row>
    <row r="5696" spans="1:21" ht="12" customHeight="1">
      <c r="A5696" s="4">
        <v>4185</v>
      </c>
      <c r="B5696" s="4">
        <v>29761</v>
      </c>
      <c r="C5696" s="5">
        <f t="shared" si="2397"/>
        <v>41093</v>
      </c>
      <c r="D5696" s="4" t="s">
        <v>63</v>
      </c>
      <c r="E5696" s="4">
        <v>42</v>
      </c>
      <c r="F5696" s="4">
        <v>1085.4000000000001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spans="1:21" ht="12" customHeight="1">
      <c r="A5697" s="4">
        <v>4186</v>
      </c>
      <c r="B5697" s="4">
        <v>29761</v>
      </c>
      <c r="C5697" s="5">
        <f t="shared" si="2397"/>
        <v>41093</v>
      </c>
      <c r="D5697" s="4" t="s">
        <v>63</v>
      </c>
      <c r="E5697" s="4">
        <v>19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8">C5697+2</f>
        <v>41095</v>
      </c>
    </row>
    <row r="5698" spans="1:21" ht="12" customHeight="1">
      <c r="A5698" s="4">
        <v>5131</v>
      </c>
      <c r="B5698" s="4">
        <v>36548</v>
      </c>
      <c r="C5698" s="5">
        <f>DATE(2012,12,31)-793</f>
        <v>40481</v>
      </c>
      <c r="D5698" s="4" t="s">
        <v>21</v>
      </c>
      <c r="E5698" s="4">
        <v>8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4.9800000000000004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8"/>
        <v>40483</v>
      </c>
    </row>
    <row r="5699" spans="1:21" ht="12" customHeight="1">
      <c r="A5699" s="4">
        <v>5581</v>
      </c>
      <c r="B5699" s="4">
        <v>39585</v>
      </c>
      <c r="C5699" s="5">
        <f>DATE(2012,12,31)-368</f>
        <v>40906</v>
      </c>
      <c r="D5699" s="4" t="s">
        <v>45</v>
      </c>
      <c r="E5699" s="4">
        <v>32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spans="1:21" ht="12" customHeight="1">
      <c r="A5700" s="4">
        <v>6466</v>
      </c>
      <c r="B5700" s="4">
        <v>46048</v>
      </c>
      <c r="C5700" s="5">
        <f t="shared" ref="C5700:C5701" si="2399">DATE(2012,12,31)-20</f>
        <v>41254</v>
      </c>
      <c r="D5700" s="4" t="s">
        <v>63</v>
      </c>
      <c r="E5700" s="4">
        <v>10</v>
      </c>
      <c r="F5700" s="4">
        <v>135.77000000000001</v>
      </c>
      <c r="G5700" s="4">
        <v>0.05</v>
      </c>
      <c r="H5700" s="4" t="s">
        <v>56</v>
      </c>
      <c r="I5700" s="6">
        <v>0.52999999999999758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0">C5700+2</f>
        <v>41256</v>
      </c>
    </row>
    <row r="5701" spans="1:21" ht="12" customHeight="1">
      <c r="A5701" s="4">
        <v>6467</v>
      </c>
      <c r="B5701" s="4">
        <v>46048</v>
      </c>
      <c r="C5701" s="5">
        <f t="shared" si="2399"/>
        <v>41254</v>
      </c>
      <c r="D5701" s="4" t="s">
        <v>63</v>
      </c>
      <c r="E5701" s="4">
        <v>35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0"/>
        <v>41256</v>
      </c>
    </row>
    <row r="5702" spans="1:21" ht="12" customHeight="1">
      <c r="A5702" s="4">
        <v>6788</v>
      </c>
      <c r="B5702" s="4">
        <v>48354</v>
      </c>
      <c r="C5702" s="5">
        <f>DATE(2012,12,31)-621</f>
        <v>40653</v>
      </c>
      <c r="D5702" s="4" t="s">
        <v>63</v>
      </c>
      <c r="E5702" s="4">
        <v>25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1">C5702+1</f>
        <v>40654</v>
      </c>
    </row>
    <row r="5703" spans="1:21" ht="12" customHeight="1">
      <c r="A5703" s="4">
        <v>6968</v>
      </c>
      <c r="B5703" s="4">
        <v>49798</v>
      </c>
      <c r="C5703" s="5">
        <f t="shared" ref="C5703:C5704" si="2402">DATE(2012,12,31)-23</f>
        <v>41251</v>
      </c>
      <c r="D5703" s="4" t="s">
        <v>78</v>
      </c>
      <c r="E5703" s="4">
        <v>5</v>
      </c>
      <c r="F5703" s="4">
        <v>1424.95</v>
      </c>
      <c r="G5703" s="4">
        <v>0.09</v>
      </c>
      <c r="H5703" s="4" t="s">
        <v>31</v>
      </c>
      <c r="I5703" s="6">
        <v>-517.83000000000004</v>
      </c>
      <c r="J5703" s="4">
        <v>280.98</v>
      </c>
      <c r="K5703" s="4">
        <v>57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1"/>
        <v>41252</v>
      </c>
    </row>
    <row r="5704" spans="1:21" ht="12" customHeight="1">
      <c r="A5704" s="4">
        <v>6969</v>
      </c>
      <c r="B5704" s="4">
        <v>49798</v>
      </c>
      <c r="C5704" s="5">
        <f t="shared" si="2402"/>
        <v>41251</v>
      </c>
      <c r="D5704" s="4" t="s">
        <v>78</v>
      </c>
      <c r="E5704" s="4">
        <v>29</v>
      </c>
      <c r="F5704" s="4">
        <v>321.5</v>
      </c>
      <c r="G5704" s="4">
        <v>0.03</v>
      </c>
      <c r="H5704" s="4" t="s">
        <v>22</v>
      </c>
      <c r="I5704" s="6">
        <v>20.309999999999999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0.56999999999999995</v>
      </c>
      <c r="U5704" s="5">
        <f>C5704+0</f>
        <v>41251</v>
      </c>
    </row>
    <row r="5705" spans="1:21" ht="12" customHeight="1">
      <c r="A5705" s="4">
        <v>7073</v>
      </c>
      <c r="B5705" s="4">
        <v>50470</v>
      </c>
      <c r="C5705" s="5">
        <f>DATE(2012,12,31)-861</f>
        <v>40413</v>
      </c>
      <c r="D5705" s="4" t="s">
        <v>21</v>
      </c>
      <c r="E5705" s="4">
        <v>38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0.56999999999999995</v>
      </c>
      <c r="U5705" s="5">
        <f>C5705+5</f>
        <v>40418</v>
      </c>
    </row>
    <row r="5706" spans="1:21" ht="12" customHeight="1">
      <c r="A5706" s="4">
        <v>7418</v>
      </c>
      <c r="B5706" s="4">
        <v>52900</v>
      </c>
      <c r="C5706" s="5">
        <f>DATE(2012,12,31)-591</f>
        <v>40683</v>
      </c>
      <c r="D5706" s="4" t="s">
        <v>30</v>
      </c>
      <c r="E5706" s="4">
        <v>16</v>
      </c>
      <c r="F5706" s="4">
        <v>101.14</v>
      </c>
      <c r="G5706" s="4">
        <v>0</v>
      </c>
      <c r="H5706" s="4" t="s">
        <v>22</v>
      </c>
      <c r="I5706" s="6">
        <v>-32.619999999999997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3">C5706+2</f>
        <v>40685</v>
      </c>
    </row>
    <row r="5707" spans="1:21" ht="12" customHeight="1">
      <c r="A5707" s="4">
        <v>8070</v>
      </c>
      <c r="B5707" s="4">
        <v>57572</v>
      </c>
      <c r="C5707" s="5">
        <f t="shared" ref="C5707:C5708" si="2404">DATE(2012,12,31)-538</f>
        <v>40736</v>
      </c>
      <c r="D5707" s="4" t="s">
        <v>63</v>
      </c>
      <c r="E5707" s="4">
        <v>30</v>
      </c>
      <c r="F5707" s="4">
        <v>139.08000000000001</v>
      </c>
      <c r="G5707" s="4">
        <v>0.1</v>
      </c>
      <c r="H5707" s="4" t="s">
        <v>22</v>
      </c>
      <c r="I5707" s="6">
        <v>-120.04</v>
      </c>
      <c r="J5707" s="4">
        <v>4.9800000000000004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3"/>
        <v>40738</v>
      </c>
    </row>
    <row r="5708" spans="1:21" ht="12" customHeight="1">
      <c r="A5708" s="4">
        <v>8071</v>
      </c>
      <c r="B5708" s="4">
        <v>57572</v>
      </c>
      <c r="C5708" s="5">
        <f t="shared" si="2404"/>
        <v>40736</v>
      </c>
      <c r="D5708" s="4" t="s">
        <v>63</v>
      </c>
      <c r="E5708" s="4">
        <v>9</v>
      </c>
      <c r="F5708" s="4">
        <v>75.28</v>
      </c>
      <c r="G5708" s="4">
        <v>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spans="1:21" ht="12" customHeight="1">
      <c r="A5709" s="4">
        <v>8097</v>
      </c>
      <c r="B5709" s="4">
        <v>57766</v>
      </c>
      <c r="C5709" s="5">
        <f>DATE(2012,12,31)-976</f>
        <v>40298</v>
      </c>
      <c r="D5709" s="4" t="s">
        <v>30</v>
      </c>
      <c r="E5709" s="4">
        <v>17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19.989999999999998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spans="1:21" ht="12" customHeight="1">
      <c r="A5710" s="4">
        <v>8189</v>
      </c>
      <c r="B5710" s="4">
        <v>58566</v>
      </c>
      <c r="C5710" s="5">
        <f t="shared" ref="C5710:C5711" si="2405">DATE(2012,12,31)-496</f>
        <v>40778</v>
      </c>
      <c r="D5710" s="4" t="s">
        <v>45</v>
      </c>
      <c r="E5710" s="4">
        <v>45</v>
      </c>
      <c r="F5710" s="4">
        <v>4680.8900000000003</v>
      </c>
      <c r="G5710" s="4">
        <v>7.0000000000000007E-2</v>
      </c>
      <c r="H5710" s="4" t="s">
        <v>22</v>
      </c>
      <c r="I5710" s="6">
        <v>693.01</v>
      </c>
      <c r="J5710" s="4">
        <v>105.29</v>
      </c>
      <c r="K5710" s="4">
        <v>10.119999999999999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spans="1:21" ht="12" customHeight="1">
      <c r="A5711" s="4">
        <v>8190</v>
      </c>
      <c r="B5711" s="4">
        <v>58566</v>
      </c>
      <c r="C5711" s="5">
        <f t="shared" si="2405"/>
        <v>40778</v>
      </c>
      <c r="D5711" s="4" t="s">
        <v>45</v>
      </c>
      <c r="E5711" s="4">
        <v>42</v>
      </c>
      <c r="F5711" s="4">
        <v>2414.9944999999998</v>
      </c>
      <c r="G5711" s="4">
        <v>0.01</v>
      </c>
      <c r="H5711" s="4" t="s">
        <v>56</v>
      </c>
      <c r="I5711" s="6">
        <v>624.70799999999997</v>
      </c>
      <c r="J5711" s="4">
        <v>65.989999999999995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0.57999999999999996</v>
      </c>
      <c r="U5711" s="5">
        <f>C5711+2</f>
        <v>40780</v>
      </c>
    </row>
    <row r="5712" spans="1:21" ht="12" customHeight="1">
      <c r="A5712" s="4">
        <v>8204</v>
      </c>
      <c r="B5712" s="4">
        <v>58658</v>
      </c>
      <c r="C5712" s="5">
        <f t="shared" ref="C5712:C5714" si="2406">DATE(2012,12,31)-203</f>
        <v>41071</v>
      </c>
      <c r="D5712" s="4" t="s">
        <v>63</v>
      </c>
      <c r="E5712" s="4">
        <v>7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7">C5712+1</f>
        <v>41072</v>
      </c>
    </row>
    <row r="5713" spans="1:21" ht="12" customHeight="1">
      <c r="A5713" s="4">
        <v>8205</v>
      </c>
      <c r="B5713" s="4">
        <v>58658</v>
      </c>
      <c r="C5713" s="5">
        <f t="shared" si="2406"/>
        <v>41071</v>
      </c>
      <c r="D5713" s="4" t="s">
        <v>63</v>
      </c>
      <c r="E5713" s="4">
        <v>41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7"/>
        <v>41072</v>
      </c>
    </row>
    <row r="5714" spans="1:21" ht="12" customHeight="1">
      <c r="A5714" s="4">
        <v>8206</v>
      </c>
      <c r="B5714" s="4">
        <v>58658</v>
      </c>
      <c r="C5714" s="5">
        <f t="shared" si="2406"/>
        <v>41071</v>
      </c>
      <c r="D5714" s="4" t="s">
        <v>63</v>
      </c>
      <c r="E5714" s="4">
        <v>46</v>
      </c>
      <c r="F5714" s="4">
        <v>760.80099999999993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spans="1:21" ht="12" customHeight="1">
      <c r="A5715" s="4">
        <v>8271</v>
      </c>
      <c r="B5715" s="4">
        <v>59139</v>
      </c>
      <c r="C5715" s="5">
        <f t="shared" ref="C5715:C5716" si="2408">DATE(2012,12,31)-702</f>
        <v>40572</v>
      </c>
      <c r="D5715" s="4" t="s">
        <v>78</v>
      </c>
      <c r="E5715" s="4">
        <v>12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09">C5715+1</f>
        <v>40573</v>
      </c>
    </row>
    <row r="5716" spans="1:21" ht="12" customHeight="1">
      <c r="A5716" s="4">
        <v>8272</v>
      </c>
      <c r="B5716" s="4">
        <v>59139</v>
      </c>
      <c r="C5716" s="5">
        <f t="shared" si="2408"/>
        <v>40572</v>
      </c>
      <c r="D5716" s="4" t="s">
        <v>78</v>
      </c>
      <c r="E5716" s="4">
        <v>38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09"/>
        <v>40573</v>
      </c>
    </row>
    <row r="5717" spans="1:21" ht="12" customHeight="1">
      <c r="A5717" s="4">
        <v>747</v>
      </c>
      <c r="B5717" s="4">
        <v>5350</v>
      </c>
      <c r="C5717" s="5">
        <f>DATE(2012,12,31)-814</f>
        <v>40460</v>
      </c>
      <c r="D5717" s="4" t="s">
        <v>21</v>
      </c>
      <c r="E5717" s="4">
        <v>39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spans="1:21" ht="12" customHeight="1">
      <c r="A5718" s="4">
        <v>943</v>
      </c>
      <c r="B5718" s="4">
        <v>6850</v>
      </c>
      <c r="C5718" s="5">
        <f t="shared" ref="C5718:C5721" si="2410">DATE(2012,12,31)-1054</f>
        <v>40220</v>
      </c>
      <c r="D5718" s="4" t="s">
        <v>30</v>
      </c>
      <c r="E5718" s="4">
        <v>8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spans="1:21" ht="12" customHeight="1">
      <c r="A5719" s="4">
        <v>944</v>
      </c>
      <c r="B5719" s="4">
        <v>6850</v>
      </c>
      <c r="C5719" s="5">
        <f t="shared" si="2410"/>
        <v>40220</v>
      </c>
      <c r="D5719" s="4" t="s">
        <v>30</v>
      </c>
      <c r="E5719" s="4">
        <v>41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spans="1:21" ht="12" customHeight="1">
      <c r="A5720" s="4">
        <v>945</v>
      </c>
      <c r="B5720" s="4">
        <v>6850</v>
      </c>
      <c r="C5720" s="5">
        <f t="shared" si="2410"/>
        <v>40220</v>
      </c>
      <c r="D5720" s="4" t="s">
        <v>30</v>
      </c>
      <c r="E5720" s="4">
        <v>34</v>
      </c>
      <c r="F5720" s="4">
        <v>2126.7199999999998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spans="1:21" ht="12" customHeight="1">
      <c r="A5721" s="4">
        <v>946</v>
      </c>
      <c r="B5721" s="4">
        <v>6850</v>
      </c>
      <c r="C5721" s="5">
        <f t="shared" si="2410"/>
        <v>40220</v>
      </c>
      <c r="D5721" s="4" t="s">
        <v>30</v>
      </c>
      <c r="E5721" s="4">
        <v>26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1">C5721+1</f>
        <v>40221</v>
      </c>
    </row>
    <row r="5722" spans="1:21" ht="12" customHeight="1">
      <c r="A5722" s="4">
        <v>1028</v>
      </c>
      <c r="B5722" s="4">
        <v>7488</v>
      </c>
      <c r="C5722" s="5">
        <f>DATE(2012,12,31)-242</f>
        <v>41032</v>
      </c>
      <c r="D5722" s="4" t="s">
        <v>78</v>
      </c>
      <c r="E5722" s="4">
        <v>9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1"/>
        <v>41033</v>
      </c>
    </row>
    <row r="5723" spans="1:21" ht="12" customHeight="1">
      <c r="A5723" s="4">
        <v>1033</v>
      </c>
      <c r="B5723" s="4">
        <v>7552</v>
      </c>
      <c r="C5723" s="5">
        <f t="shared" ref="C5723:C5724" si="2412">DATE(2012,12,31)-112</f>
        <v>41162</v>
      </c>
      <c r="D5723" s="4" t="s">
        <v>78</v>
      </c>
      <c r="E5723" s="4">
        <v>47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0.55000000000000004</v>
      </c>
      <c r="U5723" s="5">
        <f t="shared" ref="U5723:U5725" si="2413">C5723+2</f>
        <v>41164</v>
      </c>
    </row>
    <row r="5724" spans="1:21" ht="12" customHeight="1">
      <c r="A5724" s="4">
        <v>1034</v>
      </c>
      <c r="B5724" s="4">
        <v>7552</v>
      </c>
      <c r="C5724" s="5">
        <f t="shared" si="2412"/>
        <v>41162</v>
      </c>
      <c r="D5724" s="4" t="s">
        <v>78</v>
      </c>
      <c r="E5724" s="4">
        <v>49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3"/>
        <v>41164</v>
      </c>
    </row>
    <row r="5725" spans="1:21" ht="12" customHeight="1">
      <c r="A5725" s="4">
        <v>1039</v>
      </c>
      <c r="B5725" s="4">
        <v>7585</v>
      </c>
      <c r="C5725" s="5">
        <f>DATE(2012,12,31)-592</f>
        <v>40682</v>
      </c>
      <c r="D5725" s="4" t="s">
        <v>30</v>
      </c>
      <c r="E5725" s="4">
        <v>34</v>
      </c>
      <c r="F5725" s="4">
        <v>650.1395</v>
      </c>
      <c r="G5725" s="4">
        <v>0</v>
      </c>
      <c r="H5725" s="4" t="s">
        <v>22</v>
      </c>
      <c r="I5725" s="6">
        <v>22.571999999999999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3"/>
        <v>40684</v>
      </c>
    </row>
    <row r="5726" spans="1:21" ht="12" customHeight="1">
      <c r="A5726" s="4">
        <v>1133</v>
      </c>
      <c r="B5726" s="4">
        <v>8289</v>
      </c>
      <c r="C5726" s="5">
        <f>DATE(2012,12,31)-64</f>
        <v>41210</v>
      </c>
      <c r="D5726" s="4" t="s">
        <v>21</v>
      </c>
      <c r="E5726" s="4">
        <v>38</v>
      </c>
      <c r="F5726" s="4">
        <v>572.74</v>
      </c>
      <c r="G5726" s="4">
        <v>0</v>
      </c>
      <c r="H5726" s="4" t="s">
        <v>22</v>
      </c>
      <c r="I5726" s="6">
        <v>53.311999999999998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spans="1:21" ht="12" customHeight="1">
      <c r="A5727" s="4">
        <v>1188</v>
      </c>
      <c r="B5727" s="4">
        <v>8679</v>
      </c>
      <c r="C5727" s="5">
        <f>DATE(2012,12,31)-239</f>
        <v>41035</v>
      </c>
      <c r="D5727" s="4" t="s">
        <v>63</v>
      </c>
      <c r="E5727" s="4">
        <v>46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spans="1:21" ht="12" customHeight="1">
      <c r="A5728" s="4">
        <v>1740</v>
      </c>
      <c r="B5728" s="4">
        <v>12481</v>
      </c>
      <c r="C5728" s="5">
        <f t="shared" ref="C5728:C5729" si="2414">DATE(2012,12,31)-540</f>
        <v>40734</v>
      </c>
      <c r="D5728" s="4" t="s">
        <v>78</v>
      </c>
      <c r="E5728" s="4">
        <v>37</v>
      </c>
      <c r="F5728" s="4">
        <v>744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spans="1:21" ht="12" customHeight="1">
      <c r="A5729" s="4">
        <v>1741</v>
      </c>
      <c r="B5729" s="4">
        <v>12481</v>
      </c>
      <c r="C5729" s="5">
        <f t="shared" si="2414"/>
        <v>40734</v>
      </c>
      <c r="D5729" s="4" t="s">
        <v>78</v>
      </c>
      <c r="E5729" s="4">
        <v>12</v>
      </c>
      <c r="F5729" s="4">
        <v>388.86649999999997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spans="1:21" ht="12" customHeight="1">
      <c r="A5730" s="4">
        <v>1804</v>
      </c>
      <c r="B5730" s="4">
        <v>12902</v>
      </c>
      <c r="C5730" s="5">
        <f>DATE(2012,12,31)-794</f>
        <v>40480</v>
      </c>
      <c r="D5730" s="4" t="s">
        <v>45</v>
      </c>
      <c r="E5730" s="4">
        <v>30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spans="1:21" ht="12" customHeight="1">
      <c r="A5731" s="4">
        <v>2861</v>
      </c>
      <c r="B5731" s="4">
        <v>20642</v>
      </c>
      <c r="C5731" s="5">
        <f>DATE(2012,12,31)-226</f>
        <v>41048</v>
      </c>
      <c r="D5731" s="4" t="s">
        <v>30</v>
      </c>
      <c r="E5731" s="4">
        <v>47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spans="1:21" ht="12" customHeight="1">
      <c r="A5732" s="4">
        <v>3486</v>
      </c>
      <c r="B5732" s="4">
        <v>24804</v>
      </c>
      <c r="C5732" s="5">
        <f>DATE(2012,12,31)-584</f>
        <v>40690</v>
      </c>
      <c r="D5732" s="4" t="s">
        <v>45</v>
      </c>
      <c r="E5732" s="4">
        <v>20</v>
      </c>
      <c r="F5732" s="4">
        <v>211.42</v>
      </c>
      <c r="G5732" s="4">
        <v>0</v>
      </c>
      <c r="H5732" s="4" t="s">
        <v>22</v>
      </c>
      <c r="I5732" s="6">
        <v>-113.52</v>
      </c>
      <c r="J5732" s="4">
        <v>9.7100000000000009</v>
      </c>
      <c r="K5732" s="4">
        <v>9.4499999999999993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spans="1:21" ht="12" customHeight="1">
      <c r="A5733" s="4">
        <v>3971</v>
      </c>
      <c r="B5733" s="4">
        <v>28357</v>
      </c>
      <c r="C5733" s="5">
        <f t="shared" ref="C5733:C5734" si="2415">DATE(2012,12,31)-955</f>
        <v>40319</v>
      </c>
      <c r="D5733" s="4" t="s">
        <v>45</v>
      </c>
      <c r="E5733" s="4">
        <v>50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6">C5733+1</f>
        <v>40320</v>
      </c>
    </row>
    <row r="5734" spans="1:21" ht="12" customHeight="1">
      <c r="A5734" s="4">
        <v>3972</v>
      </c>
      <c r="B5734" s="4">
        <v>28357</v>
      </c>
      <c r="C5734" s="5">
        <f t="shared" si="2415"/>
        <v>40319</v>
      </c>
      <c r="D5734" s="4" t="s">
        <v>45</v>
      </c>
      <c r="E5734" s="4">
        <v>43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2.4700000000000002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6"/>
        <v>40320</v>
      </c>
    </row>
    <row r="5735" spans="1:21" ht="12" customHeight="1">
      <c r="A5735" s="4">
        <v>4735</v>
      </c>
      <c r="B5735" s="4">
        <v>33700</v>
      </c>
      <c r="C5735" s="5">
        <f>DATE(2012,12,31)-634</f>
        <v>40640</v>
      </c>
      <c r="D5735" s="4" t="s">
        <v>21</v>
      </c>
      <c r="E5735" s="4">
        <v>36</v>
      </c>
      <c r="F5735" s="4">
        <v>260.13</v>
      </c>
      <c r="G5735" s="4">
        <v>0</v>
      </c>
      <c r="H5735" s="4" t="s">
        <v>22</v>
      </c>
      <c r="I5735" s="6">
        <v>-133.97999999999999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spans="1:21" ht="12" customHeight="1">
      <c r="A5736" s="4">
        <v>5017</v>
      </c>
      <c r="B5736" s="4">
        <v>35811</v>
      </c>
      <c r="C5736" s="5">
        <f t="shared" ref="C5736:C5737" si="2417">DATE(2012,12,31)-363</f>
        <v>40911</v>
      </c>
      <c r="D5736" s="4" t="s">
        <v>78</v>
      </c>
      <c r="E5736" s="4">
        <v>49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spans="1:21" ht="12" customHeight="1">
      <c r="A5737" s="4">
        <v>5018</v>
      </c>
      <c r="B5737" s="4">
        <v>35811</v>
      </c>
      <c r="C5737" s="5">
        <f t="shared" si="2417"/>
        <v>40911</v>
      </c>
      <c r="D5737" s="4" t="s">
        <v>78</v>
      </c>
      <c r="E5737" s="4">
        <v>6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0.56000000000000005</v>
      </c>
      <c r="U5737" s="5">
        <f>C5737+2</f>
        <v>40913</v>
      </c>
    </row>
    <row r="5738" spans="1:21" ht="12" customHeight="1">
      <c r="A5738" s="4">
        <v>5732</v>
      </c>
      <c r="B5738" s="4">
        <v>40678</v>
      </c>
      <c r="C5738" s="5">
        <f>DATE(2012,12,31)-978</f>
        <v>40296</v>
      </c>
      <c r="D5738" s="4" t="s">
        <v>21</v>
      </c>
      <c r="E5738" s="4">
        <v>42</v>
      </c>
      <c r="F5738" s="4">
        <v>2753.07</v>
      </c>
      <c r="G5738" s="4">
        <v>7.0000000000000007E-2</v>
      </c>
      <c r="H5738" s="4" t="s">
        <v>22</v>
      </c>
      <c r="I5738" s="6">
        <v>551.33550000000002</v>
      </c>
      <c r="J5738" s="4">
        <v>67.28</v>
      </c>
      <c r="K5738" s="4">
        <v>19.989999999999998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spans="1:21" ht="12" customHeight="1">
      <c r="A5739" s="4">
        <v>6382</v>
      </c>
      <c r="B5739" s="4">
        <v>45346</v>
      </c>
      <c r="C5739" s="5">
        <f>DATE(2012,12,31)-46</f>
        <v>41228</v>
      </c>
      <c r="D5739" s="4" t="s">
        <v>30</v>
      </c>
      <c r="E5739" s="4">
        <v>37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spans="1:21" ht="12" customHeight="1">
      <c r="A5740" s="4">
        <v>6510</v>
      </c>
      <c r="B5740" s="4">
        <v>46336</v>
      </c>
      <c r="C5740" s="5">
        <f>DATE(2012,12,31)-521</f>
        <v>40753</v>
      </c>
      <c r="D5740" s="4" t="s">
        <v>30</v>
      </c>
      <c r="E5740" s="4">
        <v>31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spans="1:21" ht="12" customHeight="1">
      <c r="A5741" s="4">
        <v>7342</v>
      </c>
      <c r="B5741" s="4">
        <v>52320</v>
      </c>
      <c r="C5741" s="5">
        <f>DATE(2012,12,31)-98</f>
        <v>41176</v>
      </c>
      <c r="D5741" s="4" t="s">
        <v>21</v>
      </c>
      <c r="E5741" s="4">
        <v>41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0.55000000000000004</v>
      </c>
      <c r="U5741" s="5">
        <f t="shared" ref="U5741:U5742" si="2418">C5741+4</f>
        <v>41180</v>
      </c>
    </row>
    <row r="5742" spans="1:21" ht="12" customHeight="1">
      <c r="A5742" s="4">
        <v>7887</v>
      </c>
      <c r="B5742" s="4">
        <v>56420</v>
      </c>
      <c r="C5742" s="5">
        <f t="shared" ref="C5742:C5745" si="2419">DATE(2012,12,31)-526</f>
        <v>40748</v>
      </c>
      <c r="D5742" s="4" t="s">
        <v>21</v>
      </c>
      <c r="E5742" s="4">
        <v>16</v>
      </c>
      <c r="F5742" s="4">
        <v>597.44000000000005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0.56000000000000005</v>
      </c>
      <c r="U5742" s="5">
        <f t="shared" si="2418"/>
        <v>40752</v>
      </c>
    </row>
    <row r="5743" spans="1:21" ht="12" customHeight="1">
      <c r="A5743" s="4">
        <v>7888</v>
      </c>
      <c r="B5743" s="4">
        <v>56420</v>
      </c>
      <c r="C5743" s="5">
        <f t="shared" si="2419"/>
        <v>40748</v>
      </c>
      <c r="D5743" s="4" t="s">
        <v>21</v>
      </c>
      <c r="E5743" s="4">
        <v>26</v>
      </c>
      <c r="F5743" s="4">
        <v>132.22999999999999</v>
      </c>
      <c r="G5743" s="4">
        <v>7.0000000000000007E-2</v>
      </c>
      <c r="H5743" s="4" t="s">
        <v>22</v>
      </c>
      <c r="I5743" s="6">
        <v>22.25</v>
      </c>
      <c r="J5743" s="4">
        <v>5.08</v>
      </c>
      <c r="K5743" s="4">
        <v>2.0299999999999998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spans="1:21" ht="12" customHeight="1">
      <c r="A5744" s="4">
        <v>7889</v>
      </c>
      <c r="B5744" s="4">
        <v>56420</v>
      </c>
      <c r="C5744" s="5">
        <f t="shared" si="2419"/>
        <v>40748</v>
      </c>
      <c r="D5744" s="4" t="s">
        <v>21</v>
      </c>
      <c r="E5744" s="4">
        <v>22</v>
      </c>
      <c r="F5744" s="4">
        <v>2403.1369999999997</v>
      </c>
      <c r="G5744" s="4">
        <v>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0.56999999999999995</v>
      </c>
      <c r="U5744" s="5">
        <f>C5744+5</f>
        <v>40753</v>
      </c>
    </row>
    <row r="5745" spans="1:21" ht="12" customHeight="1">
      <c r="A5745" s="4">
        <v>7890</v>
      </c>
      <c r="B5745" s="4">
        <v>56420</v>
      </c>
      <c r="C5745" s="5">
        <f t="shared" si="2419"/>
        <v>40748</v>
      </c>
      <c r="D5745" s="4" t="s">
        <v>21</v>
      </c>
      <c r="E5745" s="4">
        <v>48</v>
      </c>
      <c r="F5745" s="4">
        <v>5138.335</v>
      </c>
      <c r="G5745" s="4">
        <v>0.02</v>
      </c>
      <c r="H5745" s="4" t="s">
        <v>22</v>
      </c>
      <c r="I5745" s="6">
        <v>1422.1980000000001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0.56999999999999995</v>
      </c>
      <c r="U5745" s="5">
        <f>C5745+2</f>
        <v>40750</v>
      </c>
    </row>
    <row r="5746" spans="1:21" ht="12" customHeight="1">
      <c r="A5746" s="4">
        <v>859</v>
      </c>
      <c r="B5746" s="4">
        <v>6150</v>
      </c>
      <c r="C5746" s="5">
        <f>DATE(2012,12,31)-91</f>
        <v>41183</v>
      </c>
      <c r="D5746" s="4" t="s">
        <v>78</v>
      </c>
      <c r="E5746" s="4">
        <v>38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4.9800000000000004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spans="1:21" ht="12" customHeight="1">
      <c r="A5747" s="4">
        <v>1321</v>
      </c>
      <c r="B5747" s="4">
        <v>9664</v>
      </c>
      <c r="C5747" s="5">
        <f>DATE(2012,12,31)-999</f>
        <v>40275</v>
      </c>
      <c r="D5747" s="4" t="s">
        <v>30</v>
      </c>
      <c r="E5747" s="4">
        <v>13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spans="1:21" ht="12" customHeight="1">
      <c r="A5748" s="4">
        <v>1545</v>
      </c>
      <c r="B5748" s="4">
        <v>11168</v>
      </c>
      <c r="C5748" s="5">
        <f>DATE(2012,12,31)-71</f>
        <v>41203</v>
      </c>
      <c r="D5748" s="4" t="s">
        <v>78</v>
      </c>
      <c r="E5748" s="4">
        <v>35</v>
      </c>
      <c r="F5748" s="4">
        <v>182.86</v>
      </c>
      <c r="G5748" s="4">
        <v>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0">C5748+2</f>
        <v>41205</v>
      </c>
    </row>
    <row r="5749" spans="1:21" ht="12" customHeight="1">
      <c r="A5749" s="4">
        <v>1725</v>
      </c>
      <c r="B5749" s="4">
        <v>12417</v>
      </c>
      <c r="C5749" s="5">
        <f>DATE(2012,12,31)-799</f>
        <v>40475</v>
      </c>
      <c r="D5749" s="4" t="s">
        <v>78</v>
      </c>
      <c r="E5749" s="4">
        <v>19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0"/>
        <v>40477</v>
      </c>
    </row>
    <row r="5750" spans="1:21" ht="12" customHeight="1">
      <c r="A5750" s="4">
        <v>1899</v>
      </c>
      <c r="B5750" s="4">
        <v>13607</v>
      </c>
      <c r="C5750" s="5">
        <f t="shared" ref="C5750:C5752" si="2421">DATE(2012,12,31)-774</f>
        <v>40500</v>
      </c>
      <c r="D5750" s="4" t="s">
        <v>78</v>
      </c>
      <c r="E5750" s="4">
        <v>12</v>
      </c>
      <c r="F5750" s="4">
        <v>440.6</v>
      </c>
      <c r="G5750" s="4">
        <v>7.0000000000000007E-2</v>
      </c>
      <c r="H5750" s="4" t="s">
        <v>22</v>
      </c>
      <c r="I5750" s="6">
        <v>2.9700000000000131</v>
      </c>
      <c r="J5750" s="4">
        <v>39.479999999999997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2">C5750+1</f>
        <v>40501</v>
      </c>
    </row>
    <row r="5751" spans="1:21" ht="12" customHeight="1">
      <c r="A5751" s="4">
        <v>1900</v>
      </c>
      <c r="B5751" s="4">
        <v>13607</v>
      </c>
      <c r="C5751" s="5">
        <f t="shared" si="2421"/>
        <v>40500</v>
      </c>
      <c r="D5751" s="4" t="s">
        <v>78</v>
      </c>
      <c r="E5751" s="4">
        <v>37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2"/>
        <v>40501</v>
      </c>
    </row>
    <row r="5752" spans="1:21" ht="12" customHeight="1">
      <c r="A5752" s="4">
        <v>1901</v>
      </c>
      <c r="B5752" s="4">
        <v>13607</v>
      </c>
      <c r="C5752" s="5">
        <f t="shared" si="2421"/>
        <v>40500</v>
      </c>
      <c r="D5752" s="4" t="s">
        <v>78</v>
      </c>
      <c r="E5752" s="4">
        <v>13</v>
      </c>
      <c r="F5752" s="4">
        <v>315.29000000000002</v>
      </c>
      <c r="G5752" s="4">
        <v>0</v>
      </c>
      <c r="H5752" s="4" t="s">
        <v>22</v>
      </c>
      <c r="I5752" s="6">
        <v>-361.82</v>
      </c>
      <c r="J5752" s="4">
        <v>20.34</v>
      </c>
      <c r="K5752" s="4">
        <v>35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spans="1:21" ht="12" customHeight="1">
      <c r="A5753" s="4">
        <v>2047</v>
      </c>
      <c r="B5753" s="4">
        <v>14597</v>
      </c>
      <c r="C5753" s="5">
        <f t="shared" ref="C5753:C5754" si="2423">DATE(2012,12,31)-854</f>
        <v>40420</v>
      </c>
      <c r="D5753" s="4" t="s">
        <v>78</v>
      </c>
      <c r="E5753" s="4">
        <v>41</v>
      </c>
      <c r="F5753" s="4">
        <v>320.42</v>
      </c>
      <c r="G5753" s="4">
        <v>0.03</v>
      </c>
      <c r="H5753" s="4" t="s">
        <v>56</v>
      </c>
      <c r="I5753" s="6">
        <v>-66.366500000000002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4">C5753+1</f>
        <v>40421</v>
      </c>
    </row>
    <row r="5754" spans="1:21" ht="12" customHeight="1">
      <c r="A5754" s="4">
        <v>2048</v>
      </c>
      <c r="B5754" s="4">
        <v>14597</v>
      </c>
      <c r="C5754" s="5">
        <f t="shared" si="2423"/>
        <v>40420</v>
      </c>
      <c r="D5754" s="4" t="s">
        <v>78</v>
      </c>
      <c r="E5754" s="4">
        <v>35</v>
      </c>
      <c r="F5754" s="4">
        <v>266.64</v>
      </c>
      <c r="G5754" s="4">
        <v>7.0000000000000007E-2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4"/>
        <v>40421</v>
      </c>
    </row>
    <row r="5755" spans="1:21" ht="12" customHeight="1">
      <c r="A5755" s="4">
        <v>2102</v>
      </c>
      <c r="B5755" s="4">
        <v>15015</v>
      </c>
      <c r="C5755" s="5">
        <f>DATE(2012,12,31)-767</f>
        <v>40507</v>
      </c>
      <c r="D5755" s="4" t="s">
        <v>30</v>
      </c>
      <c r="E5755" s="4">
        <v>47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4"/>
        <v>40508</v>
      </c>
    </row>
    <row r="5756" spans="1:21" ht="12" customHeight="1">
      <c r="A5756" s="4">
        <v>2415</v>
      </c>
      <c r="B5756" s="4">
        <v>17539</v>
      </c>
      <c r="C5756" s="5">
        <f t="shared" ref="C5756:C5757" si="2425">DATE(2012,12,31)-473</f>
        <v>40801</v>
      </c>
      <c r="D5756" s="4" t="s">
        <v>45</v>
      </c>
      <c r="E5756" s="4">
        <v>28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4"/>
        <v>40802</v>
      </c>
    </row>
    <row r="5757" spans="1:21" ht="12" customHeight="1">
      <c r="A5757" s="4">
        <v>2416</v>
      </c>
      <c r="B5757" s="4">
        <v>17539</v>
      </c>
      <c r="C5757" s="5">
        <f t="shared" si="2425"/>
        <v>40801</v>
      </c>
      <c r="D5757" s="4" t="s">
        <v>45</v>
      </c>
      <c r="E5757" s="4">
        <v>10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4"/>
        <v>40802</v>
      </c>
    </row>
    <row r="5758" spans="1:21" ht="12" customHeight="1">
      <c r="A5758" s="4">
        <v>2492</v>
      </c>
      <c r="B5758" s="4">
        <v>18145</v>
      </c>
      <c r="C5758" s="5">
        <f>DATE(2012,12,31)-849</f>
        <v>40425</v>
      </c>
      <c r="D5758" s="4" t="s">
        <v>63</v>
      </c>
      <c r="E5758" s="4">
        <v>47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4"/>
        <v>40426</v>
      </c>
    </row>
    <row r="5759" spans="1:21" ht="12" customHeight="1">
      <c r="A5759" s="4">
        <v>2709</v>
      </c>
      <c r="B5759" s="4">
        <v>19559</v>
      </c>
      <c r="C5759" s="5">
        <f t="shared" ref="C5759:C5761" si="2426">DATE(2012,12,31)-991</f>
        <v>40283</v>
      </c>
      <c r="D5759" s="4" t="s">
        <v>30</v>
      </c>
      <c r="E5759" s="4">
        <v>31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spans="1:21" ht="12" customHeight="1">
      <c r="A5760" s="4">
        <v>2710</v>
      </c>
      <c r="B5760" s="4">
        <v>19559</v>
      </c>
      <c r="C5760" s="5">
        <f t="shared" si="2426"/>
        <v>40283</v>
      </c>
      <c r="D5760" s="4" t="s">
        <v>30</v>
      </c>
      <c r="E5760" s="4">
        <v>18</v>
      </c>
      <c r="F5760" s="4">
        <v>2445.212</v>
      </c>
      <c r="G5760" s="4">
        <v>0.02</v>
      </c>
      <c r="H5760" s="4" t="s">
        <v>56</v>
      </c>
      <c r="I5760" s="6">
        <v>275.76900000000001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0.57999999999999996</v>
      </c>
      <c r="U5760" s="5">
        <f>C5760+1</f>
        <v>40284</v>
      </c>
    </row>
    <row r="5761" spans="1:21" ht="12" customHeight="1">
      <c r="A5761" s="4">
        <v>2711</v>
      </c>
      <c r="B5761" s="4">
        <v>19559</v>
      </c>
      <c r="C5761" s="5">
        <f t="shared" si="2426"/>
        <v>40283</v>
      </c>
      <c r="D5761" s="4" t="s">
        <v>30</v>
      </c>
      <c r="E5761" s="4">
        <v>14</v>
      </c>
      <c r="F5761" s="4">
        <v>1032.0274999999999</v>
      </c>
      <c r="G5761" s="4">
        <v>7.0000000000000007E-2</v>
      </c>
      <c r="H5761" s="4" t="s">
        <v>56</v>
      </c>
      <c r="I5761" s="6">
        <v>97.397999999999996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0.55000000000000004</v>
      </c>
      <c r="U5761" s="5">
        <f>C5761+3</f>
        <v>40286</v>
      </c>
    </row>
    <row r="5762" spans="1:21" ht="12" customHeight="1">
      <c r="A5762" s="4">
        <v>2924</v>
      </c>
      <c r="B5762" s="4">
        <v>21188</v>
      </c>
      <c r="C5762" s="5">
        <f>DATE(2012,12,31)-467</f>
        <v>40807</v>
      </c>
      <c r="D5762" s="4" t="s">
        <v>78</v>
      </c>
      <c r="E5762" s="4">
        <v>29</v>
      </c>
      <c r="F5762" s="4">
        <v>21046.74</v>
      </c>
      <c r="G5762" s="4">
        <v>0.04</v>
      </c>
      <c r="H5762" s="4" t="s">
        <v>22</v>
      </c>
      <c r="I5762" s="6">
        <v>5217.2669999999998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7">C5762+2</f>
        <v>40809</v>
      </c>
    </row>
    <row r="5763" spans="1:21" ht="12" customHeight="1">
      <c r="A5763" s="4">
        <v>2941</v>
      </c>
      <c r="B5763" s="4">
        <v>21318</v>
      </c>
      <c r="C5763" s="5">
        <f>DATE(2012,12,31)-911</f>
        <v>40363</v>
      </c>
      <c r="D5763" s="4" t="s">
        <v>30</v>
      </c>
      <c r="E5763" s="4">
        <v>40</v>
      </c>
      <c r="F5763" s="4">
        <v>1384.34</v>
      </c>
      <c r="G5763" s="4">
        <v>0.1</v>
      </c>
      <c r="H5763" s="4" t="s">
        <v>22</v>
      </c>
      <c r="I5763" s="6">
        <v>562.30899999999997</v>
      </c>
      <c r="J5763" s="4">
        <v>37.700000000000003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7"/>
        <v>40365</v>
      </c>
    </row>
    <row r="5764" spans="1:21" ht="12" customHeight="1">
      <c r="A5764" s="4">
        <v>3029</v>
      </c>
      <c r="B5764" s="4">
        <v>21792</v>
      </c>
      <c r="C5764" s="5">
        <f>DATE(2012,12,31)-97</f>
        <v>41177</v>
      </c>
      <c r="D5764" s="4" t="s">
        <v>45</v>
      </c>
      <c r="E5764" s="4">
        <v>26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7"/>
        <v>41179</v>
      </c>
    </row>
    <row r="5765" spans="1:21" ht="12" customHeight="1">
      <c r="A5765" s="4">
        <v>3482</v>
      </c>
      <c r="B5765" s="4">
        <v>24801</v>
      </c>
      <c r="C5765" s="5">
        <f t="shared" ref="C5765:C5767" si="2428">DATE(2012,12,31)-46</f>
        <v>41228</v>
      </c>
      <c r="D5765" s="4" t="s">
        <v>30</v>
      </c>
      <c r="E5765" s="4">
        <v>3</v>
      </c>
      <c r="F5765" s="4">
        <v>18.91</v>
      </c>
      <c r="G5765" s="4">
        <v>0</v>
      </c>
      <c r="H5765" s="4" t="s">
        <v>22</v>
      </c>
      <c r="I5765" s="6">
        <v>-16.353000000000002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29">C5765+1</f>
        <v>41229</v>
      </c>
    </row>
    <row r="5766" spans="1:21" ht="12" customHeight="1">
      <c r="A5766" s="4">
        <v>3483</v>
      </c>
      <c r="B5766" s="4">
        <v>24801</v>
      </c>
      <c r="C5766" s="5">
        <f t="shared" si="2428"/>
        <v>41228</v>
      </c>
      <c r="D5766" s="4" t="s">
        <v>30</v>
      </c>
      <c r="E5766" s="4">
        <v>7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29"/>
        <v>41229</v>
      </c>
    </row>
    <row r="5767" spans="1:21" ht="12" customHeight="1">
      <c r="A5767" s="4">
        <v>3484</v>
      </c>
      <c r="B5767" s="4">
        <v>24801</v>
      </c>
      <c r="C5767" s="5">
        <f t="shared" si="2428"/>
        <v>41228</v>
      </c>
      <c r="D5767" s="4" t="s">
        <v>30</v>
      </c>
      <c r="E5767" s="4">
        <v>10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0.56999999999999995</v>
      </c>
      <c r="U5767" s="5">
        <f t="shared" si="2429"/>
        <v>41229</v>
      </c>
    </row>
    <row r="5768" spans="1:21" ht="12" customHeight="1">
      <c r="A5768" s="4">
        <v>3714</v>
      </c>
      <c r="B5768" s="4">
        <v>26529</v>
      </c>
      <c r="C5768" s="5">
        <f>DATE(2012,12,31)-703</f>
        <v>40571</v>
      </c>
      <c r="D5768" s="4" t="s">
        <v>21</v>
      </c>
      <c r="E5768" s="4">
        <v>17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spans="1:21" ht="12" customHeight="1">
      <c r="A5769" s="4">
        <v>3893</v>
      </c>
      <c r="B5769" s="4">
        <v>27780</v>
      </c>
      <c r="C5769" s="5">
        <f t="shared" ref="C5769:C5771" si="2430">DATE(2012,12,31)-72</f>
        <v>41202</v>
      </c>
      <c r="D5769" s="4" t="s">
        <v>78</v>
      </c>
      <c r="E5769" s="4">
        <v>18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spans="1:21" ht="12" customHeight="1">
      <c r="A5770" s="4">
        <v>3894</v>
      </c>
      <c r="B5770" s="4">
        <v>27780</v>
      </c>
      <c r="C5770" s="5">
        <f t="shared" si="2430"/>
        <v>41202</v>
      </c>
      <c r="D5770" s="4" t="s">
        <v>78</v>
      </c>
      <c r="E5770" s="4">
        <v>39</v>
      </c>
      <c r="F5770" s="4">
        <v>147.71</v>
      </c>
      <c r="G5770" s="4">
        <v>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spans="1:21" ht="12" customHeight="1">
      <c r="A5771" s="4">
        <v>3895</v>
      </c>
      <c r="B5771" s="4">
        <v>27780</v>
      </c>
      <c r="C5771" s="5">
        <f t="shared" si="2430"/>
        <v>41202</v>
      </c>
      <c r="D5771" s="4" t="s">
        <v>78</v>
      </c>
      <c r="E5771" s="4">
        <v>39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spans="1:21" ht="12" customHeight="1">
      <c r="A5772" s="4">
        <v>3904</v>
      </c>
      <c r="B5772" s="4">
        <v>27843</v>
      </c>
      <c r="C5772" s="5">
        <f>DATE(2012,12,31)-848</f>
        <v>40426</v>
      </c>
      <c r="D5772" s="4" t="s">
        <v>63</v>
      </c>
      <c r="E5772" s="4">
        <v>26</v>
      </c>
      <c r="F5772" s="4">
        <v>139.61000000000001</v>
      </c>
      <c r="G5772" s="4">
        <v>0.01</v>
      </c>
      <c r="H5772" s="4" t="s">
        <v>22</v>
      </c>
      <c r="I5772" s="6">
        <v>-92.04</v>
      </c>
      <c r="J5772" s="4">
        <v>4.8899999999999997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spans="1:21" ht="12" customHeight="1">
      <c r="A5773" s="4">
        <v>4030</v>
      </c>
      <c r="B5773" s="4">
        <v>28773</v>
      </c>
      <c r="C5773" s="5">
        <f>DATE(2012,12,31)-690</f>
        <v>40584</v>
      </c>
      <c r="D5773" s="4" t="s">
        <v>21</v>
      </c>
      <c r="E5773" s="4">
        <v>48</v>
      </c>
      <c r="F5773" s="4">
        <v>2174.4189999999999</v>
      </c>
      <c r="G5773" s="4">
        <v>0.05</v>
      </c>
      <c r="H5773" s="4" t="s">
        <v>22</v>
      </c>
      <c r="I5773" s="6">
        <v>-211.69499999999999</v>
      </c>
      <c r="J5773" s="4">
        <v>55.99</v>
      </c>
      <c r="K5773" s="4">
        <v>5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spans="1:21" ht="12" customHeight="1">
      <c r="A5774" s="4">
        <v>4323</v>
      </c>
      <c r="B5774" s="4">
        <v>30786</v>
      </c>
      <c r="C5774" s="5">
        <f t="shared" ref="C5774:C5775" si="2431">DATE(2012,12,31)-168</f>
        <v>41106</v>
      </c>
      <c r="D5774" s="4" t="s">
        <v>63</v>
      </c>
      <c r="E5774" s="4">
        <v>23</v>
      </c>
      <c r="F5774" s="4">
        <v>65.91</v>
      </c>
      <c r="G5774" s="4">
        <v>0.01</v>
      </c>
      <c r="H5774" s="4" t="s">
        <v>22</v>
      </c>
      <c r="I5774" s="6">
        <v>0.76000000000000068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spans="1:21" ht="12" customHeight="1">
      <c r="A5775" s="4">
        <v>4324</v>
      </c>
      <c r="B5775" s="4">
        <v>30786</v>
      </c>
      <c r="C5775" s="5">
        <f t="shared" si="2431"/>
        <v>41106</v>
      </c>
      <c r="D5775" s="4" t="s">
        <v>63</v>
      </c>
      <c r="E5775" s="4">
        <v>4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0.57999999999999996</v>
      </c>
      <c r="U5775" s="5">
        <f>C5775+1</f>
        <v>41107</v>
      </c>
    </row>
    <row r="5776" spans="1:21" ht="12" customHeight="1">
      <c r="A5776" s="4">
        <v>4461</v>
      </c>
      <c r="B5776" s="4">
        <v>31809</v>
      </c>
      <c r="C5776" s="5">
        <f>DATE(2012,12,31)-887</f>
        <v>40387</v>
      </c>
      <c r="D5776" s="4" t="s">
        <v>30</v>
      </c>
      <c r="E5776" s="4">
        <v>1</v>
      </c>
      <c r="F5776" s="4">
        <v>15</v>
      </c>
      <c r="G5776" s="4">
        <v>0.1</v>
      </c>
      <c r="H5776" s="4" t="s">
        <v>22</v>
      </c>
      <c r="I5776" s="6">
        <v>-13.74</v>
      </c>
      <c r="J5776" s="4">
        <v>9.7799999999999994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spans="1:21" ht="12" customHeight="1">
      <c r="A5777" s="4">
        <v>4481</v>
      </c>
      <c r="B5777" s="4">
        <v>31878</v>
      </c>
      <c r="C5777" s="5">
        <f t="shared" ref="C5777:C5778" si="2432">DATE(2012,12,31)-379</f>
        <v>40895</v>
      </c>
      <c r="D5777" s="4" t="s">
        <v>63</v>
      </c>
      <c r="E5777" s="4">
        <v>14</v>
      </c>
      <c r="F5777" s="4">
        <v>138.94999999999999</v>
      </c>
      <c r="G5777" s="4">
        <v>0.04</v>
      </c>
      <c r="H5777" s="4" t="s">
        <v>22</v>
      </c>
      <c r="I5777" s="6">
        <v>9.6300000000000008</v>
      </c>
      <c r="J5777" s="4">
        <v>9.27</v>
      </c>
      <c r="K5777" s="4">
        <v>4.3899999999999997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spans="1:21" ht="12" customHeight="1">
      <c r="A5778" s="4">
        <v>4482</v>
      </c>
      <c r="B5778" s="4">
        <v>31878</v>
      </c>
      <c r="C5778" s="5">
        <f t="shared" si="2432"/>
        <v>40895</v>
      </c>
      <c r="D5778" s="4" t="s">
        <v>63</v>
      </c>
      <c r="E5778" s="4">
        <v>42</v>
      </c>
      <c r="F5778" s="4">
        <v>5678.5524999999998</v>
      </c>
      <c r="G5778" s="4">
        <v>0.01</v>
      </c>
      <c r="H5778" s="4" t="s">
        <v>22</v>
      </c>
      <c r="I5778" s="6">
        <v>1727.7750000000001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0.55000000000000004</v>
      </c>
      <c r="U5778" s="5">
        <f>C5778+1</f>
        <v>40896</v>
      </c>
    </row>
    <row r="5779" spans="1:21" ht="12" customHeight="1">
      <c r="A5779" s="4">
        <v>4910</v>
      </c>
      <c r="B5779" s="4">
        <v>34976</v>
      </c>
      <c r="C5779" s="5">
        <f t="shared" ref="C5779:C5780" si="2433">DATE(2012,12,31)-37</f>
        <v>41237</v>
      </c>
      <c r="D5779" s="4" t="s">
        <v>63</v>
      </c>
      <c r="E5779" s="4">
        <v>45</v>
      </c>
      <c r="F5779" s="4">
        <v>4475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74.349999999999994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0.56999999999999995</v>
      </c>
      <c r="U5779" s="5">
        <f>C5779+2</f>
        <v>41239</v>
      </c>
    </row>
    <row r="5780" spans="1:21" ht="12" customHeight="1">
      <c r="A5780" s="4">
        <v>4911</v>
      </c>
      <c r="B5780" s="4">
        <v>34976</v>
      </c>
      <c r="C5780" s="5">
        <f t="shared" si="2433"/>
        <v>41237</v>
      </c>
      <c r="D5780" s="4" t="s">
        <v>63</v>
      </c>
      <c r="E5780" s="4">
        <v>29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spans="1:21" ht="12" customHeight="1">
      <c r="A5781" s="4">
        <v>4913</v>
      </c>
      <c r="B5781" s="4">
        <v>34979</v>
      </c>
      <c r="C5781" s="5">
        <f>DATE(2012,12,31)-825</f>
        <v>40449</v>
      </c>
      <c r="D5781" s="4" t="s">
        <v>78</v>
      </c>
      <c r="E5781" s="4">
        <v>15</v>
      </c>
      <c r="F5781" s="4">
        <v>609.97</v>
      </c>
      <c r="G5781" s="4">
        <v>0</v>
      </c>
      <c r="H5781" s="4" t="s">
        <v>22</v>
      </c>
      <c r="I5781" s="6">
        <v>62.93</v>
      </c>
      <c r="J5781" s="4">
        <v>39.479999999999997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spans="1:21" ht="12" customHeight="1">
      <c r="A5782" s="4">
        <v>4941</v>
      </c>
      <c r="B5782" s="4">
        <v>35139</v>
      </c>
      <c r="C5782" s="5">
        <f>DATE(2012,12,31)-1078</f>
        <v>40196</v>
      </c>
      <c r="D5782" s="4" t="s">
        <v>30</v>
      </c>
      <c r="E5782" s="4">
        <v>29</v>
      </c>
      <c r="F5782" s="4">
        <v>264.77999999999997</v>
      </c>
      <c r="G5782" s="4">
        <v>0.02</v>
      </c>
      <c r="H5782" s="4" t="s">
        <v>22</v>
      </c>
      <c r="I5782" s="6">
        <v>53.048499999999997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spans="1:21" ht="12" customHeight="1">
      <c r="A5783" s="4">
        <v>5132</v>
      </c>
      <c r="B5783" s="4">
        <v>36608</v>
      </c>
      <c r="C5783" s="5">
        <f t="shared" ref="C5783:C5784" si="2434">DATE(2012,12,31)-460</f>
        <v>40814</v>
      </c>
      <c r="D5783" s="4" t="s">
        <v>21</v>
      </c>
      <c r="E5783" s="4">
        <v>40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0.55000000000000004</v>
      </c>
      <c r="U5783" s="5">
        <f>C5783+4</f>
        <v>40818</v>
      </c>
    </row>
    <row r="5784" spans="1:21" ht="12" customHeight="1">
      <c r="A5784" s="4">
        <v>5133</v>
      </c>
      <c r="B5784" s="4">
        <v>36608</v>
      </c>
      <c r="C5784" s="5">
        <f t="shared" si="2434"/>
        <v>40814</v>
      </c>
      <c r="D5784" s="4" t="s">
        <v>21</v>
      </c>
      <c r="E5784" s="4">
        <v>49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19.989999999999998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spans="1:21" ht="12" customHeight="1">
      <c r="A5785" s="4">
        <v>5204</v>
      </c>
      <c r="B5785" s="4">
        <v>36994</v>
      </c>
      <c r="C5785" s="5">
        <f>DATE(2012,12,31)-563</f>
        <v>40711</v>
      </c>
      <c r="D5785" s="4" t="s">
        <v>78</v>
      </c>
      <c r="E5785" s="4">
        <v>40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130.97999999999999</v>
      </c>
      <c r="K5785" s="4">
        <v>30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spans="1:21" ht="12" customHeight="1">
      <c r="A5786" s="4">
        <v>5484</v>
      </c>
      <c r="B5786" s="4">
        <v>38944</v>
      </c>
      <c r="C5786" s="5">
        <f t="shared" ref="C5786:C5788" si="2435">DATE(2012,12,31)-986</f>
        <v>40288</v>
      </c>
      <c r="D5786" s="4" t="s">
        <v>63</v>
      </c>
      <c r="E5786" s="4">
        <v>17</v>
      </c>
      <c r="F5786" s="4">
        <v>1873.3489999999999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0.56999999999999995</v>
      </c>
      <c r="U5786" s="5">
        <f t="shared" ref="U5786:U5787" si="2436">C5786+1</f>
        <v>40289</v>
      </c>
    </row>
    <row r="5787" spans="1:21" ht="12" customHeight="1">
      <c r="A5787" s="4">
        <v>5485</v>
      </c>
      <c r="B5787" s="4">
        <v>38944</v>
      </c>
      <c r="C5787" s="5">
        <f t="shared" si="2435"/>
        <v>40288</v>
      </c>
      <c r="D5787" s="4" t="s">
        <v>63</v>
      </c>
      <c r="E5787" s="4">
        <v>46</v>
      </c>
      <c r="F5787" s="4">
        <v>24639.8</v>
      </c>
      <c r="G5787" s="4">
        <v>0.01</v>
      </c>
      <c r="H5787" s="4" t="s">
        <v>31</v>
      </c>
      <c r="I5787" s="6">
        <v>8614.7900000000009</v>
      </c>
      <c r="J5787" s="4">
        <v>500.98</v>
      </c>
      <c r="K5787" s="4">
        <v>26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6"/>
        <v>40289</v>
      </c>
    </row>
    <row r="5788" spans="1:21" ht="12" customHeight="1">
      <c r="A5788" s="4">
        <v>5486</v>
      </c>
      <c r="B5788" s="4">
        <v>38944</v>
      </c>
      <c r="C5788" s="5">
        <f t="shared" si="2435"/>
        <v>40288</v>
      </c>
      <c r="D5788" s="4" t="s">
        <v>63</v>
      </c>
      <c r="E5788" s="4">
        <v>32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4.8600000000000003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spans="1:21" ht="12" customHeight="1">
      <c r="A5789" s="4">
        <v>5510</v>
      </c>
      <c r="B5789" s="4">
        <v>39075</v>
      </c>
      <c r="C5789" s="5">
        <f>DATE(2012,12,31)-316</f>
        <v>40958</v>
      </c>
      <c r="D5789" s="4" t="s">
        <v>45</v>
      </c>
      <c r="E5789" s="4">
        <v>50</v>
      </c>
      <c r="F5789" s="4">
        <v>512.33000000000004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spans="1:21" ht="12" customHeight="1">
      <c r="A5790" s="4">
        <v>5566</v>
      </c>
      <c r="B5790" s="4">
        <v>39425</v>
      </c>
      <c r="C5790" s="5">
        <f>DATE(2012,12,31)-137</f>
        <v>41137</v>
      </c>
      <c r="D5790" s="4" t="s">
        <v>78</v>
      </c>
      <c r="E5790" s="4">
        <v>23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65.989999999999995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0.57999999999999996</v>
      </c>
      <c r="U5790" s="5">
        <f>C5790+2</f>
        <v>41139</v>
      </c>
    </row>
    <row r="5791" spans="1:21" ht="12" customHeight="1">
      <c r="A5791" s="4">
        <v>5911</v>
      </c>
      <c r="B5791" s="4">
        <v>41921</v>
      </c>
      <c r="C5791" s="5">
        <f t="shared" ref="C5791:C5792" si="2437">DATE(2012,12,31)-312</f>
        <v>40962</v>
      </c>
      <c r="D5791" s="4" t="s">
        <v>63</v>
      </c>
      <c r="E5791" s="4">
        <v>32</v>
      </c>
      <c r="F5791" s="4">
        <v>16313.51</v>
      </c>
      <c r="G5791" s="4">
        <v>0.04</v>
      </c>
      <c r="H5791" s="4" t="s">
        <v>31</v>
      </c>
      <c r="I5791" s="6">
        <v>4860.7299999999996</v>
      </c>
      <c r="J5791" s="4">
        <v>500.98</v>
      </c>
      <c r="K5791" s="4">
        <v>26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spans="1:21" ht="12" customHeight="1">
      <c r="A5792" s="4">
        <v>5912</v>
      </c>
      <c r="B5792" s="4">
        <v>41921</v>
      </c>
      <c r="C5792" s="5">
        <f t="shared" si="2437"/>
        <v>40962</v>
      </c>
      <c r="D5792" s="4" t="s">
        <v>63</v>
      </c>
      <c r="E5792" s="4">
        <v>29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spans="1:21" ht="12" customHeight="1">
      <c r="A5793" s="4">
        <v>6060</v>
      </c>
      <c r="B5793" s="4">
        <v>42945</v>
      </c>
      <c r="C5793" s="5">
        <f>DATE(2012,12,31)-2</f>
        <v>41272</v>
      </c>
      <c r="D5793" s="4" t="s">
        <v>45</v>
      </c>
      <c r="E5793" s="4">
        <v>45</v>
      </c>
      <c r="F5793" s="4">
        <v>178.7</v>
      </c>
      <c r="G5793" s="4">
        <v>7.0000000000000007E-2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spans="1:21" ht="12" customHeight="1">
      <c r="A5794" s="4">
        <v>6072</v>
      </c>
      <c r="B5794" s="4">
        <v>43013</v>
      </c>
      <c r="C5794" s="5">
        <f>DATE(2012,12,31)-619</f>
        <v>40655</v>
      </c>
      <c r="D5794" s="4" t="s">
        <v>21</v>
      </c>
      <c r="E5794" s="4">
        <v>50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0.55000000000000004</v>
      </c>
      <c r="U5794" s="5">
        <f>C5794+4</f>
        <v>40659</v>
      </c>
    </row>
    <row r="5795" spans="1:21" ht="12" customHeight="1">
      <c r="A5795" s="4">
        <v>6081</v>
      </c>
      <c r="B5795" s="4">
        <v>43104</v>
      </c>
      <c r="C5795" s="5">
        <f>DATE(2012,12,31)-64</f>
        <v>41210</v>
      </c>
      <c r="D5795" s="4" t="s">
        <v>30</v>
      </c>
      <c r="E5795" s="4">
        <v>50</v>
      </c>
      <c r="F5795" s="4">
        <v>4648.5200000000004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spans="1:21" ht="12" customHeight="1">
      <c r="A5796" s="4">
        <v>6337</v>
      </c>
      <c r="B5796" s="4">
        <v>44935</v>
      </c>
      <c r="C5796" s="5">
        <f t="shared" ref="C5796:C5797" si="2438">DATE(2012,12,31)-775</f>
        <v>40499</v>
      </c>
      <c r="D5796" s="4" t="s">
        <v>30</v>
      </c>
      <c r="E5796" s="4">
        <v>39</v>
      </c>
      <c r="F5796" s="4">
        <v>9362.73</v>
      </c>
      <c r="G5796" s="4">
        <v>0</v>
      </c>
      <c r="H5796" s="4" t="s">
        <v>22</v>
      </c>
      <c r="I5796" s="6">
        <v>2766.29</v>
      </c>
      <c r="J5796" s="4">
        <v>232.58</v>
      </c>
      <c r="K5796" s="4">
        <v>19.989999999999998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39">C5796+1</f>
        <v>40500</v>
      </c>
    </row>
    <row r="5797" spans="1:21" ht="12" customHeight="1">
      <c r="A5797" s="4">
        <v>6338</v>
      </c>
      <c r="B5797" s="4">
        <v>44935</v>
      </c>
      <c r="C5797" s="5">
        <f t="shared" si="2438"/>
        <v>40499</v>
      </c>
      <c r="D5797" s="4" t="s">
        <v>30</v>
      </c>
      <c r="E5797" s="4">
        <v>37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39"/>
        <v>40500</v>
      </c>
    </row>
    <row r="5798" spans="1:21" ht="12" customHeight="1">
      <c r="A5798" s="4">
        <v>6460</v>
      </c>
      <c r="B5798" s="4">
        <v>45989</v>
      </c>
      <c r="C5798" s="5">
        <f>DATE(2012,12,31)-861</f>
        <v>40413</v>
      </c>
      <c r="D5798" s="4" t="s">
        <v>30</v>
      </c>
      <c r="E5798" s="4">
        <v>26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0">C5798+0</f>
        <v>40413</v>
      </c>
    </row>
    <row r="5799" spans="1:21" ht="12" customHeight="1">
      <c r="A5799" s="4">
        <v>6963</v>
      </c>
      <c r="B5799" s="4">
        <v>49767</v>
      </c>
      <c r="C5799" s="5">
        <f t="shared" ref="C5799:C5801" si="2441">DATE(2012,12,31)-784</f>
        <v>40490</v>
      </c>
      <c r="D5799" s="4" t="s">
        <v>78</v>
      </c>
      <c r="E5799" s="4">
        <v>43</v>
      </c>
      <c r="F5799" s="4">
        <v>634.38</v>
      </c>
      <c r="G5799" s="4">
        <v>0.09</v>
      </c>
      <c r="H5799" s="4" t="s">
        <v>22</v>
      </c>
      <c r="I5799" s="6">
        <v>272.39999999999998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0"/>
        <v>40490</v>
      </c>
    </row>
    <row r="5800" spans="1:21" ht="12" customHeight="1">
      <c r="A5800" s="4">
        <v>6964</v>
      </c>
      <c r="B5800" s="4">
        <v>49767</v>
      </c>
      <c r="C5800" s="5">
        <f t="shared" si="2441"/>
        <v>40490</v>
      </c>
      <c r="D5800" s="4" t="s">
        <v>78</v>
      </c>
      <c r="E5800" s="4">
        <v>39</v>
      </c>
      <c r="F5800" s="4">
        <v>5196.1899999999996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spans="1:21" ht="12" customHeight="1">
      <c r="A5801" s="4">
        <v>6965</v>
      </c>
      <c r="B5801" s="4">
        <v>49767</v>
      </c>
      <c r="C5801" s="5">
        <f t="shared" si="2441"/>
        <v>40490</v>
      </c>
      <c r="D5801" s="4" t="s">
        <v>78</v>
      </c>
      <c r="E5801" s="4">
        <v>7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2">C5801+2</f>
        <v>40492</v>
      </c>
    </row>
    <row r="5802" spans="1:21" ht="12" customHeight="1">
      <c r="A5802" s="4">
        <v>7181</v>
      </c>
      <c r="B5802" s="4">
        <v>51239</v>
      </c>
      <c r="C5802" s="5">
        <f>DATE(2012,12,31)-312</f>
        <v>40962</v>
      </c>
      <c r="D5802" s="4" t="s">
        <v>21</v>
      </c>
      <c r="E5802" s="4">
        <v>48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0.56000000000000005</v>
      </c>
      <c r="U5802" s="5">
        <f t="shared" si="2442"/>
        <v>40964</v>
      </c>
    </row>
    <row r="5803" spans="1:21" ht="12" customHeight="1">
      <c r="A5803" s="4">
        <v>7187</v>
      </c>
      <c r="B5803" s="4">
        <v>51269</v>
      </c>
      <c r="C5803" s="5">
        <f t="shared" ref="C5803:C5804" si="2443">DATE(2012,12,31)-354</f>
        <v>40920</v>
      </c>
      <c r="D5803" s="4" t="s">
        <v>30</v>
      </c>
      <c r="E5803" s="4">
        <v>2</v>
      </c>
      <c r="F5803" s="4">
        <v>21.07</v>
      </c>
      <c r="G5803" s="4">
        <v>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4">C5803+1</f>
        <v>40921</v>
      </c>
    </row>
    <row r="5804" spans="1:21" ht="12" customHeight="1">
      <c r="A5804" s="4">
        <v>7188</v>
      </c>
      <c r="B5804" s="4">
        <v>51269</v>
      </c>
      <c r="C5804" s="5">
        <f t="shared" si="2443"/>
        <v>40920</v>
      </c>
      <c r="D5804" s="4" t="s">
        <v>78</v>
      </c>
      <c r="E5804" s="4">
        <v>20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4"/>
        <v>40921</v>
      </c>
    </row>
    <row r="5805" spans="1:21" ht="12" customHeight="1">
      <c r="A5805" s="4">
        <v>7560</v>
      </c>
      <c r="B5805" s="4">
        <v>54084</v>
      </c>
      <c r="C5805" s="5">
        <f>DATE(2012,12,31)-478</f>
        <v>40796</v>
      </c>
      <c r="D5805" s="4" t="s">
        <v>78</v>
      </c>
      <c r="E5805" s="4">
        <v>3</v>
      </c>
      <c r="F5805" s="4">
        <v>160.52000000000001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0.56000000000000005</v>
      </c>
      <c r="U5805" s="5">
        <f>C5805+2</f>
        <v>40798</v>
      </c>
    </row>
    <row r="5806" spans="1:21" ht="12" customHeight="1">
      <c r="A5806" s="4">
        <v>7588</v>
      </c>
      <c r="B5806" s="4">
        <v>54307</v>
      </c>
      <c r="C5806" s="5">
        <f t="shared" ref="C5806:C5807" si="2445">DATE(2012,12,31)-358</f>
        <v>40916</v>
      </c>
      <c r="D5806" s="4" t="s">
        <v>30</v>
      </c>
      <c r="E5806" s="4">
        <v>15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0.57999999999999996</v>
      </c>
      <c r="U5806" s="5">
        <f t="shared" ref="U5806:U5808" si="2446">C5806+1</f>
        <v>40917</v>
      </c>
    </row>
    <row r="5807" spans="1:21" ht="12" customHeight="1">
      <c r="A5807" s="4">
        <v>7589</v>
      </c>
      <c r="B5807" s="4">
        <v>54307</v>
      </c>
      <c r="C5807" s="5">
        <f t="shared" si="2445"/>
        <v>40916</v>
      </c>
      <c r="D5807" s="4" t="s">
        <v>30</v>
      </c>
      <c r="E5807" s="4">
        <v>14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6"/>
        <v>40917</v>
      </c>
    </row>
    <row r="5808" spans="1:21" ht="12" customHeight="1">
      <c r="A5808" s="4">
        <v>7675</v>
      </c>
      <c r="B5808" s="4">
        <v>55014</v>
      </c>
      <c r="C5808" s="5">
        <f>DATE(2012,12,31)-791</f>
        <v>40483</v>
      </c>
      <c r="D5808" s="4" t="s">
        <v>30</v>
      </c>
      <c r="E5808" s="4">
        <v>38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0.56000000000000005</v>
      </c>
      <c r="U5808" s="5">
        <f t="shared" si="2446"/>
        <v>40484</v>
      </c>
    </row>
    <row r="5809" spans="1:21" ht="12" customHeight="1">
      <c r="A5809" s="4">
        <v>7805</v>
      </c>
      <c r="B5809" s="4">
        <v>55845</v>
      </c>
      <c r="C5809" s="5">
        <f>DATE(2012,12,31)-529</f>
        <v>40745</v>
      </c>
      <c r="D5809" s="4" t="s">
        <v>21</v>
      </c>
      <c r="E5809" s="4">
        <v>29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150.97999999999999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spans="1:21" ht="12" customHeight="1">
      <c r="A5810" s="4">
        <v>7982</v>
      </c>
      <c r="B5810" s="4">
        <v>57063</v>
      </c>
      <c r="C5810" s="5">
        <f t="shared" ref="C5810:C5811" si="2447">DATE(2012,12,31)-578</f>
        <v>40696</v>
      </c>
      <c r="D5810" s="4" t="s">
        <v>63</v>
      </c>
      <c r="E5810" s="4">
        <v>26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spans="1:21" ht="12" customHeight="1">
      <c r="A5811" s="4">
        <v>7983</v>
      </c>
      <c r="B5811" s="4">
        <v>57063</v>
      </c>
      <c r="C5811" s="5">
        <f t="shared" si="2447"/>
        <v>40696</v>
      </c>
      <c r="D5811" s="4" t="s">
        <v>63</v>
      </c>
      <c r="E5811" s="4">
        <v>22</v>
      </c>
      <c r="F5811" s="4">
        <v>41.18</v>
      </c>
      <c r="G5811" s="4">
        <v>7.0000000000000007E-2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spans="1:21" ht="12" customHeight="1">
      <c r="A5812" s="4">
        <v>7986</v>
      </c>
      <c r="B5812" s="4">
        <v>57093</v>
      </c>
      <c r="C5812" s="5">
        <f t="shared" ref="C5812:C5813" si="2448">DATE(2012,12,31)-243</f>
        <v>41031</v>
      </c>
      <c r="D5812" s="4" t="s">
        <v>21</v>
      </c>
      <c r="E5812" s="4">
        <v>3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49">C5812+7</f>
        <v>41038</v>
      </c>
    </row>
    <row r="5813" spans="1:21" ht="12" customHeight="1">
      <c r="A5813" s="4">
        <v>7987</v>
      </c>
      <c r="B5813" s="4">
        <v>57093</v>
      </c>
      <c r="C5813" s="5">
        <f t="shared" si="2448"/>
        <v>41031</v>
      </c>
      <c r="D5813" s="4" t="s">
        <v>21</v>
      </c>
      <c r="E5813" s="4">
        <v>47</v>
      </c>
      <c r="F5813" s="4">
        <v>744.64</v>
      </c>
      <c r="G5813" s="4">
        <v>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49"/>
        <v>41038</v>
      </c>
    </row>
    <row r="5814" spans="1:21" ht="12" customHeight="1">
      <c r="A5814" s="4">
        <v>8304</v>
      </c>
      <c r="B5814" s="4">
        <v>59329</v>
      </c>
      <c r="C5814" s="5">
        <f t="shared" ref="C5814:C5817" si="2450">DATE(2012,12,31)-27</f>
        <v>41247</v>
      </c>
      <c r="D5814" s="4" t="s">
        <v>78</v>
      </c>
      <c r="E5814" s="4">
        <v>35</v>
      </c>
      <c r="F5814" s="4">
        <v>128.12</v>
      </c>
      <c r="G5814" s="4">
        <v>0.08</v>
      </c>
      <c r="H5814" s="4" t="s">
        <v>22</v>
      </c>
      <c r="I5814" s="6">
        <v>-135.59649999999999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spans="1:21" ht="12" customHeight="1">
      <c r="A5815" s="4">
        <v>8305</v>
      </c>
      <c r="B5815" s="4">
        <v>59329</v>
      </c>
      <c r="C5815" s="5">
        <f t="shared" si="2450"/>
        <v>41247</v>
      </c>
      <c r="D5815" s="4" t="s">
        <v>78</v>
      </c>
      <c r="E5815" s="4">
        <v>25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spans="1:21" ht="12" customHeight="1">
      <c r="A5816" s="4">
        <v>8306</v>
      </c>
      <c r="B5816" s="4">
        <v>59329</v>
      </c>
      <c r="C5816" s="5">
        <f t="shared" si="2450"/>
        <v>41247</v>
      </c>
      <c r="D5816" s="4" t="s">
        <v>78</v>
      </c>
      <c r="E5816" s="4">
        <v>41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4.8600000000000003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spans="1:21" ht="12" customHeight="1">
      <c r="A5817" s="4">
        <v>8307</v>
      </c>
      <c r="B5817" s="4">
        <v>59329</v>
      </c>
      <c r="C5817" s="5">
        <f t="shared" si="2450"/>
        <v>41247</v>
      </c>
      <c r="D5817" s="4" t="s">
        <v>78</v>
      </c>
      <c r="E5817" s="4">
        <v>41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4.9800000000000004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spans="1:21" ht="12" customHeight="1">
      <c r="A5818" s="4">
        <v>9</v>
      </c>
      <c r="B5818" s="4">
        <v>36</v>
      </c>
      <c r="C5818" s="5">
        <f>DATE(2012,12,31)-425</f>
        <v>40849</v>
      </c>
      <c r="D5818" s="4" t="s">
        <v>78</v>
      </c>
      <c r="E5818" s="4">
        <v>46</v>
      </c>
      <c r="F5818" s="4">
        <v>2484.7455</v>
      </c>
      <c r="G5818" s="4">
        <v>0.1</v>
      </c>
      <c r="H5818" s="4" t="s">
        <v>22</v>
      </c>
      <c r="I5818" s="6">
        <v>657.47699999999998</v>
      </c>
      <c r="J5818" s="4">
        <v>65.989999999999995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0.55000000000000004</v>
      </c>
      <c r="U5818" s="5">
        <f>C5818+0</f>
        <v>40849</v>
      </c>
    </row>
    <row r="5819" spans="1:21" ht="12" customHeight="1">
      <c r="A5819" s="4">
        <v>28</v>
      </c>
      <c r="B5819" s="4">
        <v>194</v>
      </c>
      <c r="C5819" s="5">
        <f t="shared" ref="C5819:C5820" si="2451">DATE(2012,12,31)-271</f>
        <v>41003</v>
      </c>
      <c r="D5819" s="4" t="s">
        <v>63</v>
      </c>
      <c r="E5819" s="4">
        <v>49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2">C5819+2</f>
        <v>41005</v>
      </c>
    </row>
    <row r="5820" spans="1:21" ht="12" customHeight="1">
      <c r="A5820" s="4">
        <v>29</v>
      </c>
      <c r="B5820" s="4">
        <v>194</v>
      </c>
      <c r="C5820" s="5">
        <f t="shared" si="2451"/>
        <v>41003</v>
      </c>
      <c r="D5820" s="4" t="s">
        <v>63</v>
      </c>
      <c r="E5820" s="4">
        <v>6</v>
      </c>
      <c r="F5820" s="4">
        <v>20.190000000000001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2"/>
        <v>41005</v>
      </c>
    </row>
    <row r="5821" spans="1:21" ht="12" customHeight="1">
      <c r="A5821" s="4">
        <v>65</v>
      </c>
      <c r="B5821" s="4">
        <v>384</v>
      </c>
      <c r="C5821" s="5">
        <f>DATE(2012,12,31)-304</f>
        <v>40970</v>
      </c>
      <c r="D5821" s="4" t="s">
        <v>21</v>
      </c>
      <c r="E5821" s="4">
        <v>50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146.05000000000001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spans="1:21" ht="12" customHeight="1">
      <c r="A5822" s="4">
        <v>120</v>
      </c>
      <c r="B5822" s="4">
        <v>774</v>
      </c>
      <c r="C5822" s="5">
        <f>DATE(2012,12,31)-394</f>
        <v>40880</v>
      </c>
      <c r="D5822" s="4" t="s">
        <v>78</v>
      </c>
      <c r="E5822" s="4">
        <v>17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4.4800000000000004</v>
      </c>
      <c r="K5822" s="4">
        <v>49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3">C5822+2</f>
        <v>40882</v>
      </c>
    </row>
    <row r="5823" spans="1:21" ht="12" customHeight="1">
      <c r="A5823" s="4">
        <v>163</v>
      </c>
      <c r="B5823" s="4">
        <v>1027</v>
      </c>
      <c r="C5823" s="5">
        <f>DATE(2012,12,31)-212</f>
        <v>41062</v>
      </c>
      <c r="D5823" s="4" t="s">
        <v>63</v>
      </c>
      <c r="E5823" s="4">
        <v>19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0.56000000000000005</v>
      </c>
      <c r="U5823" s="5">
        <f t="shared" si="2453"/>
        <v>41064</v>
      </c>
    </row>
    <row r="5824" spans="1:21" ht="12" customHeight="1">
      <c r="A5824" s="4">
        <v>171</v>
      </c>
      <c r="B5824" s="4">
        <v>1060</v>
      </c>
      <c r="C5824" s="5">
        <f>DATE(2012,12,31)-1045</f>
        <v>40229</v>
      </c>
      <c r="D5824" s="4" t="s">
        <v>63</v>
      </c>
      <c r="E5824" s="4">
        <v>30</v>
      </c>
      <c r="F5824" s="4">
        <v>1187.55</v>
      </c>
      <c r="G5824" s="4">
        <v>0</v>
      </c>
      <c r="H5824" s="4" t="s">
        <v>22</v>
      </c>
      <c r="I5824" s="6">
        <v>532.61</v>
      </c>
      <c r="J5824" s="4">
        <v>37.700000000000003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3"/>
        <v>40231</v>
      </c>
    </row>
    <row r="5825" spans="1:21" ht="12" customHeight="1">
      <c r="A5825" s="4">
        <v>190</v>
      </c>
      <c r="B5825" s="4">
        <v>1280</v>
      </c>
      <c r="C5825" s="5">
        <f>DATE(2012,12,31)-1086</f>
        <v>40188</v>
      </c>
      <c r="D5825" s="4" t="s">
        <v>21</v>
      </c>
      <c r="E5825" s="4">
        <v>40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spans="1:21" ht="12" customHeight="1">
      <c r="A5826" s="4">
        <v>254</v>
      </c>
      <c r="B5826" s="4">
        <v>1764</v>
      </c>
      <c r="C5826" s="5">
        <f>DATE(2012,12,31)-282</f>
        <v>40992</v>
      </c>
      <c r="D5826" s="4" t="s">
        <v>78</v>
      </c>
      <c r="E5826" s="4">
        <v>7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spans="1:21" ht="12" customHeight="1">
      <c r="A5827" s="4">
        <v>358</v>
      </c>
      <c r="B5827" s="4">
        <v>2503</v>
      </c>
      <c r="C5827" s="5">
        <f t="shared" ref="C5827:C5829" si="2454">DATE(2012,12,31)-926</f>
        <v>40348</v>
      </c>
      <c r="D5827" s="4" t="s">
        <v>63</v>
      </c>
      <c r="E5827" s="4">
        <v>21</v>
      </c>
      <c r="F5827" s="4">
        <v>91.15</v>
      </c>
      <c r="G5827" s="4">
        <v>0.03</v>
      </c>
      <c r="H5827" s="4" t="s">
        <v>22</v>
      </c>
      <c r="I5827" s="6">
        <v>-71.541499999999999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5">C5827+1</f>
        <v>40349</v>
      </c>
    </row>
    <row r="5828" spans="1:21" ht="12" customHeight="1">
      <c r="A5828" s="4">
        <v>359</v>
      </c>
      <c r="B5828" s="4">
        <v>2503</v>
      </c>
      <c r="C5828" s="5">
        <f t="shared" si="2454"/>
        <v>40348</v>
      </c>
      <c r="D5828" s="4" t="s">
        <v>63</v>
      </c>
      <c r="E5828" s="4">
        <v>46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5"/>
        <v>40349</v>
      </c>
    </row>
    <row r="5829" spans="1:21" ht="12" customHeight="1">
      <c r="A5829" s="4">
        <v>360</v>
      </c>
      <c r="B5829" s="4">
        <v>2503</v>
      </c>
      <c r="C5829" s="5">
        <f t="shared" si="2454"/>
        <v>40348</v>
      </c>
      <c r="D5829" s="4" t="s">
        <v>63</v>
      </c>
      <c r="E5829" s="4">
        <v>9</v>
      </c>
      <c r="F5829" s="4">
        <v>162.15450000000001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4.8099999999999996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0.57999999999999996</v>
      </c>
      <c r="U5829" s="5">
        <f t="shared" ref="U5829:U5830" si="2456">C5829+2</f>
        <v>40350</v>
      </c>
    </row>
    <row r="5830" spans="1:21" ht="12" customHeight="1">
      <c r="A5830" s="4">
        <v>595</v>
      </c>
      <c r="B5830" s="4">
        <v>4069</v>
      </c>
      <c r="C5830" s="5">
        <f t="shared" ref="C5830:C5832" si="2457">DATE(2012,12,31)-233</f>
        <v>41041</v>
      </c>
      <c r="D5830" s="4" t="s">
        <v>63</v>
      </c>
      <c r="E5830" s="4">
        <v>8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6"/>
        <v>41043</v>
      </c>
    </row>
    <row r="5831" spans="1:21" ht="12" customHeight="1">
      <c r="A5831" s="4">
        <v>596</v>
      </c>
      <c r="B5831" s="4">
        <v>4069</v>
      </c>
      <c r="C5831" s="5">
        <f t="shared" si="2457"/>
        <v>41041</v>
      </c>
      <c r="D5831" s="4" t="s">
        <v>63</v>
      </c>
      <c r="E5831" s="4">
        <v>47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spans="1:21" ht="12" customHeight="1">
      <c r="A5832" s="4">
        <v>597</v>
      </c>
      <c r="B5832" s="4">
        <v>4069</v>
      </c>
      <c r="C5832" s="5">
        <f t="shared" si="2457"/>
        <v>41041</v>
      </c>
      <c r="D5832" s="4" t="s">
        <v>63</v>
      </c>
      <c r="E5832" s="4">
        <v>30</v>
      </c>
      <c r="F5832" s="4">
        <v>78.459999999999994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spans="1:21" ht="12" customHeight="1">
      <c r="A5833" s="4">
        <v>811</v>
      </c>
      <c r="B5833" s="4">
        <v>5858</v>
      </c>
      <c r="C5833" s="5">
        <f t="shared" ref="C5833:C5834" si="2458">DATE(2012,12,31)-171</f>
        <v>41103</v>
      </c>
      <c r="D5833" s="4" t="s">
        <v>45</v>
      </c>
      <c r="E5833" s="4">
        <v>48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0.57999999999999996</v>
      </c>
      <c r="U5833" s="5">
        <f t="shared" ref="U5833:U5835" si="2459">C5833+2</f>
        <v>41105</v>
      </c>
    </row>
    <row r="5834" spans="1:21" ht="12" customHeight="1">
      <c r="A5834" s="4">
        <v>812</v>
      </c>
      <c r="B5834" s="4">
        <v>5858</v>
      </c>
      <c r="C5834" s="5">
        <f t="shared" si="2458"/>
        <v>41103</v>
      </c>
      <c r="D5834" s="4" t="s">
        <v>45</v>
      </c>
      <c r="E5834" s="4">
        <v>29</v>
      </c>
      <c r="F5834" s="4">
        <v>5382.3104999999996</v>
      </c>
      <c r="G5834" s="4">
        <v>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0.57999999999999996</v>
      </c>
      <c r="U5834" s="5">
        <f t="shared" si="2459"/>
        <v>41105</v>
      </c>
    </row>
    <row r="5835" spans="1:21" ht="12" customHeight="1">
      <c r="A5835" s="4">
        <v>877</v>
      </c>
      <c r="B5835" s="4">
        <v>6304</v>
      </c>
      <c r="C5835" s="5">
        <f>DATE(2012,12,31)-508</f>
        <v>40766</v>
      </c>
      <c r="D5835" s="4" t="s">
        <v>30</v>
      </c>
      <c r="E5835" s="4">
        <v>30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59"/>
        <v>40768</v>
      </c>
    </row>
    <row r="5836" spans="1:21" ht="12" customHeight="1">
      <c r="A5836" s="4">
        <v>923</v>
      </c>
      <c r="B5836" s="4">
        <v>6661</v>
      </c>
      <c r="C5836" s="5">
        <f t="shared" ref="C5836:C5837" si="2460">DATE(2012,12,31)-990</f>
        <v>40284</v>
      </c>
      <c r="D5836" s="4" t="s">
        <v>21</v>
      </c>
      <c r="E5836" s="4">
        <v>47</v>
      </c>
      <c r="F5836" s="4">
        <v>19224.919999999998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spans="1:21" ht="12" customHeight="1">
      <c r="A5837" s="4">
        <v>924</v>
      </c>
      <c r="B5837" s="4">
        <v>6661</v>
      </c>
      <c r="C5837" s="5">
        <f t="shared" si="2460"/>
        <v>40284</v>
      </c>
      <c r="D5837" s="4" t="s">
        <v>21</v>
      </c>
      <c r="E5837" s="4">
        <v>39</v>
      </c>
      <c r="F5837" s="4">
        <v>778.62</v>
      </c>
      <c r="G5837" s="4">
        <v>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spans="1:21" ht="12" customHeight="1">
      <c r="A5838" s="4">
        <v>934</v>
      </c>
      <c r="B5838" s="4">
        <v>6757</v>
      </c>
      <c r="C5838" s="5">
        <f t="shared" ref="C5838:C5839" si="2461">DATE(2012,12,31)-334</f>
        <v>40940</v>
      </c>
      <c r="D5838" s="4" t="s">
        <v>63</v>
      </c>
      <c r="E5838" s="4">
        <v>27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8.2200000000000006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0.56999999999999995</v>
      </c>
      <c r="U5838" s="5">
        <f>C5838+2</f>
        <v>40942</v>
      </c>
    </row>
    <row r="5839" spans="1:21" ht="12" customHeight="1">
      <c r="A5839" s="4">
        <v>935</v>
      </c>
      <c r="B5839" s="4">
        <v>6757</v>
      </c>
      <c r="C5839" s="5">
        <f t="shared" si="2461"/>
        <v>40940</v>
      </c>
      <c r="D5839" s="4" t="s">
        <v>63</v>
      </c>
      <c r="E5839" s="4">
        <v>11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286.85000000000002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spans="1:21" ht="12" customHeight="1">
      <c r="A5840" s="4">
        <v>1071</v>
      </c>
      <c r="B5840" s="4">
        <v>7904</v>
      </c>
      <c r="C5840" s="5">
        <f>DATE(2012,12,31)-949</f>
        <v>40325</v>
      </c>
      <c r="D5840" s="4" t="s">
        <v>21</v>
      </c>
      <c r="E5840" s="4">
        <v>47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spans="1:21" ht="12" customHeight="1">
      <c r="A5841" s="4">
        <v>1271</v>
      </c>
      <c r="B5841" s="4">
        <v>9249</v>
      </c>
      <c r="C5841" s="5">
        <f t="shared" ref="C5841:C5843" si="2462">DATE(2012,12,31)-957</f>
        <v>40317</v>
      </c>
      <c r="D5841" s="4" t="s">
        <v>30</v>
      </c>
      <c r="E5841" s="4">
        <v>46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3">C5841+1</f>
        <v>40318</v>
      </c>
    </row>
    <row r="5842" spans="1:21" ht="12" customHeight="1">
      <c r="A5842" s="4">
        <v>1272</v>
      </c>
      <c r="B5842" s="4">
        <v>9249</v>
      </c>
      <c r="C5842" s="5">
        <f t="shared" si="2462"/>
        <v>40317</v>
      </c>
      <c r="D5842" s="4" t="s">
        <v>30</v>
      </c>
      <c r="E5842" s="4">
        <v>42</v>
      </c>
      <c r="F5842" s="4">
        <v>1546.8</v>
      </c>
      <c r="G5842" s="4">
        <v>7.0000000000000007E-2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0.56999999999999995</v>
      </c>
      <c r="U5842" s="5">
        <f t="shared" si="2463"/>
        <v>40318</v>
      </c>
    </row>
    <row r="5843" spans="1:21" ht="12" customHeight="1">
      <c r="A5843" s="4">
        <v>1273</v>
      </c>
      <c r="B5843" s="4">
        <v>9249</v>
      </c>
      <c r="C5843" s="5">
        <f t="shared" si="2462"/>
        <v>40317</v>
      </c>
      <c r="D5843" s="4" t="s">
        <v>30</v>
      </c>
      <c r="E5843" s="4">
        <v>35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4">C5843+2</f>
        <v>40319</v>
      </c>
    </row>
    <row r="5844" spans="1:21" ht="12" customHeight="1">
      <c r="A5844" s="4">
        <v>1318</v>
      </c>
      <c r="B5844" s="4">
        <v>9639</v>
      </c>
      <c r="C5844" s="5">
        <f t="shared" ref="C5844:C5846" si="2465">DATE(2012,12,31)-848</f>
        <v>40426</v>
      </c>
      <c r="D5844" s="4" t="s">
        <v>45</v>
      </c>
      <c r="E5844" s="4">
        <v>47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4"/>
        <v>40428</v>
      </c>
    </row>
    <row r="5845" spans="1:21" ht="12" customHeight="1">
      <c r="A5845" s="4">
        <v>1319</v>
      </c>
      <c r="B5845" s="4">
        <v>9639</v>
      </c>
      <c r="C5845" s="5">
        <f t="shared" si="2465"/>
        <v>40426</v>
      </c>
      <c r="D5845" s="4" t="s">
        <v>45</v>
      </c>
      <c r="E5845" s="4">
        <v>11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6">C5845+0</f>
        <v>40426</v>
      </c>
    </row>
    <row r="5846" spans="1:21" ht="12" customHeight="1">
      <c r="A5846" s="4">
        <v>1320</v>
      </c>
      <c r="B5846" s="4">
        <v>9639</v>
      </c>
      <c r="C5846" s="5">
        <f t="shared" si="2465"/>
        <v>40426</v>
      </c>
      <c r="D5846" s="4" t="s">
        <v>45</v>
      </c>
      <c r="E5846" s="4">
        <v>23</v>
      </c>
      <c r="F5846" s="4">
        <v>2610.8939999999998</v>
      </c>
      <c r="G5846" s="4">
        <v>0</v>
      </c>
      <c r="H5846" s="4" t="s">
        <v>22</v>
      </c>
      <c r="I5846" s="6">
        <v>516.18599999999992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6"/>
        <v>40426</v>
      </c>
    </row>
    <row r="5847" spans="1:21" ht="12" customHeight="1">
      <c r="A5847" s="4">
        <v>1328</v>
      </c>
      <c r="B5847" s="4">
        <v>9696</v>
      </c>
      <c r="C5847" s="5">
        <f t="shared" ref="C5847:C5848" si="2467">DATE(2012,12,31)-681</f>
        <v>40593</v>
      </c>
      <c r="D5847" s="4" t="s">
        <v>45</v>
      </c>
      <c r="E5847" s="4">
        <v>15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8">C5847+2</f>
        <v>40595</v>
      </c>
    </row>
    <row r="5848" spans="1:21" ht="12" customHeight="1">
      <c r="A5848" s="4">
        <v>1329</v>
      </c>
      <c r="B5848" s="4">
        <v>9696</v>
      </c>
      <c r="C5848" s="5">
        <f t="shared" si="2467"/>
        <v>40593</v>
      </c>
      <c r="D5848" s="4" t="s">
        <v>45</v>
      </c>
      <c r="E5848" s="4">
        <v>13</v>
      </c>
      <c r="F5848" s="4">
        <v>3335.27</v>
      </c>
      <c r="G5848" s="4">
        <v>0.03</v>
      </c>
      <c r="H5848" s="4" t="s">
        <v>31</v>
      </c>
      <c r="I5848" s="6">
        <v>539.69000000000005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0.55000000000000004</v>
      </c>
      <c r="U5848" s="5">
        <f t="shared" si="2468"/>
        <v>40595</v>
      </c>
    </row>
    <row r="5849" spans="1:21" ht="12" customHeight="1">
      <c r="A5849" s="4">
        <v>1508</v>
      </c>
      <c r="B5849" s="4">
        <v>10913</v>
      </c>
      <c r="C5849" s="5">
        <f>DATE(2012,12,31)-1059</f>
        <v>40215</v>
      </c>
      <c r="D5849" s="4" t="s">
        <v>21</v>
      </c>
      <c r="E5849" s="4">
        <v>27</v>
      </c>
      <c r="F5849" s="4">
        <v>5149.0600000000004</v>
      </c>
      <c r="G5849" s="4">
        <v>0.03</v>
      </c>
      <c r="H5849" s="4" t="s">
        <v>31</v>
      </c>
      <c r="I5849" s="6">
        <v>605.44000000000005</v>
      </c>
      <c r="J5849" s="4">
        <v>180.98</v>
      </c>
      <c r="K5849" s="4">
        <v>30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spans="1:21" ht="12" customHeight="1">
      <c r="A5850" s="4">
        <v>1520</v>
      </c>
      <c r="B5850" s="4">
        <v>10981</v>
      </c>
      <c r="C5850" s="5">
        <f t="shared" ref="C5850:C5851" si="2469">DATE(2012,12,31)-962</f>
        <v>40312</v>
      </c>
      <c r="D5850" s="4" t="s">
        <v>30</v>
      </c>
      <c r="E5850" s="4">
        <v>41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0">C5850+2</f>
        <v>40314</v>
      </c>
    </row>
    <row r="5851" spans="1:21" ht="12" customHeight="1">
      <c r="A5851" s="4">
        <v>1521</v>
      </c>
      <c r="B5851" s="4">
        <v>10981</v>
      </c>
      <c r="C5851" s="5">
        <f t="shared" si="2469"/>
        <v>40312</v>
      </c>
      <c r="D5851" s="4" t="s">
        <v>30</v>
      </c>
      <c r="E5851" s="4">
        <v>33</v>
      </c>
      <c r="F5851" s="4">
        <v>3630.1460000000002</v>
      </c>
      <c r="G5851" s="4">
        <v>0.04</v>
      </c>
      <c r="H5851" s="4" t="s">
        <v>22</v>
      </c>
      <c r="I5851" s="6">
        <v>951.67800000000011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0.55000000000000004</v>
      </c>
      <c r="U5851" s="5">
        <f t="shared" si="2470"/>
        <v>40314</v>
      </c>
    </row>
    <row r="5852" spans="1:21" ht="12" customHeight="1">
      <c r="A5852" s="4">
        <v>1773</v>
      </c>
      <c r="B5852" s="4">
        <v>12707</v>
      </c>
      <c r="C5852" s="5">
        <f>DATE(2012,12,31)-947</f>
        <v>40327</v>
      </c>
      <c r="D5852" s="4" t="s">
        <v>30</v>
      </c>
      <c r="E5852" s="4">
        <v>20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0"/>
        <v>40329</v>
      </c>
    </row>
    <row r="5853" spans="1:21" ht="12" customHeight="1">
      <c r="A5853" s="4">
        <v>1931</v>
      </c>
      <c r="B5853" s="4">
        <v>13799</v>
      </c>
      <c r="C5853" s="5">
        <f>DATE(2012,12,31)-761</f>
        <v>40513</v>
      </c>
      <c r="D5853" s="4" t="s">
        <v>78</v>
      </c>
      <c r="E5853" s="4">
        <v>5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0"/>
        <v>40515</v>
      </c>
    </row>
    <row r="5854" spans="1:21" ht="12" customHeight="1">
      <c r="A5854" s="4">
        <v>1959</v>
      </c>
      <c r="B5854" s="4">
        <v>14016</v>
      </c>
      <c r="C5854" s="5">
        <f>DATE(2012,12,31)-173</f>
        <v>41101</v>
      </c>
      <c r="D5854" s="4" t="s">
        <v>21</v>
      </c>
      <c r="E5854" s="4">
        <v>9</v>
      </c>
      <c r="F5854" s="4">
        <v>1137.6199999999999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0"/>
        <v>41103</v>
      </c>
    </row>
    <row r="5855" spans="1:21" ht="12" customHeight="1">
      <c r="A5855" s="4">
        <v>2044</v>
      </c>
      <c r="B5855" s="4">
        <v>14563</v>
      </c>
      <c r="C5855" s="5">
        <f>DATE(2012,12,31)-395</f>
        <v>40879</v>
      </c>
      <c r="D5855" s="4" t="s">
        <v>78</v>
      </c>
      <c r="E5855" s="4">
        <v>31</v>
      </c>
      <c r="F5855" s="4">
        <v>953.04549999999995</v>
      </c>
      <c r="G5855" s="4">
        <v>0.02</v>
      </c>
      <c r="H5855" s="4" t="s">
        <v>22</v>
      </c>
      <c r="I5855" s="6">
        <v>298.46699999999998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1">C5855+1</f>
        <v>40880</v>
      </c>
    </row>
    <row r="5856" spans="1:21" ht="12" customHeight="1">
      <c r="A5856" s="4">
        <v>2155</v>
      </c>
      <c r="B5856" s="4">
        <v>15428</v>
      </c>
      <c r="C5856" s="5">
        <f t="shared" ref="C5856:C5857" si="2472">DATE(2012,12,31)-691</f>
        <v>40583</v>
      </c>
      <c r="D5856" s="4" t="s">
        <v>78</v>
      </c>
      <c r="E5856" s="4">
        <v>50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1"/>
        <v>40584</v>
      </c>
    </row>
    <row r="5857" spans="1:21" ht="12" customHeight="1">
      <c r="A5857" s="4">
        <v>2156</v>
      </c>
      <c r="B5857" s="4">
        <v>15428</v>
      </c>
      <c r="C5857" s="5">
        <f t="shared" si="2472"/>
        <v>40583</v>
      </c>
      <c r="D5857" s="4" t="s">
        <v>78</v>
      </c>
      <c r="E5857" s="4">
        <v>10</v>
      </c>
      <c r="F5857" s="4">
        <v>941.62149999999997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0.56999999999999995</v>
      </c>
      <c r="U5857" s="5">
        <f>C5857+3</f>
        <v>40586</v>
      </c>
    </row>
    <row r="5858" spans="1:21" ht="12" customHeight="1">
      <c r="A5858" s="4">
        <v>2327</v>
      </c>
      <c r="B5858" s="4">
        <v>16772</v>
      </c>
      <c r="C5858" s="5">
        <f>DATE(2012,12,31)-5</f>
        <v>41269</v>
      </c>
      <c r="D5858" s="4" t="s">
        <v>30</v>
      </c>
      <c r="E5858" s="4">
        <v>38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3">C5858+2</f>
        <v>41271</v>
      </c>
    </row>
    <row r="5859" spans="1:21" ht="12" customHeight="1">
      <c r="A5859" s="4">
        <v>2425</v>
      </c>
      <c r="B5859" s="4">
        <v>17573</v>
      </c>
      <c r="C5859" s="5">
        <f>DATE(2012,12,31)-484</f>
        <v>40790</v>
      </c>
      <c r="D5859" s="4" t="s">
        <v>21</v>
      </c>
      <c r="E5859" s="4">
        <v>47</v>
      </c>
      <c r="F5859" s="4">
        <v>21555.599999999999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3"/>
        <v>40792</v>
      </c>
    </row>
    <row r="5860" spans="1:21" ht="12" customHeight="1">
      <c r="A5860" s="4">
        <v>2527</v>
      </c>
      <c r="B5860" s="4">
        <v>18368</v>
      </c>
      <c r="C5860" s="5">
        <f t="shared" ref="C5860:C5862" si="2474">DATE(2012,12,31)-31</f>
        <v>41243</v>
      </c>
      <c r="D5860" s="4" t="s">
        <v>45</v>
      </c>
      <c r="E5860" s="4">
        <v>3</v>
      </c>
      <c r="F5860" s="4">
        <v>212.91</v>
      </c>
      <c r="G5860" s="4">
        <v>0</v>
      </c>
      <c r="H5860" s="4" t="s">
        <v>22</v>
      </c>
      <c r="I5860" s="6">
        <v>-65.150000000000006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3"/>
        <v>41245</v>
      </c>
    </row>
    <row r="5861" spans="1:21" ht="12" customHeight="1">
      <c r="A5861" s="4">
        <v>2528</v>
      </c>
      <c r="B5861" s="4">
        <v>18368</v>
      </c>
      <c r="C5861" s="5">
        <f t="shared" si="2474"/>
        <v>41243</v>
      </c>
      <c r="D5861" s="4" t="s">
        <v>45</v>
      </c>
      <c r="E5861" s="4">
        <v>35</v>
      </c>
      <c r="F5861" s="4">
        <v>1275.6099999999999</v>
      </c>
      <c r="G5861" s="4">
        <v>0.08</v>
      </c>
      <c r="H5861" s="4" t="s">
        <v>22</v>
      </c>
      <c r="I5861" s="6">
        <v>517.33000000000004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spans="1:21" ht="12" customHeight="1">
      <c r="A5862" s="4">
        <v>2529</v>
      </c>
      <c r="B5862" s="4">
        <v>18368</v>
      </c>
      <c r="C5862" s="5">
        <f t="shared" si="2474"/>
        <v>41243</v>
      </c>
      <c r="D5862" s="4" t="s">
        <v>45</v>
      </c>
      <c r="E5862" s="4">
        <v>3</v>
      </c>
      <c r="F5862" s="4">
        <v>5972.59</v>
      </c>
      <c r="G5862" s="4">
        <v>0.06</v>
      </c>
      <c r="H5862" s="4" t="s">
        <v>31</v>
      </c>
      <c r="I5862" s="6">
        <v>-4852.5293999999994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0.55000000000000004</v>
      </c>
      <c r="U5862" s="5">
        <f>C5862+2</f>
        <v>41245</v>
      </c>
    </row>
    <row r="5863" spans="1:21" ht="12" customHeight="1">
      <c r="A5863" s="4">
        <v>2682</v>
      </c>
      <c r="B5863" s="4">
        <v>19424</v>
      </c>
      <c r="C5863" s="5">
        <f t="shared" ref="C5863:C5864" si="2475">DATE(2012,12,31)-632</f>
        <v>40642</v>
      </c>
      <c r="D5863" s="4" t="s">
        <v>45</v>
      </c>
      <c r="E5863" s="4">
        <v>29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4.7699999999999996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spans="1:21" ht="12" customHeight="1">
      <c r="A5864" s="4">
        <v>2683</v>
      </c>
      <c r="B5864" s="4">
        <v>19424</v>
      </c>
      <c r="C5864" s="5">
        <f t="shared" si="2475"/>
        <v>40642</v>
      </c>
      <c r="D5864" s="4" t="s">
        <v>45</v>
      </c>
      <c r="E5864" s="4">
        <v>37</v>
      </c>
      <c r="F5864" s="4">
        <v>1129.0550000000001</v>
      </c>
      <c r="G5864" s="4">
        <v>0.05</v>
      </c>
      <c r="H5864" s="4" t="s">
        <v>22</v>
      </c>
      <c r="I5864" s="6">
        <v>337.72500000000002</v>
      </c>
      <c r="J5864" s="4">
        <v>35.99</v>
      </c>
      <c r="K5864" s="4">
        <v>1.1000000000000001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0.55000000000000004</v>
      </c>
      <c r="U5864" s="5">
        <f t="shared" ref="U5864:U5865" si="2476">C5864+1</f>
        <v>40643</v>
      </c>
    </row>
    <row r="5865" spans="1:21" ht="12" customHeight="1">
      <c r="A5865" s="4">
        <v>2684</v>
      </c>
      <c r="B5865" s="4">
        <v>19425</v>
      </c>
      <c r="C5865" s="5">
        <f>DATE(2012,12,31)-98</f>
        <v>41176</v>
      </c>
      <c r="D5865" s="4" t="s">
        <v>45</v>
      </c>
      <c r="E5865" s="4">
        <v>34</v>
      </c>
      <c r="F5865" s="4">
        <v>210.24</v>
      </c>
      <c r="G5865" s="4">
        <v>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0.56000000000000005</v>
      </c>
      <c r="U5865" s="5">
        <f t="shared" si="2476"/>
        <v>41177</v>
      </c>
    </row>
    <row r="5866" spans="1:21" ht="12" customHeight="1">
      <c r="A5866" s="4">
        <v>2744</v>
      </c>
      <c r="B5866" s="4">
        <v>19812</v>
      </c>
      <c r="C5866" s="5">
        <f>DATE(2012,12,31)-1004</f>
        <v>40270</v>
      </c>
      <c r="D5866" s="4" t="s">
        <v>21</v>
      </c>
      <c r="E5866" s="4">
        <v>3</v>
      </c>
      <c r="F5866" s="4">
        <v>1358.7760000000001</v>
      </c>
      <c r="G5866" s="4">
        <v>0.01</v>
      </c>
      <c r="H5866" s="4" t="s">
        <v>31</v>
      </c>
      <c r="I5866" s="6">
        <v>-163.19999999999999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spans="1:21" ht="12" customHeight="1">
      <c r="A5867" s="4">
        <v>2979</v>
      </c>
      <c r="B5867" s="4">
        <v>21510</v>
      </c>
      <c r="C5867" s="5">
        <f>DATE(2012,12,31)-237</f>
        <v>41037</v>
      </c>
      <c r="D5867" s="4" t="s">
        <v>30</v>
      </c>
      <c r="E5867" s="4">
        <v>16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spans="1:21" ht="12" customHeight="1">
      <c r="A5868" s="4">
        <v>3026</v>
      </c>
      <c r="B5868" s="4">
        <v>21763</v>
      </c>
      <c r="C5868" s="5">
        <f>DATE(2012,12,31)-217</f>
        <v>41057</v>
      </c>
      <c r="D5868" s="4" t="s">
        <v>21</v>
      </c>
      <c r="E5868" s="4">
        <v>22</v>
      </c>
      <c r="F5868" s="4">
        <v>1239.4445000000001</v>
      </c>
      <c r="G5868" s="4">
        <v>7.0000000000000007E-2</v>
      </c>
      <c r="H5868" s="4" t="s">
        <v>22</v>
      </c>
      <c r="I5868" s="6">
        <v>165.50099999999998</v>
      </c>
      <c r="J5868" s="4">
        <v>65.989999999999995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spans="1:21" ht="12" customHeight="1">
      <c r="A5869" s="4">
        <v>3101</v>
      </c>
      <c r="B5869" s="4">
        <v>22212</v>
      </c>
      <c r="C5869" s="5">
        <f>DATE(2012,12,31)-836</f>
        <v>40438</v>
      </c>
      <c r="D5869" s="4" t="s">
        <v>63</v>
      </c>
      <c r="E5869" s="4">
        <v>19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spans="1:21" ht="12" customHeight="1">
      <c r="A5870" s="4">
        <v>3213</v>
      </c>
      <c r="B5870" s="4">
        <v>23046</v>
      </c>
      <c r="C5870" s="5">
        <f>DATE(2012,12,31)-817</f>
        <v>40457</v>
      </c>
      <c r="D5870" s="4" t="s">
        <v>78</v>
      </c>
      <c r="E5870" s="4">
        <v>33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8.9499999999999993</v>
      </c>
      <c r="K5870" s="4">
        <v>2.0099999999999998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spans="1:21" ht="12" customHeight="1">
      <c r="A5871" s="4">
        <v>3230</v>
      </c>
      <c r="B5871" s="4">
        <v>23172</v>
      </c>
      <c r="C5871" s="5">
        <f>DATE(2012,12,31)-251</f>
        <v>41023</v>
      </c>
      <c r="D5871" s="4" t="s">
        <v>21</v>
      </c>
      <c r="E5871" s="4">
        <v>13</v>
      </c>
      <c r="F5871" s="4">
        <v>1191.73</v>
      </c>
      <c r="G5871" s="4">
        <v>7.0000000000000007E-2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spans="1:21" ht="12" customHeight="1">
      <c r="A5872" s="4">
        <v>3301</v>
      </c>
      <c r="B5872" s="4">
        <v>23585</v>
      </c>
      <c r="C5872" s="5">
        <f>DATE(2012,12,31)-61</f>
        <v>41213</v>
      </c>
      <c r="D5872" s="4" t="s">
        <v>78</v>
      </c>
      <c r="E5872" s="4">
        <v>44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0.57999999999999996</v>
      </c>
      <c r="U5872" s="5">
        <f t="shared" ref="U5872:U5873" si="2477">C5872+1</f>
        <v>41214</v>
      </c>
    </row>
    <row r="5873" spans="1:21" ht="12" customHeight="1">
      <c r="A5873" s="4">
        <v>3340</v>
      </c>
      <c r="B5873" s="4">
        <v>23906</v>
      </c>
      <c r="C5873" s="5">
        <f>DATE(2012,12,31)-833</f>
        <v>40441</v>
      </c>
      <c r="D5873" s="4" t="s">
        <v>78</v>
      </c>
      <c r="E5873" s="4">
        <v>37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0.57999999999999996</v>
      </c>
      <c r="U5873" s="5">
        <f t="shared" si="2477"/>
        <v>40442</v>
      </c>
    </row>
    <row r="5874" spans="1:21" ht="12" customHeight="1">
      <c r="A5874" s="4">
        <v>3449</v>
      </c>
      <c r="B5874" s="4">
        <v>24583</v>
      </c>
      <c r="C5874" s="5">
        <f>DATE(2012,12,31)-510</f>
        <v>40764</v>
      </c>
      <c r="D5874" s="4" t="s">
        <v>78</v>
      </c>
      <c r="E5874" s="4">
        <v>17</v>
      </c>
      <c r="F5874" s="4">
        <v>42.29</v>
      </c>
      <c r="G5874" s="4">
        <v>0.06</v>
      </c>
      <c r="H5874" s="4" t="s">
        <v>22</v>
      </c>
      <c r="I5874" s="6">
        <v>-85.272499999999994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spans="1:21" ht="12" customHeight="1">
      <c r="A5875" s="4">
        <v>3540</v>
      </c>
      <c r="B5875" s="4">
        <v>25191</v>
      </c>
      <c r="C5875" s="5">
        <f>DATE(2012,12,31)-642</f>
        <v>40632</v>
      </c>
      <c r="D5875" s="4" t="s">
        <v>63</v>
      </c>
      <c r="E5875" s="4">
        <v>42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0.55000000000000004</v>
      </c>
      <c r="U5875" s="5">
        <f>C5875+0</f>
        <v>40632</v>
      </c>
    </row>
    <row r="5876" spans="1:21" ht="12" customHeight="1">
      <c r="A5876" s="4">
        <v>3589</v>
      </c>
      <c r="B5876" s="4">
        <v>25603</v>
      </c>
      <c r="C5876" s="5">
        <f>DATE(2012,12,31)-667</f>
        <v>40607</v>
      </c>
      <c r="D5876" s="4" t="s">
        <v>21</v>
      </c>
      <c r="E5876" s="4">
        <v>23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spans="1:21" ht="12" customHeight="1">
      <c r="A5877" s="4">
        <v>3623</v>
      </c>
      <c r="B5877" s="4">
        <v>25861</v>
      </c>
      <c r="C5877" s="5">
        <f>DATE(2012,12,31)-146</f>
        <v>41128</v>
      </c>
      <c r="D5877" s="4" t="s">
        <v>30</v>
      </c>
      <c r="E5877" s="4">
        <v>44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spans="1:21" ht="12" customHeight="1">
      <c r="A5878" s="4">
        <v>3785</v>
      </c>
      <c r="B5878" s="4">
        <v>26979</v>
      </c>
      <c r="C5878" s="5">
        <f t="shared" ref="C5878:C5879" si="2478">DATE(2012,12,31)-278</f>
        <v>40996</v>
      </c>
      <c r="D5878" s="4" t="s">
        <v>63</v>
      </c>
      <c r="E5878" s="4">
        <v>43</v>
      </c>
      <c r="F5878" s="4">
        <v>337.01</v>
      </c>
      <c r="G5878" s="4">
        <v>0.05</v>
      </c>
      <c r="H5878" s="4" t="s">
        <v>22</v>
      </c>
      <c r="I5878" s="6">
        <v>147.19999999999999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79">C5878+2</f>
        <v>40998</v>
      </c>
    </row>
    <row r="5879" spans="1:21" ht="12" customHeight="1">
      <c r="A5879" s="4">
        <v>3786</v>
      </c>
      <c r="B5879" s="4">
        <v>26979</v>
      </c>
      <c r="C5879" s="5">
        <f t="shared" si="2478"/>
        <v>40996</v>
      </c>
      <c r="D5879" s="4" t="s">
        <v>63</v>
      </c>
      <c r="E5879" s="4">
        <v>50</v>
      </c>
      <c r="F5879" s="4">
        <v>6093.2420000000002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79"/>
        <v>40998</v>
      </c>
    </row>
    <row r="5880" spans="1:21" ht="12" customHeight="1">
      <c r="A5880" s="4">
        <v>3884</v>
      </c>
      <c r="B5880" s="4">
        <v>27746</v>
      </c>
      <c r="C5880" s="5">
        <f t="shared" ref="C5880:C5881" si="2480">DATE(2012,12,31)-758</f>
        <v>40516</v>
      </c>
      <c r="D5880" s="4" t="s">
        <v>78</v>
      </c>
      <c r="E5880" s="4">
        <v>3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1">C5880+1</f>
        <v>40517</v>
      </c>
    </row>
    <row r="5881" spans="1:21" ht="12" customHeight="1">
      <c r="A5881" s="4">
        <v>3885</v>
      </c>
      <c r="B5881" s="4">
        <v>27746</v>
      </c>
      <c r="C5881" s="5">
        <f t="shared" si="2480"/>
        <v>40516</v>
      </c>
      <c r="D5881" s="4" t="s">
        <v>78</v>
      </c>
      <c r="E5881" s="4">
        <v>42</v>
      </c>
      <c r="F5881" s="4">
        <v>196.1</v>
      </c>
      <c r="G5881" s="4">
        <v>7.0000000000000007E-2</v>
      </c>
      <c r="H5881" s="4" t="s">
        <v>22</v>
      </c>
      <c r="I5881" s="6">
        <v>71.650000000000006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1"/>
        <v>40517</v>
      </c>
    </row>
    <row r="5882" spans="1:21" ht="12" customHeight="1">
      <c r="A5882" s="4">
        <v>3905</v>
      </c>
      <c r="B5882" s="4">
        <v>27844</v>
      </c>
      <c r="C5882" s="5">
        <f>DATE(2012,12,31)-551</f>
        <v>40723</v>
      </c>
      <c r="D5882" s="4" t="s">
        <v>21</v>
      </c>
      <c r="E5882" s="4">
        <v>1</v>
      </c>
      <c r="F5882" s="4">
        <v>11.08</v>
      </c>
      <c r="G5882" s="4">
        <v>0.09</v>
      </c>
      <c r="H5882" s="4" t="s">
        <v>22</v>
      </c>
      <c r="I5882" s="6">
        <v>-9.6944999999999997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spans="1:21" ht="12" customHeight="1">
      <c r="A5883" s="4">
        <v>3962</v>
      </c>
      <c r="B5883" s="4">
        <v>28262</v>
      </c>
      <c r="C5883" s="5">
        <f>DATE(2012,12,31)-731</f>
        <v>40543</v>
      </c>
      <c r="D5883" s="4" t="s">
        <v>63</v>
      </c>
      <c r="E5883" s="4">
        <v>26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spans="1:21" ht="12" customHeight="1">
      <c r="A5884" s="4">
        <v>3998</v>
      </c>
      <c r="B5884" s="4">
        <v>28519</v>
      </c>
      <c r="C5884" s="5">
        <f>DATE(2012,12,31)-923</f>
        <v>40351</v>
      </c>
      <c r="D5884" s="4" t="s">
        <v>30</v>
      </c>
      <c r="E5884" s="4">
        <v>4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0.55000000000000004</v>
      </c>
      <c r="U5884" s="5">
        <f t="shared" ref="U5884:U5886" si="2482">C5884+2</f>
        <v>40353</v>
      </c>
    </row>
    <row r="5885" spans="1:21" ht="12" customHeight="1">
      <c r="A5885" s="4">
        <v>4079</v>
      </c>
      <c r="B5885" s="4">
        <v>29058</v>
      </c>
      <c r="C5885" s="5">
        <f>DATE(2012,12,31)-1093</f>
        <v>40181</v>
      </c>
      <c r="D5885" s="4" t="s">
        <v>30</v>
      </c>
      <c r="E5885" s="4">
        <v>33</v>
      </c>
      <c r="F5885" s="4">
        <v>28389.14</v>
      </c>
      <c r="G5885" s="4">
        <v>7.0000000000000007E-2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2"/>
        <v>40183</v>
      </c>
    </row>
    <row r="5886" spans="1:21" ht="12" customHeight="1">
      <c r="A5886" s="4">
        <v>4120</v>
      </c>
      <c r="B5886" s="4">
        <v>29317</v>
      </c>
      <c r="C5886" s="5">
        <f t="shared" ref="C5886:C5888" si="2483">DATE(2012,12,31)-456</f>
        <v>40818</v>
      </c>
      <c r="D5886" s="4" t="s">
        <v>45</v>
      </c>
      <c r="E5886" s="4">
        <v>40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0.57999999999999996</v>
      </c>
      <c r="U5886" s="5">
        <f t="shared" si="2482"/>
        <v>40820</v>
      </c>
    </row>
    <row r="5887" spans="1:21" ht="12" customHeight="1">
      <c r="A5887" s="4">
        <v>4121</v>
      </c>
      <c r="B5887" s="4">
        <v>29317</v>
      </c>
      <c r="C5887" s="5">
        <f t="shared" si="2483"/>
        <v>40818</v>
      </c>
      <c r="D5887" s="4" t="s">
        <v>45</v>
      </c>
      <c r="E5887" s="4">
        <v>20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16.059999999999999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0.56000000000000005</v>
      </c>
      <c r="U5887" s="5">
        <f>C5887+1</f>
        <v>40819</v>
      </c>
    </row>
    <row r="5888" spans="1:21" ht="12" customHeight="1">
      <c r="A5888" s="4">
        <v>4122</v>
      </c>
      <c r="B5888" s="4">
        <v>29317</v>
      </c>
      <c r="C5888" s="5">
        <f t="shared" si="2483"/>
        <v>40818</v>
      </c>
      <c r="D5888" s="4" t="s">
        <v>45</v>
      </c>
      <c r="E5888" s="4">
        <v>31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spans="1:21" ht="12" customHeight="1">
      <c r="A5889" s="4">
        <v>4230</v>
      </c>
      <c r="B5889" s="4">
        <v>30051</v>
      </c>
      <c r="C5889" s="5">
        <f>DATE(2012,12,31)-286</f>
        <v>40988</v>
      </c>
      <c r="D5889" s="4" t="s">
        <v>45</v>
      </c>
      <c r="E5889" s="4">
        <v>42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0.56000000000000005</v>
      </c>
      <c r="U5889" s="5">
        <f t="shared" ref="U5889:U5890" si="2484">C5889+1</f>
        <v>40989</v>
      </c>
    </row>
    <row r="5890" spans="1:21" ht="12" customHeight="1">
      <c r="A5890" s="4">
        <v>4245</v>
      </c>
      <c r="B5890" s="4">
        <v>30211</v>
      </c>
      <c r="C5890" s="5">
        <f>DATE(2012,12,31)-938</f>
        <v>40336</v>
      </c>
      <c r="D5890" s="4" t="s">
        <v>63</v>
      </c>
      <c r="E5890" s="4">
        <v>19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4"/>
        <v>40337</v>
      </c>
    </row>
    <row r="5891" spans="1:21" ht="12" customHeight="1">
      <c r="A5891" s="4">
        <v>4271</v>
      </c>
      <c r="B5891" s="4">
        <v>30401</v>
      </c>
      <c r="C5891" s="5">
        <f>DATE(2012,12,31)-74</f>
        <v>41200</v>
      </c>
      <c r="D5891" s="4" t="s">
        <v>63</v>
      </c>
      <c r="E5891" s="4">
        <v>39</v>
      </c>
      <c r="F5891" s="4">
        <v>239.4</v>
      </c>
      <c r="G5891" s="4">
        <v>7.0000000000000007E-2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spans="1:21" ht="12" customHeight="1">
      <c r="A5892" s="4">
        <v>4316</v>
      </c>
      <c r="B5892" s="4">
        <v>30757</v>
      </c>
      <c r="C5892" s="5">
        <f t="shared" ref="C5892:C5893" si="2485">DATE(2012,12,31)-736</f>
        <v>40538</v>
      </c>
      <c r="D5892" s="4" t="s">
        <v>63</v>
      </c>
      <c r="E5892" s="4">
        <v>5</v>
      </c>
      <c r="F5892" s="4">
        <v>21.32</v>
      </c>
      <c r="G5892" s="4">
        <v>0.08</v>
      </c>
      <c r="H5892" s="4" t="s">
        <v>56</v>
      </c>
      <c r="I5892" s="6">
        <v>2.2000000000000002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spans="1:21" ht="12" customHeight="1">
      <c r="A5893" s="4">
        <v>4317</v>
      </c>
      <c r="B5893" s="4">
        <v>30757</v>
      </c>
      <c r="C5893" s="5">
        <f t="shared" si="2485"/>
        <v>40538</v>
      </c>
      <c r="D5893" s="4" t="s">
        <v>63</v>
      </c>
      <c r="E5893" s="4">
        <v>42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0.57999999999999996</v>
      </c>
      <c r="U5893" s="5">
        <f>C5893+1</f>
        <v>40539</v>
      </c>
    </row>
    <row r="5894" spans="1:21" ht="12" customHeight="1">
      <c r="A5894" s="4">
        <v>4386</v>
      </c>
      <c r="B5894" s="4">
        <v>31237</v>
      </c>
      <c r="C5894" s="5">
        <f>DATE(2012,12,31)-521</f>
        <v>40753</v>
      </c>
      <c r="D5894" s="4" t="s">
        <v>45</v>
      </c>
      <c r="E5894" s="4">
        <v>13</v>
      </c>
      <c r="F5894" s="4">
        <v>589.78</v>
      </c>
      <c r="G5894" s="4">
        <v>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6">C5894+0</f>
        <v>40753</v>
      </c>
    </row>
    <row r="5895" spans="1:21" ht="12" customHeight="1">
      <c r="A5895" s="4">
        <v>4523</v>
      </c>
      <c r="B5895" s="4">
        <v>32192</v>
      </c>
      <c r="C5895" s="5">
        <f>DATE(2012,12,31)-317</f>
        <v>40957</v>
      </c>
      <c r="D5895" s="4" t="s">
        <v>45</v>
      </c>
      <c r="E5895" s="4">
        <v>4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0.56000000000000005</v>
      </c>
      <c r="U5895" s="5">
        <f t="shared" si="2486"/>
        <v>40957</v>
      </c>
    </row>
    <row r="5896" spans="1:21" ht="12" customHeight="1">
      <c r="A5896" s="4">
        <v>4710</v>
      </c>
      <c r="B5896" s="4">
        <v>33568</v>
      </c>
      <c r="C5896" s="5">
        <f t="shared" ref="C5896:C5897" si="2487">DATE(2012,12,31)-163</f>
        <v>41111</v>
      </c>
      <c r="D5896" s="4" t="s">
        <v>63</v>
      </c>
      <c r="E5896" s="4">
        <v>10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8">C5896+1</f>
        <v>41112</v>
      </c>
    </row>
    <row r="5897" spans="1:21" ht="12" customHeight="1">
      <c r="A5897" s="4">
        <v>4711</v>
      </c>
      <c r="B5897" s="4">
        <v>33568</v>
      </c>
      <c r="C5897" s="5">
        <f t="shared" si="2487"/>
        <v>41111</v>
      </c>
      <c r="D5897" s="4" t="s">
        <v>63</v>
      </c>
      <c r="E5897" s="4">
        <v>23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8"/>
        <v>41112</v>
      </c>
    </row>
    <row r="5898" spans="1:21" ht="12" customHeight="1">
      <c r="A5898" s="4">
        <v>4723</v>
      </c>
      <c r="B5898" s="4">
        <v>33634</v>
      </c>
      <c r="C5898" s="5">
        <f>DATE(2012,12,31)-853</f>
        <v>40421</v>
      </c>
      <c r="D5898" s="4" t="s">
        <v>45</v>
      </c>
      <c r="E5898" s="4">
        <v>40</v>
      </c>
      <c r="F5898" s="4">
        <v>271.33999999999997</v>
      </c>
      <c r="G5898" s="4">
        <v>0.05</v>
      </c>
      <c r="H5898" s="4" t="s">
        <v>22</v>
      </c>
      <c r="I5898" s="6">
        <v>-151.91999999999999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spans="1:21" ht="12" customHeight="1">
      <c r="A5899" s="4">
        <v>4780</v>
      </c>
      <c r="B5899" s="4">
        <v>33925</v>
      </c>
      <c r="C5899" s="5">
        <f>DATE(2012,12,31)-608</f>
        <v>40666</v>
      </c>
      <c r="D5899" s="4" t="s">
        <v>21</v>
      </c>
      <c r="E5899" s="4">
        <v>47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19.989999999999998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spans="1:21" ht="12" customHeight="1">
      <c r="A5900" s="4">
        <v>4830</v>
      </c>
      <c r="B5900" s="4">
        <v>34338</v>
      </c>
      <c r="C5900" s="5">
        <f>DATE(2012,12,31)-915</f>
        <v>40359</v>
      </c>
      <c r="D5900" s="4" t="s">
        <v>21</v>
      </c>
      <c r="E5900" s="4">
        <v>26</v>
      </c>
      <c r="F5900" s="4">
        <v>1050.1600000000001</v>
      </c>
      <c r="G5900" s="4">
        <v>0.04</v>
      </c>
      <c r="H5900" s="4" t="s">
        <v>56</v>
      </c>
      <c r="I5900" s="6">
        <v>265.08999999999997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spans="1:21" ht="12" customHeight="1">
      <c r="A5901" s="4">
        <v>4909</v>
      </c>
      <c r="B5901" s="4">
        <v>34948</v>
      </c>
      <c r="C5901" s="5">
        <f>DATE(2012,12,31)-1084</f>
        <v>40190</v>
      </c>
      <c r="D5901" s="4" t="s">
        <v>78</v>
      </c>
      <c r="E5901" s="4">
        <v>15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spans="1:21" ht="12" customHeight="1">
      <c r="A5902" s="4">
        <v>5003</v>
      </c>
      <c r="B5902" s="4">
        <v>35652</v>
      </c>
      <c r="C5902" s="5">
        <f>DATE(2012,12,31)-832</f>
        <v>40442</v>
      </c>
      <c r="D5902" s="4" t="s">
        <v>21</v>
      </c>
      <c r="E5902" s="4">
        <v>21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89">C5902+2</f>
        <v>40444</v>
      </c>
    </row>
    <row r="5903" spans="1:21" ht="12" customHeight="1">
      <c r="A5903" s="4">
        <v>5055</v>
      </c>
      <c r="B5903" s="4">
        <v>36038</v>
      </c>
      <c r="C5903" s="5">
        <f>DATE(2012,12,31)-137</f>
        <v>41137</v>
      </c>
      <c r="D5903" s="4" t="s">
        <v>30</v>
      </c>
      <c r="E5903" s="4">
        <v>26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0.56000000000000005</v>
      </c>
      <c r="U5903" s="5">
        <f t="shared" si="2489"/>
        <v>41139</v>
      </c>
    </row>
    <row r="5904" spans="1:21" ht="12" customHeight="1">
      <c r="A5904" s="4">
        <v>5259</v>
      </c>
      <c r="B5904" s="4">
        <v>37440</v>
      </c>
      <c r="C5904" s="5">
        <f>DATE(2012,12,31)-922</f>
        <v>40352</v>
      </c>
      <c r="D5904" s="4" t="s">
        <v>45</v>
      </c>
      <c r="E5904" s="4">
        <v>39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0.57999999999999996</v>
      </c>
      <c r="U5904" s="5">
        <f>C5904+1</f>
        <v>40353</v>
      </c>
    </row>
    <row r="5905" spans="1:21" ht="12" customHeight="1">
      <c r="A5905" s="4">
        <v>5367</v>
      </c>
      <c r="B5905" s="4">
        <v>38146</v>
      </c>
      <c r="C5905" s="5">
        <f>DATE(2012,12,31)-390</f>
        <v>40884</v>
      </c>
      <c r="D5905" s="4" t="s">
        <v>21</v>
      </c>
      <c r="E5905" s="4">
        <v>45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spans="1:21" ht="12" customHeight="1">
      <c r="A5906" s="4">
        <v>5370</v>
      </c>
      <c r="B5906" s="4">
        <v>38178</v>
      </c>
      <c r="C5906" s="5">
        <f>DATE(2012,12,31)-124</f>
        <v>41150</v>
      </c>
      <c r="D5906" s="4" t="s">
        <v>63</v>
      </c>
      <c r="E5906" s="4">
        <v>32</v>
      </c>
      <c r="F5906" s="4">
        <v>153.97999999999999</v>
      </c>
      <c r="G5906" s="4">
        <v>0.02</v>
      </c>
      <c r="H5906" s="4" t="s">
        <v>22</v>
      </c>
      <c r="I5906" s="6">
        <v>71.599999999999994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spans="1:21" ht="12" customHeight="1">
      <c r="A5907" s="4">
        <v>5384</v>
      </c>
      <c r="B5907" s="4">
        <v>38279</v>
      </c>
      <c r="C5907" s="5">
        <f>DATE(2012,12,31)-246</f>
        <v>41028</v>
      </c>
      <c r="D5907" s="4" t="s">
        <v>63</v>
      </c>
      <c r="E5907" s="4">
        <v>1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spans="1:21" ht="12" customHeight="1">
      <c r="A5908" s="4">
        <v>5460</v>
      </c>
      <c r="B5908" s="4">
        <v>38787</v>
      </c>
      <c r="C5908" s="5">
        <f>DATE(2012,12,31)-514</f>
        <v>40760</v>
      </c>
      <c r="D5908" s="4" t="s">
        <v>21</v>
      </c>
      <c r="E5908" s="4">
        <v>22</v>
      </c>
      <c r="F5908" s="4">
        <v>79.040000000000006</v>
      </c>
      <c r="G5908" s="4">
        <v>0.05</v>
      </c>
      <c r="H5908" s="4" t="s">
        <v>22</v>
      </c>
      <c r="I5908" s="6">
        <v>-77.930000000000007</v>
      </c>
      <c r="J5908" s="4">
        <v>3.28</v>
      </c>
      <c r="K5908" s="4">
        <v>5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0.56000000000000005</v>
      </c>
      <c r="U5908" s="5">
        <f>C5908+0</f>
        <v>40760</v>
      </c>
    </row>
    <row r="5909" spans="1:21" ht="12" customHeight="1">
      <c r="A5909" s="4">
        <v>5463</v>
      </c>
      <c r="B5909" s="4">
        <v>38791</v>
      </c>
      <c r="C5909" s="5">
        <f>DATE(2012,12,31)-1023</f>
        <v>40251</v>
      </c>
      <c r="D5909" s="4" t="s">
        <v>21</v>
      </c>
      <c r="E5909" s="4">
        <v>24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spans="1:21" ht="12" customHeight="1">
      <c r="A5910" s="4">
        <v>5464</v>
      </c>
      <c r="B5910" s="4">
        <v>38817</v>
      </c>
      <c r="C5910" s="5">
        <f>DATE(2012,12,31)-225</f>
        <v>41049</v>
      </c>
      <c r="D5910" s="4" t="s">
        <v>45</v>
      </c>
      <c r="E5910" s="4">
        <v>1</v>
      </c>
      <c r="F5910" s="4">
        <v>9.6999999999999993</v>
      </c>
      <c r="G5910" s="4">
        <v>0.02</v>
      </c>
      <c r="H5910" s="4" t="s">
        <v>22</v>
      </c>
      <c r="I5910" s="6">
        <v>-18.03</v>
      </c>
      <c r="J5910" s="4">
        <v>4.9800000000000004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0">C5910+1</f>
        <v>41050</v>
      </c>
    </row>
    <row r="5911" spans="1:21" ht="12" customHeight="1">
      <c r="A5911" s="4">
        <v>5480</v>
      </c>
      <c r="B5911" s="4">
        <v>38914</v>
      </c>
      <c r="C5911" s="5">
        <f>DATE(2012,12,31)-215</f>
        <v>41059</v>
      </c>
      <c r="D5911" s="4" t="s">
        <v>63</v>
      </c>
      <c r="E5911" s="4">
        <v>43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0.56999999999999995</v>
      </c>
      <c r="U5911" s="5">
        <f t="shared" si="2490"/>
        <v>41060</v>
      </c>
    </row>
    <row r="5912" spans="1:21" ht="12" customHeight="1">
      <c r="A5912" s="4">
        <v>5593</v>
      </c>
      <c r="B5912" s="4">
        <v>39652</v>
      </c>
      <c r="C5912" s="5">
        <f t="shared" ref="C5912:C5913" si="2491">DATE(2012,12,31)-241</f>
        <v>41033</v>
      </c>
      <c r="D5912" s="4" t="s">
        <v>21</v>
      </c>
      <c r="E5912" s="4">
        <v>5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spans="1:21" ht="12" customHeight="1">
      <c r="A5913" s="4">
        <v>5594</v>
      </c>
      <c r="B5913" s="4">
        <v>39652</v>
      </c>
      <c r="C5913" s="5">
        <f t="shared" si="2491"/>
        <v>41033</v>
      </c>
      <c r="D5913" s="4" t="s">
        <v>21</v>
      </c>
      <c r="E5913" s="4">
        <v>4</v>
      </c>
      <c r="F5913" s="4">
        <v>665.76250000000005</v>
      </c>
      <c r="G5913" s="4">
        <v>0.03</v>
      </c>
      <c r="H5913" s="4" t="s">
        <v>22</v>
      </c>
      <c r="I5913" s="6">
        <v>-773.34399999999994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2">C5913+5</f>
        <v>41038</v>
      </c>
    </row>
    <row r="5914" spans="1:21" ht="12" customHeight="1">
      <c r="A5914" s="4">
        <v>5737</v>
      </c>
      <c r="B5914" s="4">
        <v>40770</v>
      </c>
      <c r="C5914" s="5">
        <f>DATE(2012,12,31)-625</f>
        <v>40649</v>
      </c>
      <c r="D5914" s="4" t="s">
        <v>21</v>
      </c>
      <c r="E5914" s="4">
        <v>19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2"/>
        <v>40654</v>
      </c>
    </row>
    <row r="5915" spans="1:21" ht="12" customHeight="1">
      <c r="A5915" s="4">
        <v>5766</v>
      </c>
      <c r="B5915" s="4">
        <v>40933</v>
      </c>
      <c r="C5915" s="5">
        <f>DATE(2012,12,31)-218</f>
        <v>41056</v>
      </c>
      <c r="D5915" s="4" t="s">
        <v>30</v>
      </c>
      <c r="E5915" s="4">
        <v>37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spans="1:21" ht="12" customHeight="1">
      <c r="A5916" s="4">
        <v>5975</v>
      </c>
      <c r="B5916" s="4">
        <v>42370</v>
      </c>
      <c r="C5916" s="5">
        <f>DATE(2012,12,31)-406</f>
        <v>40868</v>
      </c>
      <c r="D5916" s="4" t="s">
        <v>30</v>
      </c>
      <c r="E5916" s="4">
        <v>33</v>
      </c>
      <c r="F5916" s="4">
        <v>125.27</v>
      </c>
      <c r="G5916" s="4">
        <v>7.0000000000000007E-2</v>
      </c>
      <c r="H5916" s="4" t="s">
        <v>22</v>
      </c>
      <c r="I5916" s="6">
        <v>-105.83450000000001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spans="1:21" ht="12" customHeight="1">
      <c r="A5917" s="4">
        <v>5986</v>
      </c>
      <c r="B5917" s="4">
        <v>42436</v>
      </c>
      <c r="C5917" s="5">
        <f>DATE(2012,12,31)-144</f>
        <v>41130</v>
      </c>
      <c r="D5917" s="4" t="s">
        <v>78</v>
      </c>
      <c r="E5917" s="4">
        <v>30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spans="1:21" ht="12" customHeight="1">
      <c r="A5918" s="4">
        <v>6047</v>
      </c>
      <c r="B5918" s="4">
        <v>42855</v>
      </c>
      <c r="C5918" s="5">
        <f>DATE(2012,12,31)-542</f>
        <v>40732</v>
      </c>
      <c r="D5918" s="4" t="s">
        <v>45</v>
      </c>
      <c r="E5918" s="4">
        <v>17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spans="1:21" ht="12" customHeight="1">
      <c r="A5919" s="4">
        <v>6166</v>
      </c>
      <c r="B5919" s="4">
        <v>43686</v>
      </c>
      <c r="C5919" s="5">
        <f>DATE(2012,12,31)-604</f>
        <v>40670</v>
      </c>
      <c r="D5919" s="4" t="s">
        <v>63</v>
      </c>
      <c r="E5919" s="4">
        <v>16</v>
      </c>
      <c r="F5919" s="4">
        <v>1313.64</v>
      </c>
      <c r="G5919" s="4">
        <v>0.05</v>
      </c>
      <c r="H5919" s="4" t="s">
        <v>22</v>
      </c>
      <c r="I5919" s="6">
        <v>284.83999999999997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spans="1:21" ht="12" customHeight="1">
      <c r="A5920" s="4">
        <v>6260</v>
      </c>
      <c r="B5920" s="4">
        <v>44295</v>
      </c>
      <c r="C5920" s="5">
        <f>DATE(2012,12,31)-1073</f>
        <v>40201</v>
      </c>
      <c r="D5920" s="4" t="s">
        <v>63</v>
      </c>
      <c r="E5920" s="4">
        <v>47</v>
      </c>
      <c r="F5920" s="4">
        <v>4524.9070000000002</v>
      </c>
      <c r="G5920" s="4">
        <v>7.0000000000000007E-2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0.55000000000000004</v>
      </c>
      <c r="U5920" s="5">
        <f t="shared" ref="U5920:U5921" si="2493">C5920+2</f>
        <v>40203</v>
      </c>
    </row>
    <row r="5921" spans="1:21" ht="12" customHeight="1">
      <c r="A5921" s="4">
        <v>6333</v>
      </c>
      <c r="B5921" s="4">
        <v>44869</v>
      </c>
      <c r="C5921" s="5">
        <f>DATE(2012,12,31)-131</f>
        <v>41143</v>
      </c>
      <c r="D5921" s="4" t="s">
        <v>63</v>
      </c>
      <c r="E5921" s="4">
        <v>43</v>
      </c>
      <c r="F5921" s="4">
        <v>283.18</v>
      </c>
      <c r="G5921" s="4">
        <v>0.03</v>
      </c>
      <c r="H5921" s="4" t="s">
        <v>22</v>
      </c>
      <c r="I5921" s="6">
        <v>-154.94999999999999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3"/>
        <v>41145</v>
      </c>
    </row>
    <row r="5922" spans="1:21" ht="12" customHeight="1">
      <c r="A5922" s="4">
        <v>6405</v>
      </c>
      <c r="B5922" s="4">
        <v>45511</v>
      </c>
      <c r="C5922" s="5">
        <f>DATE(2012,12,31)-863</f>
        <v>40411</v>
      </c>
      <c r="D5922" s="4" t="s">
        <v>21</v>
      </c>
      <c r="E5922" s="4">
        <v>31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spans="1:21" ht="12" customHeight="1">
      <c r="A5923" s="4">
        <v>6474</v>
      </c>
      <c r="B5923" s="4">
        <v>46053</v>
      </c>
      <c r="C5923" s="5">
        <f>DATE(2012,12,31)-109</f>
        <v>41165</v>
      </c>
      <c r="D5923" s="4" t="s">
        <v>30</v>
      </c>
      <c r="E5923" s="4">
        <v>25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0.56999999999999995</v>
      </c>
      <c r="U5923" s="5">
        <f>C5923+1</f>
        <v>41166</v>
      </c>
    </row>
    <row r="5924" spans="1:21" ht="12" customHeight="1">
      <c r="A5924" s="4">
        <v>6853</v>
      </c>
      <c r="B5924" s="4">
        <v>48801</v>
      </c>
      <c r="C5924" s="5">
        <f>DATE(2012,12,31)-79</f>
        <v>41195</v>
      </c>
      <c r="D5924" s="4" t="s">
        <v>30</v>
      </c>
      <c r="E5924" s="4">
        <v>43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spans="1:21" ht="12" customHeight="1">
      <c r="A5925" s="4">
        <v>6994</v>
      </c>
      <c r="B5925" s="4">
        <v>49954</v>
      </c>
      <c r="C5925" s="5">
        <f>DATE(2012,12,31)-308</f>
        <v>40966</v>
      </c>
      <c r="D5925" s="4" t="s">
        <v>78</v>
      </c>
      <c r="E5925" s="4">
        <v>36</v>
      </c>
      <c r="F5925" s="4">
        <v>1921.1275000000001</v>
      </c>
      <c r="G5925" s="4">
        <v>0.08</v>
      </c>
      <c r="H5925" s="4" t="s">
        <v>22</v>
      </c>
      <c r="I5925" s="6">
        <v>248.58</v>
      </c>
      <c r="J5925" s="4">
        <v>65.989999999999995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0.56000000000000005</v>
      </c>
      <c r="U5925" s="5">
        <f>C5925+2</f>
        <v>40968</v>
      </c>
    </row>
    <row r="5926" spans="1:21" ht="12" customHeight="1">
      <c r="A5926" s="4">
        <v>7084</v>
      </c>
      <c r="B5926" s="4">
        <v>50563</v>
      </c>
      <c r="C5926" s="5">
        <f t="shared" ref="C5926:C5927" si="2494">DATE(2012,12,31)-534</f>
        <v>40740</v>
      </c>
      <c r="D5926" s="4" t="s">
        <v>30</v>
      </c>
      <c r="E5926" s="4">
        <v>2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5">C5926+1</f>
        <v>40741</v>
      </c>
    </row>
    <row r="5927" spans="1:21" ht="12" customHeight="1">
      <c r="A5927" s="4">
        <v>7085</v>
      </c>
      <c r="B5927" s="4">
        <v>50563</v>
      </c>
      <c r="C5927" s="5">
        <f t="shared" si="2494"/>
        <v>40740</v>
      </c>
      <c r="D5927" s="4" t="s">
        <v>30</v>
      </c>
      <c r="E5927" s="4">
        <v>20</v>
      </c>
      <c r="F5927" s="4">
        <v>2197.4115000000002</v>
      </c>
      <c r="G5927" s="4">
        <v>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0.57999999999999996</v>
      </c>
      <c r="U5927" s="5">
        <f t="shared" si="2495"/>
        <v>40741</v>
      </c>
    </row>
    <row r="5928" spans="1:21" ht="12" customHeight="1">
      <c r="A5928" s="4">
        <v>7134</v>
      </c>
      <c r="B5928" s="4">
        <v>50882</v>
      </c>
      <c r="C5928" s="5">
        <f>DATE(2012,12,31)-853</f>
        <v>40421</v>
      </c>
      <c r="D5928" s="4" t="s">
        <v>30</v>
      </c>
      <c r="E5928" s="4">
        <v>37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spans="1:21" ht="12" customHeight="1">
      <c r="A5929" s="4">
        <v>7223</v>
      </c>
      <c r="B5929" s="4">
        <v>51553</v>
      </c>
      <c r="C5929" s="5">
        <f t="shared" ref="C5929:C5932" si="2496">DATE(2012,12,31)-400</f>
        <v>40874</v>
      </c>
      <c r="D5929" s="4" t="s">
        <v>45</v>
      </c>
      <c r="E5929" s="4">
        <v>3</v>
      </c>
      <c r="F5929" s="4">
        <v>21366.51</v>
      </c>
      <c r="G5929" s="4">
        <v>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spans="1:21" ht="12" customHeight="1">
      <c r="A5930" s="4">
        <v>7224</v>
      </c>
      <c r="B5930" s="4">
        <v>51553</v>
      </c>
      <c r="C5930" s="5">
        <f t="shared" si="2496"/>
        <v>40874</v>
      </c>
      <c r="D5930" s="4" t="s">
        <v>45</v>
      </c>
      <c r="E5930" s="4">
        <v>34</v>
      </c>
      <c r="F5930" s="4">
        <v>320.04000000000002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4.3899999999999997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7">C5930+2</f>
        <v>40876</v>
      </c>
    </row>
    <row r="5931" spans="1:21" ht="12" customHeight="1">
      <c r="A5931" s="4">
        <v>7225</v>
      </c>
      <c r="B5931" s="4">
        <v>51553</v>
      </c>
      <c r="C5931" s="5">
        <f t="shared" si="2496"/>
        <v>40874</v>
      </c>
      <c r="D5931" s="4" t="s">
        <v>45</v>
      </c>
      <c r="E5931" s="4">
        <v>12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7"/>
        <v>40876</v>
      </c>
    </row>
    <row r="5932" spans="1:21" ht="12" customHeight="1">
      <c r="A5932" s="4">
        <v>7226</v>
      </c>
      <c r="B5932" s="4">
        <v>51553</v>
      </c>
      <c r="C5932" s="5">
        <f t="shared" si="2496"/>
        <v>40874</v>
      </c>
      <c r="D5932" s="4" t="s">
        <v>45</v>
      </c>
      <c r="E5932" s="4">
        <v>13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spans="1:21" ht="12" customHeight="1">
      <c r="A5933" s="4">
        <v>7327</v>
      </c>
      <c r="B5933" s="4">
        <v>52199</v>
      </c>
      <c r="C5933" s="5">
        <f>DATE(2012,12,31)-705</f>
        <v>40569</v>
      </c>
      <c r="D5933" s="4" t="s">
        <v>63</v>
      </c>
      <c r="E5933" s="4">
        <v>19</v>
      </c>
      <c r="F5933" s="4">
        <v>92.24</v>
      </c>
      <c r="G5933" s="4">
        <v>0.05</v>
      </c>
      <c r="H5933" s="4" t="s">
        <v>22</v>
      </c>
      <c r="I5933" s="6">
        <v>-60.582000000000001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8">C5933+1</f>
        <v>40570</v>
      </c>
    </row>
    <row r="5934" spans="1:21" ht="12" customHeight="1">
      <c r="A5934" s="4">
        <v>7341</v>
      </c>
      <c r="B5934" s="4">
        <v>52293</v>
      </c>
      <c r="C5934" s="5">
        <f>DATE(2012,12,31)-626</f>
        <v>40648</v>
      </c>
      <c r="D5934" s="4" t="s">
        <v>30</v>
      </c>
      <c r="E5934" s="4">
        <v>4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8"/>
        <v>40649</v>
      </c>
    </row>
    <row r="5935" spans="1:21" ht="12" customHeight="1">
      <c r="A5935" s="4">
        <v>7407</v>
      </c>
      <c r="B5935" s="4">
        <v>52839</v>
      </c>
      <c r="C5935" s="5">
        <f t="shared" ref="C5935:C5936" si="2499">DATE(2012,12,31)-995</f>
        <v>40279</v>
      </c>
      <c r="D5935" s="4" t="s">
        <v>30</v>
      </c>
      <c r="E5935" s="4">
        <v>8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0.56000000000000005</v>
      </c>
      <c r="U5935" s="5">
        <f>C5935+0</f>
        <v>40279</v>
      </c>
    </row>
    <row r="5936" spans="1:21" ht="12" customHeight="1">
      <c r="A5936" s="4">
        <v>7408</v>
      </c>
      <c r="B5936" s="4">
        <v>52839</v>
      </c>
      <c r="C5936" s="5">
        <f t="shared" si="2499"/>
        <v>40279</v>
      </c>
      <c r="D5936" s="4" t="s">
        <v>30</v>
      </c>
      <c r="E5936" s="4">
        <v>25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0">C5936+1</f>
        <v>40280</v>
      </c>
    </row>
    <row r="5937" spans="1:21" ht="12" customHeight="1">
      <c r="A5937" s="4">
        <v>7484</v>
      </c>
      <c r="B5937" s="4">
        <v>53443</v>
      </c>
      <c r="C5937" s="5">
        <f t="shared" ref="C5937:C5939" si="2501">DATE(2012,12,31)-450</f>
        <v>40824</v>
      </c>
      <c r="D5937" s="4" t="s">
        <v>78</v>
      </c>
      <c r="E5937" s="4">
        <v>35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0.56000000000000005</v>
      </c>
      <c r="U5937" s="5">
        <f t="shared" si="2500"/>
        <v>40825</v>
      </c>
    </row>
    <row r="5938" spans="1:21" ht="12" customHeight="1">
      <c r="A5938" s="4">
        <v>7485</v>
      </c>
      <c r="B5938" s="4">
        <v>53443</v>
      </c>
      <c r="C5938" s="5">
        <f t="shared" si="2501"/>
        <v>40824</v>
      </c>
      <c r="D5938" s="4" t="s">
        <v>78</v>
      </c>
      <c r="E5938" s="4">
        <v>3</v>
      </c>
      <c r="F5938" s="4">
        <v>19.46</v>
      </c>
      <c r="G5938" s="4">
        <v>0.01</v>
      </c>
      <c r="H5938" s="4" t="s">
        <v>22</v>
      </c>
      <c r="I5938" s="6">
        <v>-2.0099999999999998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spans="1:21" ht="12" customHeight="1">
      <c r="A5939" s="4">
        <v>7486</v>
      </c>
      <c r="B5939" s="4">
        <v>53443</v>
      </c>
      <c r="C5939" s="5">
        <f t="shared" si="2501"/>
        <v>40824</v>
      </c>
      <c r="D5939" s="4" t="s">
        <v>78</v>
      </c>
      <c r="E5939" s="4">
        <v>22</v>
      </c>
      <c r="F5939" s="4">
        <v>148.80000000000001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2">C5939+1</f>
        <v>40825</v>
      </c>
    </row>
    <row r="5940" spans="1:21" ht="12" customHeight="1">
      <c r="A5940" s="4">
        <v>7527</v>
      </c>
      <c r="B5940" s="4">
        <v>53767</v>
      </c>
      <c r="C5940" s="5">
        <f>DATE(2012,12,31)-493</f>
        <v>40781</v>
      </c>
      <c r="D5940" s="4" t="s">
        <v>45</v>
      </c>
      <c r="E5940" s="4">
        <v>35</v>
      </c>
      <c r="F5940" s="4">
        <v>1131.1500000000001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2"/>
        <v>40782</v>
      </c>
    </row>
    <row r="5941" spans="1:21" ht="12" customHeight="1">
      <c r="A5941" s="4">
        <v>7645</v>
      </c>
      <c r="B5941" s="4">
        <v>54787</v>
      </c>
      <c r="C5941" s="5">
        <f>DATE(2012,12,31)-676</f>
        <v>40598</v>
      </c>
      <c r="D5941" s="4" t="s">
        <v>30</v>
      </c>
      <c r="E5941" s="4">
        <v>7</v>
      </c>
      <c r="F5941" s="4">
        <v>170.02</v>
      </c>
      <c r="G5941" s="4">
        <v>7.0000000000000007E-2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2"/>
        <v>40599</v>
      </c>
    </row>
    <row r="5942" spans="1:21" ht="12" customHeight="1">
      <c r="A5942" s="4">
        <v>7671</v>
      </c>
      <c r="B5942" s="4">
        <v>55011</v>
      </c>
      <c r="C5942" s="5">
        <f t="shared" ref="C5942:C5943" si="2503">DATE(2012,12,31)-362</f>
        <v>40912</v>
      </c>
      <c r="D5942" s="4" t="s">
        <v>78</v>
      </c>
      <c r="E5942" s="4">
        <v>48</v>
      </c>
      <c r="F5942" s="4">
        <v>452.28</v>
      </c>
      <c r="G5942" s="4">
        <v>0.09</v>
      </c>
      <c r="H5942" s="4" t="s">
        <v>22</v>
      </c>
      <c r="I5942" s="6">
        <v>-21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2"/>
        <v>40913</v>
      </c>
    </row>
    <row r="5943" spans="1:21" ht="12" customHeight="1">
      <c r="A5943" s="4">
        <v>7672</v>
      </c>
      <c r="B5943" s="4">
        <v>55011</v>
      </c>
      <c r="C5943" s="5">
        <f t="shared" si="2503"/>
        <v>40912</v>
      </c>
      <c r="D5943" s="4" t="s">
        <v>78</v>
      </c>
      <c r="E5943" s="4">
        <v>18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2"/>
        <v>40913</v>
      </c>
    </row>
    <row r="5944" spans="1:21" ht="12" customHeight="1">
      <c r="A5944" s="4">
        <v>7842</v>
      </c>
      <c r="B5944" s="4">
        <v>56069</v>
      </c>
      <c r="C5944" s="5">
        <f>DATE(2012,12,31)-78</f>
        <v>41196</v>
      </c>
      <c r="D5944" s="4" t="s">
        <v>21</v>
      </c>
      <c r="E5944" s="4">
        <v>10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spans="1:21" ht="12" customHeight="1">
      <c r="A5945" s="4">
        <v>7963</v>
      </c>
      <c r="B5945" s="4">
        <v>56929</v>
      </c>
      <c r="C5945" s="5">
        <f>DATE(2012,12,31)-462</f>
        <v>40812</v>
      </c>
      <c r="D5945" s="4" t="s">
        <v>30</v>
      </c>
      <c r="E5945" s="4">
        <v>22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9.7799999999999994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spans="1:21" ht="12" customHeight="1">
      <c r="A5946" s="4">
        <v>8338</v>
      </c>
      <c r="B5946" s="4">
        <v>59586</v>
      </c>
      <c r="C5946" s="5">
        <f>DATE(2012,12,31)-299</f>
        <v>40975</v>
      </c>
      <c r="D5946" s="4" t="s">
        <v>21</v>
      </c>
      <c r="E5946" s="4">
        <v>25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4">C5946+4</f>
        <v>40979</v>
      </c>
    </row>
    <row r="5947" spans="1:21" ht="12" customHeight="1">
      <c r="A5947" s="4">
        <v>129</v>
      </c>
      <c r="B5947" s="4">
        <v>832</v>
      </c>
      <c r="C5947" s="5">
        <f>DATE(2012,12,31)-257</f>
        <v>41017</v>
      </c>
      <c r="D5947" s="4" t="s">
        <v>21</v>
      </c>
      <c r="E5947" s="4">
        <v>7</v>
      </c>
      <c r="F5947" s="4">
        <v>53.46</v>
      </c>
      <c r="G5947" s="4">
        <v>0.02</v>
      </c>
      <c r="H5947" s="4" t="s">
        <v>22</v>
      </c>
      <c r="I5947" s="6">
        <v>-17.579999999999998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4"/>
        <v>41021</v>
      </c>
    </row>
    <row r="5948" spans="1:21" ht="12" customHeight="1">
      <c r="A5948" s="4">
        <v>210</v>
      </c>
      <c r="B5948" s="4">
        <v>1383</v>
      </c>
      <c r="C5948" s="5">
        <f>DATE(2012,12,31)-980</f>
        <v>40294</v>
      </c>
      <c r="D5948" s="4" t="s">
        <v>30</v>
      </c>
      <c r="E5948" s="4">
        <v>43</v>
      </c>
      <c r="F5948" s="4">
        <v>17129.97</v>
      </c>
      <c r="G5948" s="4">
        <v>7.0000000000000007E-2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0.56999999999999995</v>
      </c>
      <c r="U5948" s="5">
        <f>C5948+1</f>
        <v>40295</v>
      </c>
    </row>
    <row r="5949" spans="1:21" ht="12" customHeight="1">
      <c r="A5949" s="4">
        <v>388</v>
      </c>
      <c r="B5949" s="4">
        <v>2659</v>
      </c>
      <c r="C5949" s="5">
        <f>DATE(2012,12,31)-745</f>
        <v>40529</v>
      </c>
      <c r="D5949" s="4" t="s">
        <v>45</v>
      </c>
      <c r="E5949" s="4">
        <v>50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9.0299999999999994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5">C5949+2</f>
        <v>40531</v>
      </c>
    </row>
    <row r="5950" spans="1:21" ht="12" customHeight="1">
      <c r="A5950" s="4">
        <v>466</v>
      </c>
      <c r="B5950" s="4">
        <v>3172</v>
      </c>
      <c r="C5950" s="5">
        <f>DATE(2012,12,31)-212</f>
        <v>41062</v>
      </c>
      <c r="D5950" s="4" t="s">
        <v>45</v>
      </c>
      <c r="E5950" s="4">
        <v>33</v>
      </c>
      <c r="F5950" s="4">
        <v>584.51099999999997</v>
      </c>
      <c r="G5950" s="4">
        <v>0.05</v>
      </c>
      <c r="H5950" s="4" t="s">
        <v>22</v>
      </c>
      <c r="I5950" s="6">
        <v>-95.974999999999994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5"/>
        <v>41064</v>
      </c>
    </row>
    <row r="5951" spans="1:21" ht="12" customHeight="1">
      <c r="A5951" s="4">
        <v>614</v>
      </c>
      <c r="B5951" s="4">
        <v>4199</v>
      </c>
      <c r="C5951" s="5">
        <f>DATE(2012,12,31)-323</f>
        <v>40951</v>
      </c>
      <c r="D5951" s="4" t="s">
        <v>78</v>
      </c>
      <c r="E5951" s="4">
        <v>43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spans="1:21" ht="12" customHeight="1">
      <c r="A5952" s="4">
        <v>744</v>
      </c>
      <c r="B5952" s="4">
        <v>5347</v>
      </c>
      <c r="C5952" s="5">
        <f t="shared" ref="C5952:C5954" si="2506">DATE(2012,12,31)-679</f>
        <v>40595</v>
      </c>
      <c r="D5952" s="4" t="s">
        <v>63</v>
      </c>
      <c r="E5952" s="4">
        <v>7</v>
      </c>
      <c r="F5952" s="4">
        <v>525.55499999999995</v>
      </c>
      <c r="G5952" s="4">
        <v>0.04</v>
      </c>
      <c r="H5952" s="4" t="s">
        <v>22</v>
      </c>
      <c r="I5952" s="6">
        <v>-60.664999999999999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spans="1:21" ht="12" customHeight="1">
      <c r="A5953" s="4">
        <v>745</v>
      </c>
      <c r="B5953" s="4">
        <v>5347</v>
      </c>
      <c r="C5953" s="5">
        <f t="shared" si="2506"/>
        <v>40595</v>
      </c>
      <c r="D5953" s="4" t="s">
        <v>63</v>
      </c>
      <c r="E5953" s="4">
        <v>39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spans="1:21" ht="12" customHeight="1">
      <c r="A5954" s="4">
        <v>746</v>
      </c>
      <c r="B5954" s="4">
        <v>5347</v>
      </c>
      <c r="C5954" s="5">
        <f t="shared" si="2506"/>
        <v>40595</v>
      </c>
      <c r="D5954" s="4" t="s">
        <v>63</v>
      </c>
      <c r="E5954" s="4">
        <v>1</v>
      </c>
      <c r="F5954" s="4">
        <v>187.20400000000001</v>
      </c>
      <c r="G5954" s="4">
        <v>0.01</v>
      </c>
      <c r="H5954" s="4" t="s">
        <v>22</v>
      </c>
      <c r="I5954" s="6">
        <v>-796.76300000000003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0.56000000000000005</v>
      </c>
      <c r="U5954" s="5">
        <f t="shared" ref="U5954:U5955" si="2507">C5954+1</f>
        <v>40596</v>
      </c>
    </row>
    <row r="5955" spans="1:21" ht="12" customHeight="1">
      <c r="A5955" s="4">
        <v>803</v>
      </c>
      <c r="B5955" s="4">
        <v>5764</v>
      </c>
      <c r="C5955" s="5">
        <f>DATE(2012,12,31)-821</f>
        <v>40453</v>
      </c>
      <c r="D5955" s="4" t="s">
        <v>45</v>
      </c>
      <c r="E5955" s="4">
        <v>23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8.0399999999999991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7"/>
        <v>40454</v>
      </c>
    </row>
    <row r="5956" spans="1:21" ht="12" customHeight="1">
      <c r="A5956" s="4">
        <v>813</v>
      </c>
      <c r="B5956" s="4">
        <v>5860</v>
      </c>
      <c r="C5956" s="5">
        <f>DATE(2012,12,31)-316</f>
        <v>40958</v>
      </c>
      <c r="D5956" s="4" t="s">
        <v>45</v>
      </c>
      <c r="E5956" s="4">
        <v>12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spans="1:21" ht="12" customHeight="1">
      <c r="A5957" s="4">
        <v>854</v>
      </c>
      <c r="B5957" s="4">
        <v>6117</v>
      </c>
      <c r="C5957" s="5">
        <f>DATE(2012,12,31)-10</f>
        <v>41264</v>
      </c>
      <c r="D5957" s="4" t="s">
        <v>78</v>
      </c>
      <c r="E5957" s="4">
        <v>7</v>
      </c>
      <c r="F5957" s="4">
        <v>157.03</v>
      </c>
      <c r="G5957" s="4">
        <v>7.0000000000000007E-2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spans="1:21" ht="12" customHeight="1">
      <c r="A5958" s="4">
        <v>974</v>
      </c>
      <c r="B5958" s="4">
        <v>7077</v>
      </c>
      <c r="C5958" s="5">
        <f>DATE(2012,12,31)-376</f>
        <v>40898</v>
      </c>
      <c r="D5958" s="4" t="s">
        <v>30</v>
      </c>
      <c r="E5958" s="4">
        <v>14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8">C5958+2</f>
        <v>40900</v>
      </c>
    </row>
    <row r="5959" spans="1:21" ht="12" customHeight="1">
      <c r="A5959" s="4">
        <v>991</v>
      </c>
      <c r="B5959" s="4">
        <v>7142</v>
      </c>
      <c r="C5959" s="5">
        <f>DATE(2012,12,31)-529</f>
        <v>40745</v>
      </c>
      <c r="D5959" s="4" t="s">
        <v>78</v>
      </c>
      <c r="E5959" s="4">
        <v>36</v>
      </c>
      <c r="F5959" s="4">
        <v>132.86000000000001</v>
      </c>
      <c r="G5959" s="4">
        <v>0.06</v>
      </c>
      <c r="H5959" s="4" t="s">
        <v>22</v>
      </c>
      <c r="I5959" s="6">
        <v>57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8"/>
        <v>40747</v>
      </c>
    </row>
    <row r="5960" spans="1:21" ht="12" customHeight="1">
      <c r="A5960" s="4">
        <v>1088</v>
      </c>
      <c r="B5960" s="4">
        <v>8005</v>
      </c>
      <c r="C5960" s="5">
        <f>DATE(2012,12,31)-270</f>
        <v>41004</v>
      </c>
      <c r="D5960" s="4" t="s">
        <v>78</v>
      </c>
      <c r="E5960" s="4">
        <v>24</v>
      </c>
      <c r="F5960" s="4">
        <v>790.63</v>
      </c>
      <c r="G5960" s="4">
        <v>0.1</v>
      </c>
      <c r="H5960" s="4" t="s">
        <v>22</v>
      </c>
      <c r="I5960" s="6">
        <v>52.317500000000003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8"/>
        <v>41006</v>
      </c>
    </row>
    <row r="5961" spans="1:21" ht="12" customHeight="1">
      <c r="A5961" s="4">
        <v>1213</v>
      </c>
      <c r="B5961" s="4">
        <v>8902</v>
      </c>
      <c r="C5961" s="5">
        <f>DATE(2012,12,31)-561</f>
        <v>40713</v>
      </c>
      <c r="D5961" s="4" t="s">
        <v>30</v>
      </c>
      <c r="E5961" s="4">
        <v>27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8"/>
        <v>40715</v>
      </c>
    </row>
    <row r="5962" spans="1:21" ht="12" customHeight="1">
      <c r="A5962" s="4">
        <v>1306</v>
      </c>
      <c r="B5962" s="4">
        <v>9573</v>
      </c>
      <c r="C5962" s="5">
        <f>DATE(2012,12,31)-201</f>
        <v>41073</v>
      </c>
      <c r="D5962" s="4" t="s">
        <v>63</v>
      </c>
      <c r="E5962" s="4">
        <v>21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spans="1:21" ht="12" customHeight="1">
      <c r="A5963" s="4">
        <v>1510</v>
      </c>
      <c r="B5963" s="4">
        <v>10917</v>
      </c>
      <c r="C5963" s="5">
        <f>DATE(2012,12,31)-325</f>
        <v>40949</v>
      </c>
      <c r="D5963" s="4" t="s">
        <v>78</v>
      </c>
      <c r="E5963" s="4">
        <v>14</v>
      </c>
      <c r="F5963" s="4">
        <v>1281.3579999999999</v>
      </c>
      <c r="G5963" s="4">
        <v>0.09</v>
      </c>
      <c r="H5963" s="4" t="s">
        <v>56</v>
      </c>
      <c r="I5963" s="6">
        <v>-90.123000000000005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0.56999999999999995</v>
      </c>
      <c r="U5963" s="5">
        <f>C5963+2</f>
        <v>40951</v>
      </c>
    </row>
    <row r="5964" spans="1:21" ht="12" customHeight="1">
      <c r="A5964" s="4">
        <v>1602</v>
      </c>
      <c r="B5964" s="4">
        <v>11648</v>
      </c>
      <c r="C5964" s="5">
        <f t="shared" ref="C5964:C5965" si="2509">DATE(2012,12,31)-632</f>
        <v>40642</v>
      </c>
      <c r="D5964" s="4" t="s">
        <v>21</v>
      </c>
      <c r="E5964" s="4">
        <v>1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35.409999999999997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spans="1:21" ht="12" customHeight="1">
      <c r="A5965" s="4">
        <v>1603</v>
      </c>
      <c r="B5965" s="4">
        <v>11648</v>
      </c>
      <c r="C5965" s="5">
        <f t="shared" si="2509"/>
        <v>40642</v>
      </c>
      <c r="D5965" s="4" t="s">
        <v>21</v>
      </c>
      <c r="E5965" s="4">
        <v>33</v>
      </c>
      <c r="F5965" s="4">
        <v>570.51</v>
      </c>
      <c r="G5965" s="4">
        <v>0</v>
      </c>
      <c r="H5965" s="4" t="s">
        <v>22</v>
      </c>
      <c r="I5965" s="6">
        <v>-142.75</v>
      </c>
      <c r="J5965" s="4">
        <v>16.739999999999998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spans="1:21" ht="12" customHeight="1">
      <c r="A5966" s="4">
        <v>1763</v>
      </c>
      <c r="B5966" s="4">
        <v>12641</v>
      </c>
      <c r="C5966" s="5">
        <f t="shared" ref="C5966:C5968" si="2510">DATE(2012,12,31)-678</f>
        <v>40596</v>
      </c>
      <c r="D5966" s="4" t="s">
        <v>21</v>
      </c>
      <c r="E5966" s="4">
        <v>2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4.8600000000000003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spans="1:21" ht="12" customHeight="1">
      <c r="A5967" s="4">
        <v>1764</v>
      </c>
      <c r="B5967" s="4">
        <v>12641</v>
      </c>
      <c r="C5967" s="5">
        <f t="shared" si="2510"/>
        <v>40596</v>
      </c>
      <c r="D5967" s="4" t="s">
        <v>21</v>
      </c>
      <c r="E5967" s="4">
        <v>25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1">C5967+4</f>
        <v>40600</v>
      </c>
    </row>
    <row r="5968" spans="1:21" ht="12" customHeight="1">
      <c r="A5968" s="4">
        <v>1765</v>
      </c>
      <c r="B5968" s="4">
        <v>12641</v>
      </c>
      <c r="C5968" s="5">
        <f t="shared" si="2510"/>
        <v>40596</v>
      </c>
      <c r="D5968" s="4" t="s">
        <v>21</v>
      </c>
      <c r="E5968" s="4">
        <v>24</v>
      </c>
      <c r="F5968" s="4">
        <v>3668.6</v>
      </c>
      <c r="G5968" s="4">
        <v>7.0000000000000007E-2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1"/>
        <v>40600</v>
      </c>
    </row>
    <row r="5969" spans="1:21" ht="12" customHeight="1">
      <c r="A5969" s="4">
        <v>1960</v>
      </c>
      <c r="B5969" s="4">
        <v>14018</v>
      </c>
      <c r="C5969" s="5">
        <f>DATE(2012,12,31)-939</f>
        <v>40335</v>
      </c>
      <c r="D5969" s="4" t="s">
        <v>30</v>
      </c>
      <c r="E5969" s="4">
        <v>30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4.9800000000000004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spans="1:21" ht="12" customHeight="1">
      <c r="A5970" s="4">
        <v>2142</v>
      </c>
      <c r="B5970" s="4">
        <v>15300</v>
      </c>
      <c r="C5970" s="5">
        <f>DATE(2012,12,31)-692</f>
        <v>40582</v>
      </c>
      <c r="D5970" s="4" t="s">
        <v>30</v>
      </c>
      <c r="E5970" s="4">
        <v>42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5.0599999999999996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spans="1:21" ht="12" customHeight="1">
      <c r="A5971" s="4">
        <v>2154</v>
      </c>
      <c r="B5971" s="4">
        <v>15425</v>
      </c>
      <c r="C5971" s="5">
        <f>DATE(2012,12,31)-525</f>
        <v>40749</v>
      </c>
      <c r="D5971" s="4" t="s">
        <v>21</v>
      </c>
      <c r="E5971" s="4">
        <v>29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19.989999999999998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spans="1:21" ht="12" customHeight="1">
      <c r="A5972" s="4">
        <v>2277</v>
      </c>
      <c r="B5972" s="4">
        <v>16390</v>
      </c>
      <c r="C5972" s="5">
        <f>DATE(2012,12,31)-282</f>
        <v>40992</v>
      </c>
      <c r="D5972" s="4" t="s">
        <v>63</v>
      </c>
      <c r="E5972" s="4">
        <v>8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0.56999999999999995</v>
      </c>
      <c r="U5972" s="5">
        <f t="shared" ref="U5972:U5976" si="2512">C5972+2</f>
        <v>40994</v>
      </c>
    </row>
    <row r="5973" spans="1:21" ht="12" customHeight="1">
      <c r="A5973" s="4">
        <v>2333</v>
      </c>
      <c r="B5973" s="4">
        <v>16805</v>
      </c>
      <c r="C5973" s="5">
        <f t="shared" ref="C5973:C5974" si="2513">DATE(2012,12,31)-367</f>
        <v>40907</v>
      </c>
      <c r="D5973" s="4" t="s">
        <v>21</v>
      </c>
      <c r="E5973" s="4">
        <v>29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2"/>
        <v>40909</v>
      </c>
    </row>
    <row r="5974" spans="1:21" ht="12" customHeight="1">
      <c r="A5974" s="4">
        <v>2334</v>
      </c>
      <c r="B5974" s="4">
        <v>16805</v>
      </c>
      <c r="C5974" s="5">
        <f t="shared" si="2513"/>
        <v>40907</v>
      </c>
      <c r="D5974" s="4" t="s">
        <v>21</v>
      </c>
      <c r="E5974" s="4">
        <v>26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2"/>
        <v>40909</v>
      </c>
    </row>
    <row r="5975" spans="1:21" ht="12" customHeight="1">
      <c r="A5975" s="4">
        <v>2586</v>
      </c>
      <c r="B5975" s="4">
        <v>18688</v>
      </c>
      <c r="C5975" s="5">
        <f t="shared" ref="C5975:C5977" si="2514">DATE(2012,12,31)-667</f>
        <v>40607</v>
      </c>
      <c r="D5975" s="4" t="s">
        <v>45</v>
      </c>
      <c r="E5975" s="4">
        <v>49</v>
      </c>
      <c r="F5975" s="4">
        <v>14346.73</v>
      </c>
      <c r="G5975" s="4">
        <v>0.04</v>
      </c>
      <c r="H5975" s="4" t="s">
        <v>22</v>
      </c>
      <c r="I5975" s="6">
        <v>5762.5239999999994</v>
      </c>
      <c r="J5975" s="4">
        <v>304.99</v>
      </c>
      <c r="K5975" s="4">
        <v>19.989999999999998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2"/>
        <v>40609</v>
      </c>
    </row>
    <row r="5976" spans="1:21" ht="12" customHeight="1">
      <c r="A5976" s="4">
        <v>2587</v>
      </c>
      <c r="B5976" s="4">
        <v>18688</v>
      </c>
      <c r="C5976" s="5">
        <f t="shared" si="2514"/>
        <v>40607</v>
      </c>
      <c r="D5976" s="4" t="s">
        <v>45</v>
      </c>
      <c r="E5976" s="4">
        <v>15</v>
      </c>
      <c r="F5976" s="4">
        <v>40.340000000000003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2"/>
        <v>40609</v>
      </c>
    </row>
    <row r="5977" spans="1:21" ht="12" customHeight="1">
      <c r="A5977" s="4">
        <v>2588</v>
      </c>
      <c r="B5977" s="4">
        <v>18688</v>
      </c>
      <c r="C5977" s="5">
        <f t="shared" si="2514"/>
        <v>40607</v>
      </c>
      <c r="D5977" s="4" t="s">
        <v>45</v>
      </c>
      <c r="E5977" s="4">
        <v>41</v>
      </c>
      <c r="F5977" s="4">
        <v>3951.6754999999998</v>
      </c>
      <c r="G5977" s="4">
        <v>0.1</v>
      </c>
      <c r="H5977" s="4" t="s">
        <v>22</v>
      </c>
      <c r="I5977" s="6">
        <v>812.24099999999999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0.56999999999999995</v>
      </c>
      <c r="U5977" s="5">
        <f t="shared" ref="U5977:U5979" si="2515">C5977+1</f>
        <v>40608</v>
      </c>
    </row>
    <row r="5978" spans="1:21" ht="12" customHeight="1">
      <c r="A5978" s="4">
        <v>2734</v>
      </c>
      <c r="B5978" s="4">
        <v>19745</v>
      </c>
      <c r="C5978" s="5">
        <f t="shared" ref="C5978:C5981" si="2516">DATE(2012,12,31)-13</f>
        <v>41261</v>
      </c>
      <c r="D5978" s="4" t="s">
        <v>30</v>
      </c>
      <c r="E5978" s="4">
        <v>25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5"/>
        <v>41262</v>
      </c>
    </row>
    <row r="5979" spans="1:21" ht="12" customHeight="1">
      <c r="A5979" s="4">
        <v>2735</v>
      </c>
      <c r="B5979" s="4">
        <v>19745</v>
      </c>
      <c r="C5979" s="5">
        <f t="shared" si="2516"/>
        <v>41261</v>
      </c>
      <c r="D5979" s="4" t="s">
        <v>30</v>
      </c>
      <c r="E5979" s="4">
        <v>29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300.97000000000003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5"/>
        <v>41262</v>
      </c>
    </row>
    <row r="5980" spans="1:21" ht="12" customHeight="1">
      <c r="A5980" s="4">
        <v>2736</v>
      </c>
      <c r="B5980" s="4">
        <v>19745</v>
      </c>
      <c r="C5980" s="5">
        <f t="shared" si="2516"/>
        <v>41261</v>
      </c>
      <c r="D5980" s="4" t="s">
        <v>30</v>
      </c>
      <c r="E5980" s="4">
        <v>2</v>
      </c>
      <c r="F5980" s="4">
        <v>63.96</v>
      </c>
      <c r="G5980" s="4">
        <v>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spans="1:21" ht="12" customHeight="1">
      <c r="A5981" s="4">
        <v>2737</v>
      </c>
      <c r="B5981" s="4">
        <v>19745</v>
      </c>
      <c r="C5981" s="5">
        <f t="shared" si="2516"/>
        <v>41261</v>
      </c>
      <c r="D5981" s="4" t="s">
        <v>30</v>
      </c>
      <c r="E5981" s="4">
        <v>50</v>
      </c>
      <c r="F5981" s="4">
        <v>833</v>
      </c>
      <c r="G5981" s="4">
        <v>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spans="1:21" ht="12" customHeight="1">
      <c r="A5982" s="4">
        <v>2878</v>
      </c>
      <c r="B5982" s="4">
        <v>20741</v>
      </c>
      <c r="C5982" s="5">
        <f>DATE(2012,12,31)-793</f>
        <v>40481</v>
      </c>
      <c r="D5982" s="4" t="s">
        <v>21</v>
      </c>
      <c r="E5982" s="4">
        <v>43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0.57999999999999996</v>
      </c>
      <c r="U5982" s="5">
        <f>C5982+7</f>
        <v>40488</v>
      </c>
    </row>
    <row r="5983" spans="1:21" ht="12" customHeight="1">
      <c r="A5983" s="4">
        <v>3321</v>
      </c>
      <c r="B5983" s="4">
        <v>23746</v>
      </c>
      <c r="C5983" s="5">
        <f>DATE(2012,12,31)-747</f>
        <v>40527</v>
      </c>
      <c r="D5983" s="4" t="s">
        <v>30</v>
      </c>
      <c r="E5983" s="4">
        <v>10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spans="1:21" ht="12" customHeight="1">
      <c r="A5984" s="4">
        <v>3469</v>
      </c>
      <c r="B5984" s="4">
        <v>24705</v>
      </c>
      <c r="C5984" s="5">
        <f t="shared" ref="C5984:C5985" si="2517">DATE(2012,12,31)-473</f>
        <v>40801</v>
      </c>
      <c r="D5984" s="4" t="s">
        <v>78</v>
      </c>
      <c r="E5984" s="4">
        <v>34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8">C5984+2</f>
        <v>40803</v>
      </c>
    </row>
    <row r="5985" spans="1:21" ht="12" customHeight="1">
      <c r="A5985" s="4">
        <v>3470</v>
      </c>
      <c r="B5985" s="4">
        <v>24705</v>
      </c>
      <c r="C5985" s="5">
        <f t="shared" si="2517"/>
        <v>40801</v>
      </c>
      <c r="D5985" s="4" t="s">
        <v>78</v>
      </c>
      <c r="E5985" s="4">
        <v>15</v>
      </c>
      <c r="F5985" s="4">
        <v>466.28</v>
      </c>
      <c r="G5985" s="4">
        <v>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8"/>
        <v>40803</v>
      </c>
    </row>
    <row r="5986" spans="1:21" ht="12" customHeight="1">
      <c r="A5986" s="4">
        <v>3512</v>
      </c>
      <c r="B5986" s="4">
        <v>25028</v>
      </c>
      <c r="C5986" s="5">
        <f t="shared" ref="C5986:C5987" si="2519">DATE(2012,12,31)-726</f>
        <v>40548</v>
      </c>
      <c r="D5986" s="4" t="s">
        <v>78</v>
      </c>
      <c r="E5986" s="4">
        <v>5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spans="1:21" ht="12" customHeight="1">
      <c r="A5987" s="4">
        <v>3513</v>
      </c>
      <c r="B5987" s="4">
        <v>25028</v>
      </c>
      <c r="C5987" s="5">
        <f t="shared" si="2519"/>
        <v>40548</v>
      </c>
      <c r="D5987" s="4" t="s">
        <v>78</v>
      </c>
      <c r="E5987" s="4">
        <v>14</v>
      </c>
      <c r="F5987" s="4">
        <v>552.08000000000004</v>
      </c>
      <c r="G5987" s="4">
        <v>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0">C5987+2</f>
        <v>40550</v>
      </c>
    </row>
    <row r="5988" spans="1:21" ht="12" customHeight="1">
      <c r="A5988" s="4">
        <v>3562</v>
      </c>
      <c r="B5988" s="4">
        <v>25412</v>
      </c>
      <c r="C5988" s="5">
        <f>DATE(2012,12,31)-574</f>
        <v>40700</v>
      </c>
      <c r="D5988" s="4" t="s">
        <v>45</v>
      </c>
      <c r="E5988" s="4">
        <v>18</v>
      </c>
      <c r="F5988" s="4">
        <v>129.77000000000001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0"/>
        <v>40702</v>
      </c>
    </row>
    <row r="5989" spans="1:21" ht="12" customHeight="1">
      <c r="A5989" s="4">
        <v>3773</v>
      </c>
      <c r="B5989" s="4">
        <v>26947</v>
      </c>
      <c r="C5989" s="5">
        <f>DATE(2012,12,31)-941</f>
        <v>40333</v>
      </c>
      <c r="D5989" s="4" t="s">
        <v>30</v>
      </c>
      <c r="E5989" s="4">
        <v>4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spans="1:21" ht="12" customHeight="1">
      <c r="A5990" s="4">
        <v>3810</v>
      </c>
      <c r="B5990" s="4">
        <v>27138</v>
      </c>
      <c r="C5990" s="5">
        <f t="shared" ref="C5990:C5991" si="2521">DATE(2012,12,31)-215</f>
        <v>41059</v>
      </c>
      <c r="D5990" s="4" t="s">
        <v>30</v>
      </c>
      <c r="E5990" s="4">
        <v>31</v>
      </c>
      <c r="F5990" s="4">
        <v>2976.21</v>
      </c>
      <c r="G5990" s="4">
        <v>7.0000000000000007E-2</v>
      </c>
      <c r="H5990" s="4" t="s">
        <v>31</v>
      </c>
      <c r="I5990" s="6">
        <v>-277.63</v>
      </c>
      <c r="J5990" s="4">
        <v>100.98</v>
      </c>
      <c r="K5990" s="4">
        <v>35.840000000000003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2">C5990+2</f>
        <v>41061</v>
      </c>
    </row>
    <row r="5991" spans="1:21" ht="12" customHeight="1">
      <c r="A5991" s="4">
        <v>3811</v>
      </c>
      <c r="B5991" s="4">
        <v>27138</v>
      </c>
      <c r="C5991" s="5">
        <f t="shared" si="2521"/>
        <v>41059</v>
      </c>
      <c r="D5991" s="4" t="s">
        <v>30</v>
      </c>
      <c r="E5991" s="4">
        <v>37</v>
      </c>
      <c r="F5991" s="4">
        <v>1894.1654999999998</v>
      </c>
      <c r="G5991" s="4">
        <v>0.1</v>
      </c>
      <c r="H5991" s="4" t="s">
        <v>22</v>
      </c>
      <c r="I5991" s="6">
        <v>134.72999999999999</v>
      </c>
      <c r="J5991" s="4">
        <v>65.989999999999995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0.57999999999999996</v>
      </c>
      <c r="U5991" s="5">
        <f t="shared" si="2522"/>
        <v>41061</v>
      </c>
    </row>
    <row r="5992" spans="1:21" ht="12" customHeight="1">
      <c r="A5992" s="4">
        <v>3919</v>
      </c>
      <c r="B5992" s="4">
        <v>27939</v>
      </c>
      <c r="C5992" s="5">
        <f>DATE(2012,12,31)-265</f>
        <v>41009</v>
      </c>
      <c r="D5992" s="4" t="s">
        <v>63</v>
      </c>
      <c r="E5992" s="4">
        <v>8</v>
      </c>
      <c r="F5992" s="4">
        <v>60.17</v>
      </c>
      <c r="G5992" s="4">
        <v>0</v>
      </c>
      <c r="H5992" s="4" t="s">
        <v>22</v>
      </c>
      <c r="I5992" s="6">
        <v>-18.239999999999998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2"/>
        <v>41011</v>
      </c>
    </row>
    <row r="5993" spans="1:21" ht="12" customHeight="1">
      <c r="A5993" s="4">
        <v>3999</v>
      </c>
      <c r="B5993" s="4">
        <v>28544</v>
      </c>
      <c r="C5993" s="5">
        <f>DATE(2012,12,31)-125</f>
        <v>41149</v>
      </c>
      <c r="D5993" s="4" t="s">
        <v>78</v>
      </c>
      <c r="E5993" s="4">
        <v>24</v>
      </c>
      <c r="F5993" s="4">
        <v>68.5</v>
      </c>
      <c r="G5993" s="4">
        <v>7.0000000000000007E-2</v>
      </c>
      <c r="H5993" s="4" t="s">
        <v>22</v>
      </c>
      <c r="I5993" s="6">
        <v>2.6859999999999999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3">C5993+1</f>
        <v>41150</v>
      </c>
    </row>
    <row r="5994" spans="1:21" ht="12" customHeight="1">
      <c r="A5994" s="4">
        <v>4262</v>
      </c>
      <c r="B5994" s="4">
        <v>30343</v>
      </c>
      <c r="C5994" s="5">
        <f t="shared" ref="C5994:C5995" si="2524">DATE(2012,12,31)-224</f>
        <v>41050</v>
      </c>
      <c r="D5994" s="4" t="s">
        <v>78</v>
      </c>
      <c r="E5994" s="4">
        <v>48</v>
      </c>
      <c r="F5994" s="4">
        <v>1556.42</v>
      </c>
      <c r="G5994" s="4">
        <v>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3"/>
        <v>41051</v>
      </c>
    </row>
    <row r="5995" spans="1:21" ht="12" customHeight="1">
      <c r="A5995" s="4">
        <v>4263</v>
      </c>
      <c r="B5995" s="4">
        <v>30343</v>
      </c>
      <c r="C5995" s="5">
        <f t="shared" si="2524"/>
        <v>41050</v>
      </c>
      <c r="D5995" s="4" t="s">
        <v>78</v>
      </c>
      <c r="E5995" s="4">
        <v>28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5">C5995+2</f>
        <v>41052</v>
      </c>
    </row>
    <row r="5996" spans="1:21" ht="12" customHeight="1">
      <c r="A5996" s="4">
        <v>4272</v>
      </c>
      <c r="B5996" s="4">
        <v>30403</v>
      </c>
      <c r="C5996" s="5">
        <f t="shared" ref="C5996:C5997" si="2526">DATE(2012,12,31)-174</f>
        <v>41100</v>
      </c>
      <c r="D5996" s="4" t="s">
        <v>30</v>
      </c>
      <c r="E5996" s="4">
        <v>41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5"/>
        <v>41102</v>
      </c>
    </row>
    <row r="5997" spans="1:21" ht="12" customHeight="1">
      <c r="A5997" s="4">
        <v>4273</v>
      </c>
      <c r="B5997" s="4">
        <v>30403</v>
      </c>
      <c r="C5997" s="5">
        <f t="shared" si="2526"/>
        <v>41100</v>
      </c>
      <c r="D5997" s="4" t="s">
        <v>30</v>
      </c>
      <c r="E5997" s="4">
        <v>24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161.55000000000001</v>
      </c>
      <c r="K5997" s="4">
        <v>19.989999999999998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spans="1:21" ht="12" customHeight="1">
      <c r="A5998" s="4">
        <v>4466</v>
      </c>
      <c r="B5998" s="4">
        <v>31844</v>
      </c>
      <c r="C5998" s="5">
        <f>DATE(2012,12,31)-548</f>
        <v>40726</v>
      </c>
      <c r="D5998" s="4" t="s">
        <v>45</v>
      </c>
      <c r="E5998" s="4">
        <v>14</v>
      </c>
      <c r="F5998" s="4">
        <v>2085.9299999999998</v>
      </c>
      <c r="G5998" s="4">
        <v>0.09</v>
      </c>
      <c r="H5998" s="4" t="s">
        <v>31</v>
      </c>
      <c r="I5998" s="6">
        <v>-517.73</v>
      </c>
      <c r="J5998" s="4">
        <v>150.97999999999999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spans="1:21" ht="12" customHeight="1">
      <c r="A5999" s="4">
        <v>4558</v>
      </c>
      <c r="B5999" s="4">
        <v>32449</v>
      </c>
      <c r="C5999" s="5">
        <f t="shared" ref="C5999:C6001" si="2527">DATE(2012,12,31)-22</f>
        <v>41252</v>
      </c>
      <c r="D5999" s="4" t="s">
        <v>78</v>
      </c>
      <c r="E5999" s="4">
        <v>39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8">C5999+1</f>
        <v>41253</v>
      </c>
    </row>
    <row r="6000" spans="1:21" ht="12" customHeight="1">
      <c r="A6000" s="4">
        <v>4559</v>
      </c>
      <c r="B6000" s="4">
        <v>32449</v>
      </c>
      <c r="C6000" s="5">
        <f t="shared" si="2527"/>
        <v>41252</v>
      </c>
      <c r="D6000" s="4" t="s">
        <v>78</v>
      </c>
      <c r="E6000" s="4">
        <v>12</v>
      </c>
      <c r="F6000" s="4">
        <v>4887.1400000000003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8"/>
        <v>41253</v>
      </c>
    </row>
    <row r="6001" spans="1:21" ht="12" customHeight="1">
      <c r="A6001" s="4">
        <v>4560</v>
      </c>
      <c r="B6001" s="4">
        <v>32449</v>
      </c>
      <c r="C6001" s="5">
        <f t="shared" si="2527"/>
        <v>41252</v>
      </c>
      <c r="D6001" s="4" t="s">
        <v>78</v>
      </c>
      <c r="E6001" s="4">
        <v>44</v>
      </c>
      <c r="F6001" s="4">
        <v>7195.2584999999999</v>
      </c>
      <c r="G6001" s="4">
        <v>0.09</v>
      </c>
      <c r="H6001" s="4" t="s">
        <v>56</v>
      </c>
      <c r="I6001" s="6">
        <v>1698.1559999999999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8"/>
        <v>41253</v>
      </c>
    </row>
    <row r="6002" spans="1:21" ht="12" customHeight="1">
      <c r="A6002" s="4">
        <v>4759</v>
      </c>
      <c r="B6002" s="4">
        <v>33824</v>
      </c>
      <c r="C6002" s="5">
        <f>DATE(2012,12,31)-670</f>
        <v>40604</v>
      </c>
      <c r="D6002" s="4" t="s">
        <v>78</v>
      </c>
      <c r="E6002" s="4">
        <v>19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8"/>
        <v>40605</v>
      </c>
    </row>
    <row r="6003" spans="1:21" ht="12" customHeight="1">
      <c r="A6003" s="4">
        <v>4806</v>
      </c>
      <c r="B6003" s="4">
        <v>34179</v>
      </c>
      <c r="C6003" s="5">
        <f>DATE(2012,12,31)-425</f>
        <v>40849</v>
      </c>
      <c r="D6003" s="4" t="s">
        <v>45</v>
      </c>
      <c r="E6003" s="4">
        <v>21</v>
      </c>
      <c r="F6003" s="4">
        <v>293.27</v>
      </c>
      <c r="G6003" s="4">
        <v>7.0000000000000007E-2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spans="1:21" ht="12" customHeight="1">
      <c r="A6004" s="4">
        <v>4819</v>
      </c>
      <c r="B6004" s="4">
        <v>34245</v>
      </c>
      <c r="C6004" s="5">
        <f>DATE(2012,12,31)-1058</f>
        <v>40216</v>
      </c>
      <c r="D6004" s="4" t="s">
        <v>63</v>
      </c>
      <c r="E6004" s="4">
        <v>42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spans="1:21" ht="12" customHeight="1">
      <c r="A6005" s="4">
        <v>4926</v>
      </c>
      <c r="B6005" s="4">
        <v>35046</v>
      </c>
      <c r="C6005" s="5">
        <f t="shared" ref="C6005:C6007" si="2529">DATE(2012,12,31)-891</f>
        <v>40383</v>
      </c>
      <c r="D6005" s="4" t="s">
        <v>63</v>
      </c>
      <c r="E6005" s="4">
        <v>21</v>
      </c>
      <c r="F6005" s="4">
        <v>151.86000000000001</v>
      </c>
      <c r="G6005" s="4">
        <v>0.1</v>
      </c>
      <c r="H6005" s="4" t="s">
        <v>56</v>
      </c>
      <c r="I6005" s="6">
        <v>-54.670999999999999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spans="1:21" ht="12" customHeight="1">
      <c r="A6006" s="4">
        <v>4927</v>
      </c>
      <c r="B6006" s="4">
        <v>35046</v>
      </c>
      <c r="C6006" s="5">
        <f t="shared" si="2529"/>
        <v>40383</v>
      </c>
      <c r="D6006" s="4" t="s">
        <v>63</v>
      </c>
      <c r="E6006" s="4">
        <v>13</v>
      </c>
      <c r="F6006" s="4">
        <v>3583.87</v>
      </c>
      <c r="G6006" s="4">
        <v>7.0000000000000007E-2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0">C6006+1</f>
        <v>40384</v>
      </c>
    </row>
    <row r="6007" spans="1:21" ht="12" customHeight="1">
      <c r="A6007" s="4">
        <v>4928</v>
      </c>
      <c r="B6007" s="4">
        <v>35046</v>
      </c>
      <c r="C6007" s="5">
        <f t="shared" si="2529"/>
        <v>40383</v>
      </c>
      <c r="D6007" s="4" t="s">
        <v>63</v>
      </c>
      <c r="E6007" s="4">
        <v>45</v>
      </c>
      <c r="F6007" s="4">
        <v>4951.3599999999997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0"/>
        <v>40384</v>
      </c>
    </row>
    <row r="6008" spans="1:21" ht="12" customHeight="1">
      <c r="A6008" s="4">
        <v>5004</v>
      </c>
      <c r="B6008" s="4">
        <v>35684</v>
      </c>
      <c r="C6008" s="5">
        <f>DATE(2012,12,31)-516</f>
        <v>40758</v>
      </c>
      <c r="D6008" s="4" t="s">
        <v>21</v>
      </c>
      <c r="E6008" s="4">
        <v>10</v>
      </c>
      <c r="F6008" s="4">
        <v>910.98</v>
      </c>
      <c r="G6008" s="4">
        <v>7.0000000000000007E-2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spans="1:21" ht="12" customHeight="1">
      <c r="A6009" s="4">
        <v>5064</v>
      </c>
      <c r="B6009" s="4">
        <v>36101</v>
      </c>
      <c r="C6009" s="5">
        <f>DATE(2012,12,31)-133</f>
        <v>41141</v>
      </c>
      <c r="D6009" s="4" t="s">
        <v>30</v>
      </c>
      <c r="E6009" s="4">
        <v>3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140.97999999999999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spans="1:21" ht="12" customHeight="1">
      <c r="A6010" s="4">
        <v>5107</v>
      </c>
      <c r="B6010" s="4">
        <v>36387</v>
      </c>
      <c r="C6010" s="5">
        <f>DATE(2012,12,31)-420</f>
        <v>40854</v>
      </c>
      <c r="D6010" s="4" t="s">
        <v>30</v>
      </c>
      <c r="E6010" s="4">
        <v>32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spans="1:21" ht="12" customHeight="1">
      <c r="A6011" s="4">
        <v>5143</v>
      </c>
      <c r="B6011" s="4">
        <v>36673</v>
      </c>
      <c r="C6011" s="5">
        <f>DATE(2012,12,31)-840</f>
        <v>40434</v>
      </c>
      <c r="D6011" s="4" t="s">
        <v>21</v>
      </c>
      <c r="E6011" s="4">
        <v>20</v>
      </c>
      <c r="F6011" s="4">
        <v>984.63150000000007</v>
      </c>
      <c r="G6011" s="4">
        <v>0</v>
      </c>
      <c r="H6011" s="4" t="s">
        <v>22</v>
      </c>
      <c r="I6011" s="6">
        <v>-129.13999999999999</v>
      </c>
      <c r="J6011" s="4">
        <v>55.99</v>
      </c>
      <c r="K6011" s="4">
        <v>5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spans="1:21" ht="12" customHeight="1">
      <c r="A6012" s="4">
        <v>5149</v>
      </c>
      <c r="B6012" s="4">
        <v>36704</v>
      </c>
      <c r="C6012" s="5">
        <f t="shared" ref="C6012:C6013" si="2531">DATE(2012,12,31)-564</f>
        <v>40710</v>
      </c>
      <c r="D6012" s="4" t="s">
        <v>30</v>
      </c>
      <c r="E6012" s="4">
        <v>43</v>
      </c>
      <c r="F6012" s="4">
        <v>134.33000000000001</v>
      </c>
      <c r="G6012" s="4">
        <v>7.0000000000000007E-2</v>
      </c>
      <c r="H6012" s="4" t="s">
        <v>56</v>
      </c>
      <c r="I6012" s="6">
        <v>25.02</v>
      </c>
      <c r="J6012" s="4">
        <v>3.14</v>
      </c>
      <c r="K6012" s="4">
        <v>1.1399999999999999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spans="1:21" ht="12" customHeight="1">
      <c r="A6013" s="4">
        <v>5150</v>
      </c>
      <c r="B6013" s="4">
        <v>36704</v>
      </c>
      <c r="C6013" s="5">
        <f t="shared" si="2531"/>
        <v>40710</v>
      </c>
      <c r="D6013" s="4" t="s">
        <v>30</v>
      </c>
      <c r="E6013" s="4">
        <v>19</v>
      </c>
      <c r="F6013" s="4">
        <v>70.319999999999993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2">C6013+2</f>
        <v>40712</v>
      </c>
    </row>
    <row r="6014" spans="1:21" ht="12" customHeight="1">
      <c r="A6014" s="4">
        <v>5226</v>
      </c>
      <c r="B6014" s="4">
        <v>37218</v>
      </c>
      <c r="C6014" s="5">
        <f t="shared" ref="C6014:C6015" si="2533">DATE(2012,12,31)-743</f>
        <v>40531</v>
      </c>
      <c r="D6014" s="4" t="s">
        <v>30</v>
      </c>
      <c r="E6014" s="4">
        <v>29</v>
      </c>
      <c r="F6014" s="4">
        <v>1768.13</v>
      </c>
      <c r="G6014" s="4">
        <v>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0.56000000000000005</v>
      </c>
      <c r="U6014" s="5">
        <f t="shared" si="2532"/>
        <v>40533</v>
      </c>
    </row>
    <row r="6015" spans="1:21" ht="12" customHeight="1">
      <c r="A6015" s="4">
        <v>5227</v>
      </c>
      <c r="B6015" s="4">
        <v>37218</v>
      </c>
      <c r="C6015" s="5">
        <f t="shared" si="2533"/>
        <v>40531</v>
      </c>
      <c r="D6015" s="4" t="s">
        <v>30</v>
      </c>
      <c r="E6015" s="4">
        <v>23</v>
      </c>
      <c r="F6015" s="4">
        <v>147.05000000000001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spans="1:21" ht="12" customHeight="1">
      <c r="A6016" s="4">
        <v>5388</v>
      </c>
      <c r="B6016" s="4">
        <v>38311</v>
      </c>
      <c r="C6016" s="5">
        <f>DATE(2012,12,31)-618</f>
        <v>40656</v>
      </c>
      <c r="D6016" s="4" t="s">
        <v>63</v>
      </c>
      <c r="E6016" s="4">
        <v>9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19.989999999999998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4">C6016+2</f>
        <v>40658</v>
      </c>
    </row>
    <row r="6017" spans="1:21" ht="12" customHeight="1">
      <c r="A6017" s="4">
        <v>5407</v>
      </c>
      <c r="B6017" s="4">
        <v>38438</v>
      </c>
      <c r="C6017" s="5">
        <f t="shared" ref="C6017:C6018" si="2535">DATE(2012,12,31)-580</f>
        <v>40694</v>
      </c>
      <c r="D6017" s="4" t="s">
        <v>78</v>
      </c>
      <c r="E6017" s="4">
        <v>16</v>
      </c>
      <c r="F6017" s="4">
        <v>621.92999999999995</v>
      </c>
      <c r="G6017" s="4">
        <v>0.08</v>
      </c>
      <c r="H6017" s="4" t="s">
        <v>22</v>
      </c>
      <c r="I6017" s="6">
        <v>-49.77</v>
      </c>
      <c r="J6017" s="4">
        <v>39.979999999999997</v>
      </c>
      <c r="K6017" s="4">
        <v>4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4"/>
        <v>40696</v>
      </c>
    </row>
    <row r="6018" spans="1:21" ht="12" customHeight="1">
      <c r="A6018" s="4">
        <v>5408</v>
      </c>
      <c r="B6018" s="4">
        <v>38438</v>
      </c>
      <c r="C6018" s="5">
        <f t="shared" si="2535"/>
        <v>40694</v>
      </c>
      <c r="D6018" s="4" t="s">
        <v>78</v>
      </c>
      <c r="E6018" s="4">
        <v>17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spans="1:21" ht="12" customHeight="1">
      <c r="A6019" s="4">
        <v>5656</v>
      </c>
      <c r="B6019" s="4">
        <v>40007</v>
      </c>
      <c r="C6019" s="5">
        <f>DATE(2012,12,31)-123</f>
        <v>41151</v>
      </c>
      <c r="D6019" s="4" t="s">
        <v>45</v>
      </c>
      <c r="E6019" s="4">
        <v>45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0.56999999999999995</v>
      </c>
      <c r="U6019" s="5">
        <f>C6019+2</f>
        <v>41153</v>
      </c>
    </row>
    <row r="6020" spans="1:21" ht="12" customHeight="1">
      <c r="A6020" s="4">
        <v>5660</v>
      </c>
      <c r="B6020" s="4">
        <v>40065</v>
      </c>
      <c r="C6020" s="5">
        <f t="shared" ref="C6020:C6021" si="2536">DATE(2012,12,31)-318</f>
        <v>40956</v>
      </c>
      <c r="D6020" s="4" t="s">
        <v>30</v>
      </c>
      <c r="E6020" s="4">
        <v>49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7">C6020+1</f>
        <v>40957</v>
      </c>
    </row>
    <row r="6021" spans="1:21" ht="12" customHeight="1">
      <c r="A6021" s="4">
        <v>5661</v>
      </c>
      <c r="B6021" s="4">
        <v>40065</v>
      </c>
      <c r="C6021" s="5">
        <f t="shared" si="2536"/>
        <v>40956</v>
      </c>
      <c r="D6021" s="4" t="s">
        <v>30</v>
      </c>
      <c r="E6021" s="4">
        <v>4</v>
      </c>
      <c r="F6021" s="4">
        <v>76.865499999999997</v>
      </c>
      <c r="G6021" s="4">
        <v>0.04</v>
      </c>
      <c r="H6021" s="4" t="s">
        <v>56</v>
      </c>
      <c r="I6021" s="6">
        <v>-54.505000000000003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7"/>
        <v>40957</v>
      </c>
    </row>
    <row r="6022" spans="1:21" ht="12" customHeight="1">
      <c r="A6022" s="4">
        <v>5671</v>
      </c>
      <c r="B6022" s="4">
        <v>40102</v>
      </c>
      <c r="C6022" s="5">
        <f>DATE(2012,12,31)-697</f>
        <v>40577</v>
      </c>
      <c r="D6022" s="4" t="s">
        <v>63</v>
      </c>
      <c r="E6022" s="4">
        <v>46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0.57999999999999996</v>
      </c>
      <c r="U6022" s="5">
        <f>C6022+2</f>
        <v>40579</v>
      </c>
    </row>
    <row r="6023" spans="1:21" ht="12" customHeight="1">
      <c r="A6023" s="4">
        <v>5707</v>
      </c>
      <c r="B6023" s="4">
        <v>40357</v>
      </c>
      <c r="C6023" s="5">
        <f>DATE(2012,12,31)-163</f>
        <v>41111</v>
      </c>
      <c r="D6023" s="4" t="s">
        <v>45</v>
      </c>
      <c r="E6023" s="4">
        <v>4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0.56000000000000005</v>
      </c>
      <c r="U6023" s="5">
        <f>C6023+1</f>
        <v>41112</v>
      </c>
    </row>
    <row r="6024" spans="1:21" ht="12" customHeight="1">
      <c r="A6024" s="4">
        <v>5799</v>
      </c>
      <c r="B6024" s="4">
        <v>41123</v>
      </c>
      <c r="C6024" s="5">
        <f>DATE(2012,12,31)-756</f>
        <v>40518</v>
      </c>
      <c r="D6024" s="4" t="s">
        <v>21</v>
      </c>
      <c r="E6024" s="4">
        <v>27</v>
      </c>
      <c r="F6024" s="4">
        <v>322.45999999999998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spans="1:21" ht="12" customHeight="1">
      <c r="A6025" s="4">
        <v>5891</v>
      </c>
      <c r="B6025" s="4">
        <v>41794</v>
      </c>
      <c r="C6025" s="5">
        <f t="shared" ref="C6025:C6027" si="2538">DATE(2012,12,31)-584</f>
        <v>40690</v>
      </c>
      <c r="D6025" s="4" t="s">
        <v>78</v>
      </c>
      <c r="E6025" s="4">
        <v>48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17.989999999999998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0.56999999999999995</v>
      </c>
      <c r="U6025" s="5">
        <f>C6025+1</f>
        <v>40691</v>
      </c>
    </row>
    <row r="6026" spans="1:21" ht="12" customHeight="1">
      <c r="A6026" s="4">
        <v>5892</v>
      </c>
      <c r="B6026" s="4">
        <v>41794</v>
      </c>
      <c r="C6026" s="5">
        <f t="shared" si="2538"/>
        <v>40690</v>
      </c>
      <c r="D6026" s="4" t="s">
        <v>78</v>
      </c>
      <c r="E6026" s="4">
        <v>21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39">C6026+2</f>
        <v>40692</v>
      </c>
    </row>
    <row r="6027" spans="1:21" ht="12" customHeight="1">
      <c r="A6027" s="4">
        <v>5893</v>
      </c>
      <c r="B6027" s="4">
        <v>41794</v>
      </c>
      <c r="C6027" s="5">
        <f t="shared" si="2538"/>
        <v>40690</v>
      </c>
      <c r="D6027" s="4" t="s">
        <v>78</v>
      </c>
      <c r="E6027" s="4">
        <v>49</v>
      </c>
      <c r="F6027" s="4">
        <v>891.60749999999996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4.8099999999999996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0.57999999999999996</v>
      </c>
      <c r="U6027" s="5">
        <f t="shared" si="2539"/>
        <v>40692</v>
      </c>
    </row>
    <row r="6028" spans="1:21" ht="12" customHeight="1">
      <c r="A6028" s="4">
        <v>6032</v>
      </c>
      <c r="B6028" s="4">
        <v>42725</v>
      </c>
      <c r="C6028" s="5">
        <f>DATE(2012,12,31)-609</f>
        <v>40665</v>
      </c>
      <c r="D6028" s="4" t="s">
        <v>63</v>
      </c>
      <c r="E6028" s="4">
        <v>18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0.56999999999999995</v>
      </c>
      <c r="U6028" s="5">
        <f t="shared" ref="U6028:U6029" si="2540">C6028+1</f>
        <v>40666</v>
      </c>
    </row>
    <row r="6029" spans="1:21" ht="12" customHeight="1">
      <c r="A6029" s="4">
        <v>6110</v>
      </c>
      <c r="B6029" s="4">
        <v>43296</v>
      </c>
      <c r="C6029" s="5">
        <f>DATE(2012,12,31)-303</f>
        <v>40971</v>
      </c>
      <c r="D6029" s="4" t="s">
        <v>63</v>
      </c>
      <c r="E6029" s="4">
        <v>41</v>
      </c>
      <c r="F6029" s="4">
        <v>1665.81</v>
      </c>
      <c r="G6029" s="4">
        <v>0.06</v>
      </c>
      <c r="H6029" s="4" t="s">
        <v>22</v>
      </c>
      <c r="I6029" s="6">
        <v>557.52350000000001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0"/>
        <v>40972</v>
      </c>
    </row>
    <row r="6030" spans="1:21" ht="12" customHeight="1">
      <c r="A6030" s="4">
        <v>6662</v>
      </c>
      <c r="B6030" s="4">
        <v>47456</v>
      </c>
      <c r="C6030" s="5">
        <f>DATE(2012,12,31)-214</f>
        <v>41060</v>
      </c>
      <c r="D6030" s="4" t="s">
        <v>21</v>
      </c>
      <c r="E6030" s="4">
        <v>43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spans="1:21" ht="12" customHeight="1">
      <c r="A6031" s="4">
        <v>6709</v>
      </c>
      <c r="B6031" s="4">
        <v>47778</v>
      </c>
      <c r="C6031" s="5">
        <f>DATE(2012,12,31)-1051</f>
        <v>40223</v>
      </c>
      <c r="D6031" s="4" t="s">
        <v>78</v>
      </c>
      <c r="E6031" s="4">
        <v>12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1">C6031+2</f>
        <v>40225</v>
      </c>
    </row>
    <row r="6032" spans="1:21" ht="12" customHeight="1">
      <c r="A6032" s="4">
        <v>6812</v>
      </c>
      <c r="B6032" s="4">
        <v>48486</v>
      </c>
      <c r="C6032" s="5">
        <f>DATE(2012,12,31)-599</f>
        <v>40675</v>
      </c>
      <c r="D6032" s="4" t="s">
        <v>30</v>
      </c>
      <c r="E6032" s="4">
        <v>42</v>
      </c>
      <c r="F6032" s="4">
        <v>271.14</v>
      </c>
      <c r="G6032" s="4">
        <v>7.0000000000000007E-2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1"/>
        <v>40677</v>
      </c>
    </row>
    <row r="6033" spans="1:21" ht="12" customHeight="1">
      <c r="A6033" s="4">
        <v>6902</v>
      </c>
      <c r="B6033" s="4">
        <v>49218</v>
      </c>
      <c r="C6033" s="5">
        <f>DATE(2012,12,31)-941</f>
        <v>40333</v>
      </c>
      <c r="D6033" s="4" t="s">
        <v>21</v>
      </c>
      <c r="E6033" s="4">
        <v>21</v>
      </c>
      <c r="F6033" s="4">
        <v>86.64</v>
      </c>
      <c r="G6033" s="4">
        <v>0.09</v>
      </c>
      <c r="H6033" s="4" t="s">
        <v>22</v>
      </c>
      <c r="I6033" s="6">
        <v>-73.070999999999998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2">C6033+0</f>
        <v>40333</v>
      </c>
    </row>
    <row r="6034" spans="1:21" ht="12" customHeight="1">
      <c r="A6034" s="4">
        <v>6928</v>
      </c>
      <c r="B6034" s="4">
        <v>49442</v>
      </c>
      <c r="C6034" s="5">
        <f>DATE(2012,12,31)-144</f>
        <v>41130</v>
      </c>
      <c r="D6034" s="4" t="s">
        <v>30</v>
      </c>
      <c r="E6034" s="4">
        <v>11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2"/>
        <v>41130</v>
      </c>
    </row>
    <row r="6035" spans="1:21" ht="12" customHeight="1">
      <c r="A6035" s="4">
        <v>7127</v>
      </c>
      <c r="B6035" s="4">
        <v>50849</v>
      </c>
      <c r="C6035" s="5">
        <f>DATE(2012,12,31)-88</f>
        <v>41186</v>
      </c>
      <c r="D6035" s="4" t="s">
        <v>21</v>
      </c>
      <c r="E6035" s="4">
        <v>47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spans="1:21" ht="12" customHeight="1">
      <c r="A6036" s="4">
        <v>7230</v>
      </c>
      <c r="B6036" s="4">
        <v>51557</v>
      </c>
      <c r="C6036" s="5">
        <f t="shared" ref="C6036:C6037" si="2543">DATE(2012,12,31)-427</f>
        <v>40847</v>
      </c>
      <c r="D6036" s="4" t="s">
        <v>30</v>
      </c>
      <c r="E6036" s="4">
        <v>36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spans="1:21" ht="12" customHeight="1">
      <c r="A6037" s="4">
        <v>7231</v>
      </c>
      <c r="B6037" s="4">
        <v>51557</v>
      </c>
      <c r="C6037" s="5">
        <f t="shared" si="2543"/>
        <v>40847</v>
      </c>
      <c r="D6037" s="4" t="s">
        <v>30</v>
      </c>
      <c r="E6037" s="4">
        <v>14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0.57999999999999996</v>
      </c>
      <c r="U6037" s="5">
        <f>C6037+0</f>
        <v>40847</v>
      </c>
    </row>
    <row r="6038" spans="1:21" ht="12" customHeight="1">
      <c r="A6038" s="4">
        <v>7553</v>
      </c>
      <c r="B6038" s="4">
        <v>54051</v>
      </c>
      <c r="C6038" s="5">
        <f t="shared" ref="C6038:C6039" si="2544">DATE(2012,12,31)-508</f>
        <v>40766</v>
      </c>
      <c r="D6038" s="4" t="s">
        <v>63</v>
      </c>
      <c r="E6038" s="4">
        <v>23</v>
      </c>
      <c r="F6038" s="4">
        <v>3301.33</v>
      </c>
      <c r="G6038" s="4">
        <v>0.05</v>
      </c>
      <c r="H6038" s="4" t="s">
        <v>31</v>
      </c>
      <c r="I6038" s="6">
        <v>-307.45999999999998</v>
      </c>
      <c r="J6038" s="4">
        <v>140.97999999999999</v>
      </c>
      <c r="K6038" s="4">
        <v>36.090000000000003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spans="1:21" ht="12" customHeight="1">
      <c r="A6039" s="4">
        <v>7554</v>
      </c>
      <c r="B6039" s="4">
        <v>54051</v>
      </c>
      <c r="C6039" s="5">
        <f t="shared" si="2544"/>
        <v>40766</v>
      </c>
      <c r="D6039" s="4" t="s">
        <v>63</v>
      </c>
      <c r="E6039" s="4">
        <v>28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5">C6039+1</f>
        <v>40767</v>
      </c>
    </row>
    <row r="6040" spans="1:21" ht="12" customHeight="1">
      <c r="A6040" s="4">
        <v>7564</v>
      </c>
      <c r="B6040" s="4">
        <v>54116</v>
      </c>
      <c r="C6040" s="5">
        <f>DATE(2012,12,31)-424</f>
        <v>40850</v>
      </c>
      <c r="D6040" s="4" t="s">
        <v>78</v>
      </c>
      <c r="E6040" s="4">
        <v>22</v>
      </c>
      <c r="F6040" s="4">
        <v>3329.27</v>
      </c>
      <c r="G6040" s="4">
        <v>0.05</v>
      </c>
      <c r="H6040" s="4" t="s">
        <v>31</v>
      </c>
      <c r="I6040" s="6">
        <v>350</v>
      </c>
      <c r="J6040" s="4">
        <v>150.97999999999999</v>
      </c>
      <c r="K6040" s="4">
        <v>16.010000000000002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5"/>
        <v>40851</v>
      </c>
    </row>
    <row r="6041" spans="1:21" ht="12" customHeight="1">
      <c r="A6041" s="4">
        <v>7989</v>
      </c>
      <c r="B6041" s="4">
        <v>57121</v>
      </c>
      <c r="C6041" s="5">
        <f t="shared" ref="C6041:C6042" si="2546">DATE(2012,12,31)-411</f>
        <v>40863</v>
      </c>
      <c r="D6041" s="4" t="s">
        <v>45</v>
      </c>
      <c r="E6041" s="4">
        <v>42</v>
      </c>
      <c r="F6041" s="4">
        <v>199.24</v>
      </c>
      <c r="G6041" s="4">
        <v>7.0000000000000007E-2</v>
      </c>
      <c r="H6041" s="4" t="s">
        <v>22</v>
      </c>
      <c r="I6041" s="6">
        <v>-84.26</v>
      </c>
      <c r="J6041" s="4">
        <v>4.9800000000000004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7">C6041+2</f>
        <v>40865</v>
      </c>
    </row>
    <row r="6042" spans="1:21" ht="12" customHeight="1">
      <c r="A6042" s="4">
        <v>7990</v>
      </c>
      <c r="B6042" s="4">
        <v>57121</v>
      </c>
      <c r="C6042" s="5">
        <f t="shared" si="2546"/>
        <v>40863</v>
      </c>
      <c r="D6042" s="4" t="s">
        <v>45</v>
      </c>
      <c r="E6042" s="4">
        <v>3</v>
      </c>
      <c r="F6042" s="4">
        <v>504.6705</v>
      </c>
      <c r="G6042" s="4">
        <v>0.01</v>
      </c>
      <c r="H6042" s="4" t="s">
        <v>22</v>
      </c>
      <c r="I6042" s="6">
        <v>-800.88800000000003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0.56000000000000005</v>
      </c>
      <c r="U6042" s="5">
        <f t="shared" si="2547"/>
        <v>40865</v>
      </c>
    </row>
    <row r="6043" spans="1:21" ht="12" customHeight="1">
      <c r="A6043" s="4">
        <v>8203</v>
      </c>
      <c r="B6043" s="4">
        <v>58657</v>
      </c>
      <c r="C6043" s="5">
        <f>DATE(2012,12,31)-1010</f>
        <v>40264</v>
      </c>
      <c r="D6043" s="4" t="s">
        <v>78</v>
      </c>
      <c r="E6043" s="4">
        <v>43</v>
      </c>
      <c r="F6043" s="4">
        <v>1338.12</v>
      </c>
      <c r="G6043" s="4">
        <v>0.04</v>
      </c>
      <c r="H6043" s="4" t="s">
        <v>22</v>
      </c>
      <c r="I6043" s="6">
        <v>519.70000000000005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7"/>
        <v>40266</v>
      </c>
    </row>
    <row r="6044" spans="1:21" ht="12" customHeight="1">
      <c r="A6044" s="4">
        <v>2</v>
      </c>
      <c r="B6044" s="4">
        <v>6</v>
      </c>
      <c r="C6044" s="5">
        <f>DATE(2012,12,31)-315</f>
        <v>40959</v>
      </c>
      <c r="D6044" s="4" t="s">
        <v>45</v>
      </c>
      <c r="E6044" s="4">
        <v>2</v>
      </c>
      <c r="F6044" s="4">
        <v>6.93</v>
      </c>
      <c r="G6044" s="4">
        <v>0.01</v>
      </c>
      <c r="H6044" s="4" t="s">
        <v>22</v>
      </c>
      <c r="I6044" s="6">
        <v>-4.6399999999999997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0.55000000000000004</v>
      </c>
      <c r="U6044" s="5">
        <f>C6044+1</f>
        <v>40960</v>
      </c>
    </row>
    <row r="6045" spans="1:21" ht="12" customHeight="1">
      <c r="A6045" s="4">
        <v>3</v>
      </c>
      <c r="B6045" s="4">
        <v>32</v>
      </c>
      <c r="C6045" s="5">
        <f t="shared" ref="C6045:C6047" si="2548">DATE(2012,12,31)-535</f>
        <v>40739</v>
      </c>
      <c r="D6045" s="4" t="s">
        <v>30</v>
      </c>
      <c r="E6045" s="4">
        <v>26</v>
      </c>
      <c r="F6045" s="4">
        <v>2808.08</v>
      </c>
      <c r="G6045" s="4">
        <v>7.0000000000000007E-2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spans="1:21" ht="12" customHeight="1">
      <c r="A6046" s="4">
        <v>4</v>
      </c>
      <c r="B6046" s="4">
        <v>32</v>
      </c>
      <c r="C6046" s="5">
        <f t="shared" si="2548"/>
        <v>40739</v>
      </c>
      <c r="D6046" s="4" t="s">
        <v>30</v>
      </c>
      <c r="E6046" s="4">
        <v>24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spans="1:21" ht="12" customHeight="1">
      <c r="A6047" s="4">
        <v>5</v>
      </c>
      <c r="B6047" s="4">
        <v>32</v>
      </c>
      <c r="C6047" s="5">
        <f t="shared" si="2548"/>
        <v>40739</v>
      </c>
      <c r="D6047" s="4" t="s">
        <v>30</v>
      </c>
      <c r="E6047" s="4">
        <v>23</v>
      </c>
      <c r="F6047" s="4">
        <v>160.23349999999999</v>
      </c>
      <c r="G6047" s="4">
        <v>0.04</v>
      </c>
      <c r="H6047" s="4" t="s">
        <v>22</v>
      </c>
      <c r="I6047" s="6">
        <v>-85.129000000000005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spans="1:21" ht="12" customHeight="1">
      <c r="A6048" s="4">
        <v>72</v>
      </c>
      <c r="B6048" s="4">
        <v>420</v>
      </c>
      <c r="C6048" s="5">
        <f t="shared" ref="C6048:C6049" si="2549">DATE(2012,12,31)-428</f>
        <v>40846</v>
      </c>
      <c r="D6048" s="4" t="s">
        <v>45</v>
      </c>
      <c r="E6048" s="4">
        <v>8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4.9800000000000004</v>
      </c>
      <c r="K6048" s="4">
        <v>4.8600000000000003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spans="1:21" ht="12" customHeight="1">
      <c r="A6049" s="4">
        <v>73</v>
      </c>
      <c r="B6049" s="4">
        <v>420</v>
      </c>
      <c r="C6049" s="5">
        <f t="shared" si="2549"/>
        <v>40846</v>
      </c>
      <c r="D6049" s="4" t="s">
        <v>45</v>
      </c>
      <c r="E6049" s="4">
        <v>6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spans="1:21" ht="12" customHeight="1">
      <c r="A6050" s="4">
        <v>270</v>
      </c>
      <c r="B6050" s="4">
        <v>1857</v>
      </c>
      <c r="C6050" s="5">
        <f>DATE(2012,12,31)-1084</f>
        <v>40190</v>
      </c>
      <c r="D6050" s="4" t="s">
        <v>30</v>
      </c>
      <c r="E6050" s="4">
        <v>37</v>
      </c>
      <c r="F6050" s="4">
        <v>199.76</v>
      </c>
      <c r="G6050" s="4">
        <v>7.0000000000000007E-2</v>
      </c>
      <c r="H6050" s="4" t="s">
        <v>22</v>
      </c>
      <c r="I6050" s="6">
        <v>20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spans="1:21" ht="12" customHeight="1">
      <c r="A6051" s="4">
        <v>328</v>
      </c>
      <c r="B6051" s="4">
        <v>2247</v>
      </c>
      <c r="C6051" s="5">
        <f>DATE(2012,12,31)-152</f>
        <v>41122</v>
      </c>
      <c r="D6051" s="4" t="s">
        <v>45</v>
      </c>
      <c r="E6051" s="4">
        <v>6</v>
      </c>
      <c r="F6051" s="4">
        <v>21134.71</v>
      </c>
      <c r="G6051" s="4">
        <v>0.06</v>
      </c>
      <c r="H6051" s="4" t="s">
        <v>31</v>
      </c>
      <c r="I6051" s="6">
        <v>-4266.0884999999998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0.56999999999999995</v>
      </c>
      <c r="U6051" s="5">
        <f t="shared" ref="U6051:U6052" si="2550">C6051+2</f>
        <v>41124</v>
      </c>
    </row>
    <row r="6052" spans="1:21" ht="12" customHeight="1">
      <c r="A6052" s="4">
        <v>429</v>
      </c>
      <c r="B6052" s="4">
        <v>2882</v>
      </c>
      <c r="C6052" s="5">
        <f t="shared" ref="C6052:C6053" si="2551">DATE(2012,12,31)-498</f>
        <v>40776</v>
      </c>
      <c r="D6052" s="4" t="s">
        <v>30</v>
      </c>
      <c r="E6052" s="4">
        <v>23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160.97999999999999</v>
      </c>
      <c r="K6052" s="4">
        <v>30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0"/>
        <v>40778</v>
      </c>
    </row>
    <row r="6053" spans="1:21" ht="12" customHeight="1">
      <c r="A6053" s="4">
        <v>430</v>
      </c>
      <c r="B6053" s="4">
        <v>2882</v>
      </c>
      <c r="C6053" s="5">
        <f t="shared" si="2551"/>
        <v>40776</v>
      </c>
      <c r="D6053" s="4" t="s">
        <v>30</v>
      </c>
      <c r="E6053" s="4">
        <v>9</v>
      </c>
      <c r="F6053" s="4">
        <v>356.72</v>
      </c>
      <c r="G6053" s="4">
        <v>7.0000000000000007E-2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2">C6053+1</f>
        <v>40777</v>
      </c>
    </row>
    <row r="6054" spans="1:21" ht="12" customHeight="1">
      <c r="A6054" s="4">
        <v>476</v>
      </c>
      <c r="B6054" s="4">
        <v>3297</v>
      </c>
      <c r="C6054" s="5">
        <f>DATE(2012,12,31)-59</f>
        <v>41215</v>
      </c>
      <c r="D6054" s="4" t="s">
        <v>30</v>
      </c>
      <c r="E6054" s="4">
        <v>40</v>
      </c>
      <c r="F6054" s="4">
        <v>158.69999999999999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2"/>
        <v>41216</v>
      </c>
    </row>
    <row r="6055" spans="1:21" ht="12" customHeight="1">
      <c r="A6055" s="4">
        <v>544</v>
      </c>
      <c r="B6055" s="4">
        <v>3655</v>
      </c>
      <c r="C6055" s="5">
        <f t="shared" ref="C6055:C6056" si="2553">DATE(2012,12,31)-87</f>
        <v>41187</v>
      </c>
      <c r="D6055" s="4" t="s">
        <v>78</v>
      </c>
      <c r="E6055" s="4">
        <v>3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spans="1:21" ht="12" customHeight="1">
      <c r="A6056" s="4">
        <v>545</v>
      </c>
      <c r="B6056" s="4">
        <v>3655</v>
      </c>
      <c r="C6056" s="5">
        <f t="shared" si="2553"/>
        <v>41187</v>
      </c>
      <c r="D6056" s="4" t="s">
        <v>78</v>
      </c>
      <c r="E6056" s="4">
        <v>24</v>
      </c>
      <c r="F6056" s="4">
        <v>2750.107</v>
      </c>
      <c r="G6056" s="4">
        <v>0</v>
      </c>
      <c r="H6056" s="4" t="s">
        <v>22</v>
      </c>
      <c r="I6056" s="6">
        <v>600.41700000000003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>C6056+1</f>
        <v>41188</v>
      </c>
    </row>
    <row r="6057" spans="1:21" ht="12" customHeight="1">
      <c r="A6057" s="4">
        <v>569</v>
      </c>
      <c r="B6057" s="4">
        <v>3845</v>
      </c>
      <c r="C6057" s="5">
        <f t="shared" ref="C6057:C6059" si="2554">DATE(2012,12,31)-250</f>
        <v>41024</v>
      </c>
      <c r="D6057" s="4" t="s">
        <v>78</v>
      </c>
      <c r="E6057" s="4">
        <v>9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19.989999999999998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0.56999999999999995</v>
      </c>
      <c r="U6057" s="5">
        <f>C6057+0</f>
        <v>41024</v>
      </c>
    </row>
    <row r="6058" spans="1:21" ht="12" customHeight="1">
      <c r="A6058" s="4">
        <v>570</v>
      </c>
      <c r="B6058" s="4">
        <v>3845</v>
      </c>
      <c r="C6058" s="5">
        <f t="shared" si="2554"/>
        <v>41024</v>
      </c>
      <c r="D6058" s="4" t="s">
        <v>78</v>
      </c>
      <c r="E6058" s="4">
        <v>22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spans="1:21" ht="12" customHeight="1">
      <c r="A6059" s="4">
        <v>571</v>
      </c>
      <c r="B6059" s="4">
        <v>3845</v>
      </c>
      <c r="C6059" s="5">
        <f t="shared" si="2554"/>
        <v>41024</v>
      </c>
      <c r="D6059" s="4" t="s">
        <v>78</v>
      </c>
      <c r="E6059" s="4">
        <v>15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5">C6059+1</f>
        <v>41025</v>
      </c>
    </row>
    <row r="6060" spans="1:21" ht="12" customHeight="1">
      <c r="A6060" s="4">
        <v>666</v>
      </c>
      <c r="B6060" s="4">
        <v>4672</v>
      </c>
      <c r="C6060" s="5">
        <f>DATE(2012,12,31)-421</f>
        <v>40853</v>
      </c>
      <c r="D6060" s="4" t="s">
        <v>78</v>
      </c>
      <c r="E6060" s="4">
        <v>20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5"/>
        <v>40854</v>
      </c>
    </row>
    <row r="6061" spans="1:21" ht="12" customHeight="1">
      <c r="A6061" s="4">
        <v>673</v>
      </c>
      <c r="B6061" s="4">
        <v>4705</v>
      </c>
      <c r="C6061" s="5">
        <f>DATE(2012,12,31)-285</f>
        <v>40989</v>
      </c>
      <c r="D6061" s="4" t="s">
        <v>45</v>
      </c>
      <c r="E6061" s="4">
        <v>16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spans="1:21" ht="12" customHeight="1">
      <c r="A6062" s="4">
        <v>692</v>
      </c>
      <c r="B6062" s="4">
        <v>4805</v>
      </c>
      <c r="C6062" s="5">
        <f>DATE(2012,12,31)-251</f>
        <v>41023</v>
      </c>
      <c r="D6062" s="4" t="s">
        <v>45</v>
      </c>
      <c r="E6062" s="4">
        <v>7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spans="1:21" ht="12" customHeight="1">
      <c r="A6063" s="4">
        <v>902</v>
      </c>
      <c r="B6063" s="4">
        <v>6500</v>
      </c>
      <c r="C6063" s="5">
        <f t="shared" ref="C6063:C6064" si="2556">DATE(2012,12,31)-80</f>
        <v>41194</v>
      </c>
      <c r="D6063" s="4" t="s">
        <v>78</v>
      </c>
      <c r="E6063" s="4">
        <v>15</v>
      </c>
      <c r="F6063" s="4">
        <v>448.07</v>
      </c>
      <c r="G6063" s="4">
        <v>0.1</v>
      </c>
      <c r="H6063" s="4" t="s">
        <v>22</v>
      </c>
      <c r="I6063" s="6">
        <v>-141.02000000000001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spans="1:21" ht="12" customHeight="1">
      <c r="A6064" s="4">
        <v>903</v>
      </c>
      <c r="B6064" s="4">
        <v>6500</v>
      </c>
      <c r="C6064" s="5">
        <f t="shared" si="2556"/>
        <v>41194</v>
      </c>
      <c r="D6064" s="4" t="s">
        <v>78</v>
      </c>
      <c r="E6064" s="4">
        <v>20</v>
      </c>
      <c r="F6064" s="4">
        <v>38.29</v>
      </c>
      <c r="G6064" s="4">
        <v>0.06</v>
      </c>
      <c r="H6064" s="4" t="s">
        <v>22</v>
      </c>
      <c r="I6064" s="6">
        <v>-16.149999999999999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7">C6064+1</f>
        <v>41195</v>
      </c>
    </row>
    <row r="6065" spans="1:21" ht="12" customHeight="1">
      <c r="A6065" s="4">
        <v>1035</v>
      </c>
      <c r="B6065" s="4">
        <v>7553</v>
      </c>
      <c r="C6065" s="5">
        <f t="shared" ref="C6065:C6066" si="2558">DATE(2012,12,31)-969</f>
        <v>40305</v>
      </c>
      <c r="D6065" s="4" t="s">
        <v>63</v>
      </c>
      <c r="E6065" s="4">
        <v>12</v>
      </c>
      <c r="F6065" s="4">
        <v>1079.19</v>
      </c>
      <c r="G6065" s="4">
        <v>7.0000000000000007E-2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7"/>
        <v>40306</v>
      </c>
    </row>
    <row r="6066" spans="1:21" ht="12" customHeight="1">
      <c r="A6066" s="4">
        <v>1036</v>
      </c>
      <c r="B6066" s="4">
        <v>7553</v>
      </c>
      <c r="C6066" s="5">
        <f t="shared" si="2558"/>
        <v>40305</v>
      </c>
      <c r="D6066" s="4" t="s">
        <v>63</v>
      </c>
      <c r="E6066" s="4">
        <v>3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spans="1:21" ht="12" customHeight="1">
      <c r="A6067" s="4">
        <v>1046</v>
      </c>
      <c r="B6067" s="4">
        <v>7680</v>
      </c>
      <c r="C6067" s="5">
        <f>DATE(2012,12,31)-633</f>
        <v>40641</v>
      </c>
      <c r="D6067" s="4" t="s">
        <v>45</v>
      </c>
      <c r="E6067" s="4">
        <v>32</v>
      </c>
      <c r="F6067" s="4">
        <v>1141.3699999999999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19.989999999999998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spans="1:21" ht="12" customHeight="1">
      <c r="A6068" s="4">
        <v>1116</v>
      </c>
      <c r="B6068" s="4">
        <v>8167</v>
      </c>
      <c r="C6068" s="5">
        <f t="shared" ref="C6068:C6069" si="2559">DATE(2012,12,31)-149</f>
        <v>41125</v>
      </c>
      <c r="D6068" s="4" t="s">
        <v>78</v>
      </c>
      <c r="E6068" s="4">
        <v>4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0">C6068+2</f>
        <v>41127</v>
      </c>
    </row>
    <row r="6069" spans="1:21" ht="12" customHeight="1">
      <c r="A6069" s="4">
        <v>1117</v>
      </c>
      <c r="B6069" s="4">
        <v>8167</v>
      </c>
      <c r="C6069" s="5">
        <f t="shared" si="2559"/>
        <v>41125</v>
      </c>
      <c r="D6069" s="4" t="s">
        <v>78</v>
      </c>
      <c r="E6069" s="4">
        <v>48</v>
      </c>
      <c r="F6069" s="4">
        <v>1449.3009999999999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0.56999999999999995</v>
      </c>
      <c r="U6069" s="5">
        <f t="shared" si="2560"/>
        <v>41127</v>
      </c>
    </row>
    <row r="6070" spans="1:21" ht="12" customHeight="1">
      <c r="A6070" s="4">
        <v>1178</v>
      </c>
      <c r="B6070" s="4">
        <v>8609</v>
      </c>
      <c r="C6070" s="5">
        <f>DATE(2012,12,31)-261</f>
        <v>41013</v>
      </c>
      <c r="D6070" s="4" t="s">
        <v>78</v>
      </c>
      <c r="E6070" s="4">
        <v>4</v>
      </c>
      <c r="F6070" s="4">
        <v>72.003499999999988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1">C6070+1</f>
        <v>41014</v>
      </c>
    </row>
    <row r="6071" spans="1:21" ht="12" customHeight="1">
      <c r="A6071" s="4">
        <v>1248</v>
      </c>
      <c r="B6071" s="4">
        <v>9089</v>
      </c>
      <c r="C6071" s="5">
        <f>DATE(2012,12,31)-953</f>
        <v>40321</v>
      </c>
      <c r="D6071" s="4" t="s">
        <v>78</v>
      </c>
      <c r="E6071" s="4">
        <v>8</v>
      </c>
      <c r="F6071" s="4">
        <v>822.34950000000003</v>
      </c>
      <c r="G6071" s="4">
        <v>0.1</v>
      </c>
      <c r="H6071" s="4" t="s">
        <v>56</v>
      </c>
      <c r="I6071" s="6">
        <v>-360.30500000000001</v>
      </c>
      <c r="J6071" s="4">
        <v>125.99</v>
      </c>
      <c r="K6071" s="4">
        <v>8.8000000000000007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1"/>
        <v>40322</v>
      </c>
    </row>
    <row r="6072" spans="1:21" ht="12" customHeight="1">
      <c r="A6072" s="4">
        <v>1267</v>
      </c>
      <c r="B6072" s="4">
        <v>9221</v>
      </c>
      <c r="C6072" s="5">
        <f t="shared" ref="C6072:C6073" si="2562">DATE(2012,12,31)-728</f>
        <v>40546</v>
      </c>
      <c r="D6072" s="4" t="s">
        <v>21</v>
      </c>
      <c r="E6072" s="4">
        <v>9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0.56000000000000005</v>
      </c>
      <c r="U6072" s="5">
        <f t="shared" ref="U6072:U6073" si="2563">C6072+4</f>
        <v>40550</v>
      </c>
    </row>
    <row r="6073" spans="1:21" ht="12" customHeight="1">
      <c r="A6073" s="4">
        <v>1268</v>
      </c>
      <c r="B6073" s="4">
        <v>9221</v>
      </c>
      <c r="C6073" s="5">
        <f t="shared" si="2562"/>
        <v>40546</v>
      </c>
      <c r="D6073" s="4" t="s">
        <v>21</v>
      </c>
      <c r="E6073" s="4">
        <v>25</v>
      </c>
      <c r="F6073" s="4">
        <v>1527.42</v>
      </c>
      <c r="G6073" s="4">
        <v>0.04</v>
      </c>
      <c r="H6073" s="4" t="s">
        <v>22</v>
      </c>
      <c r="I6073" s="6">
        <v>326.39999999999998</v>
      </c>
      <c r="J6073" s="4">
        <v>60.98</v>
      </c>
      <c r="K6073" s="4">
        <v>19.989999999999998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3"/>
        <v>40550</v>
      </c>
    </row>
    <row r="6074" spans="1:21" ht="12" customHeight="1">
      <c r="A6074" s="4">
        <v>1280</v>
      </c>
      <c r="B6074" s="4">
        <v>9286</v>
      </c>
      <c r="C6074" s="5">
        <f>DATE(2012,12,31)-638</f>
        <v>40636</v>
      </c>
      <c r="D6074" s="4" t="s">
        <v>78</v>
      </c>
      <c r="E6074" s="4">
        <v>26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4.9800000000000004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spans="1:21" ht="12" customHeight="1">
      <c r="A6075" s="4">
        <v>1313</v>
      </c>
      <c r="B6075" s="4">
        <v>9632</v>
      </c>
      <c r="C6075" s="5">
        <f>DATE(2012,12,31)-350</f>
        <v>40924</v>
      </c>
      <c r="D6075" s="4" t="s">
        <v>21</v>
      </c>
      <c r="E6075" s="4">
        <v>33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spans="1:21" ht="12" customHeight="1">
      <c r="A6076" s="4">
        <v>1341</v>
      </c>
      <c r="B6076" s="4">
        <v>9796</v>
      </c>
      <c r="C6076" s="5">
        <f>DATE(2012,12,31)-843</f>
        <v>40431</v>
      </c>
      <c r="D6076" s="4" t="s">
        <v>78</v>
      </c>
      <c r="E6076" s="4">
        <v>29</v>
      </c>
      <c r="F6076" s="4">
        <v>1222.5899999999999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spans="1:21" ht="12" customHeight="1">
      <c r="A6077" s="4">
        <v>1377</v>
      </c>
      <c r="B6077" s="4">
        <v>9955</v>
      </c>
      <c r="C6077" s="5">
        <f>DATE(2012,12,31)-484</f>
        <v>40790</v>
      </c>
      <c r="D6077" s="4" t="s">
        <v>78</v>
      </c>
      <c r="E6077" s="4">
        <v>37</v>
      </c>
      <c r="F6077" s="4">
        <v>2912.0149999999999</v>
      </c>
      <c r="G6077" s="4">
        <v>0.09</v>
      </c>
      <c r="H6077" s="4" t="s">
        <v>22</v>
      </c>
      <c r="I6077" s="6">
        <v>698.16599999999994</v>
      </c>
      <c r="J6077" s="4">
        <v>95.99</v>
      </c>
      <c r="K6077" s="4">
        <v>4.9000000000000004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0.56000000000000005</v>
      </c>
      <c r="U6077" s="5">
        <f>C6077+2</f>
        <v>40792</v>
      </c>
    </row>
    <row r="6078" spans="1:21" ht="12" customHeight="1">
      <c r="A6078" s="4">
        <v>1379</v>
      </c>
      <c r="B6078" s="4">
        <v>9985</v>
      </c>
      <c r="C6078" s="5">
        <f>DATE(2012,12,31)-877</f>
        <v>40397</v>
      </c>
      <c r="D6078" s="4" t="s">
        <v>21</v>
      </c>
      <c r="E6078" s="4">
        <v>12</v>
      </c>
      <c r="F6078" s="4">
        <v>81.900000000000006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spans="1:21" ht="12" customHeight="1">
      <c r="A6079" s="4">
        <v>1405</v>
      </c>
      <c r="B6079" s="4">
        <v>10212</v>
      </c>
      <c r="C6079" s="5">
        <f t="shared" ref="C6079:C6080" si="2564">DATE(2012,12,31)-953</f>
        <v>40321</v>
      </c>
      <c r="D6079" s="4" t="s">
        <v>21</v>
      </c>
      <c r="E6079" s="4">
        <v>14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spans="1:21" ht="12" customHeight="1">
      <c r="A6080" s="4">
        <v>1406</v>
      </c>
      <c r="B6080" s="4">
        <v>10212</v>
      </c>
      <c r="C6080" s="5">
        <f t="shared" si="2564"/>
        <v>40321</v>
      </c>
      <c r="D6080" s="4" t="s">
        <v>21</v>
      </c>
      <c r="E6080" s="4">
        <v>22</v>
      </c>
      <c r="F6080" s="4">
        <v>1276.17</v>
      </c>
      <c r="G6080" s="4">
        <v>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spans="1:21" ht="12" customHeight="1">
      <c r="A6081" s="4">
        <v>1446</v>
      </c>
      <c r="B6081" s="4">
        <v>10439</v>
      </c>
      <c r="C6081" s="5">
        <f t="shared" ref="C6081:C6084" si="2565">DATE(2012,12,31)-278</f>
        <v>40996</v>
      </c>
      <c r="D6081" s="4" t="s">
        <v>45</v>
      </c>
      <c r="E6081" s="4">
        <v>41</v>
      </c>
      <c r="F6081" s="4">
        <v>823.13</v>
      </c>
      <c r="G6081" s="4">
        <v>0</v>
      </c>
      <c r="H6081" s="4" t="s">
        <v>22</v>
      </c>
      <c r="I6081" s="6">
        <v>384.5145</v>
      </c>
      <c r="J6081" s="4">
        <v>18.940000000000001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6">C6081+2</f>
        <v>40998</v>
      </c>
    </row>
    <row r="6082" spans="1:21" ht="12" customHeight="1">
      <c r="A6082" s="4">
        <v>1447</v>
      </c>
      <c r="B6082" s="4">
        <v>10439</v>
      </c>
      <c r="C6082" s="5">
        <f t="shared" si="2565"/>
        <v>40996</v>
      </c>
      <c r="D6082" s="4" t="s">
        <v>45</v>
      </c>
      <c r="E6082" s="4">
        <v>30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6"/>
        <v>40998</v>
      </c>
    </row>
    <row r="6083" spans="1:21" ht="12" customHeight="1">
      <c r="A6083" s="4">
        <v>1448</v>
      </c>
      <c r="B6083" s="4">
        <v>10439</v>
      </c>
      <c r="C6083" s="5">
        <f t="shared" si="2565"/>
        <v>40996</v>
      </c>
      <c r="D6083" s="4" t="s">
        <v>45</v>
      </c>
      <c r="E6083" s="4">
        <v>27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spans="1:21" ht="12" customHeight="1">
      <c r="A6084" s="4">
        <v>1449</v>
      </c>
      <c r="B6084" s="4">
        <v>10439</v>
      </c>
      <c r="C6084" s="5">
        <f t="shared" si="2565"/>
        <v>40996</v>
      </c>
      <c r="D6084" s="4" t="s">
        <v>45</v>
      </c>
      <c r="E6084" s="4">
        <v>46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4.4800000000000004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spans="1:21" ht="12" customHeight="1">
      <c r="A6085" s="4">
        <v>1498</v>
      </c>
      <c r="B6085" s="4">
        <v>10820</v>
      </c>
      <c r="C6085" s="5">
        <f t="shared" ref="C6085:C6086" si="2567">DATE(2012,12,31)-370</f>
        <v>40904</v>
      </c>
      <c r="D6085" s="4" t="s">
        <v>45</v>
      </c>
      <c r="E6085" s="4">
        <v>49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spans="1:21" ht="12" customHeight="1">
      <c r="A6086" s="4">
        <v>1499</v>
      </c>
      <c r="B6086" s="4">
        <v>10820</v>
      </c>
      <c r="C6086" s="5">
        <f t="shared" si="2567"/>
        <v>40904</v>
      </c>
      <c r="D6086" s="4" t="s">
        <v>45</v>
      </c>
      <c r="E6086" s="4">
        <v>33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spans="1:21" ht="12" customHeight="1">
      <c r="A6087" s="4">
        <v>1546</v>
      </c>
      <c r="B6087" s="4">
        <v>11169</v>
      </c>
      <c r="C6087" s="5">
        <f t="shared" ref="C6087:C6089" si="2568">DATE(2012,12,31)-955</f>
        <v>40319</v>
      </c>
      <c r="D6087" s="4" t="s">
        <v>63</v>
      </c>
      <c r="E6087" s="4">
        <v>46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spans="1:21" ht="12" customHeight="1">
      <c r="A6088" s="4">
        <v>1547</v>
      </c>
      <c r="B6088" s="4">
        <v>11169</v>
      </c>
      <c r="C6088" s="5">
        <f t="shared" si="2568"/>
        <v>40319</v>
      </c>
      <c r="D6088" s="4" t="s">
        <v>63</v>
      </c>
      <c r="E6088" s="4">
        <v>44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spans="1:21" ht="12" customHeight="1">
      <c r="A6089" s="4">
        <v>1548</v>
      </c>
      <c r="B6089" s="4">
        <v>11169</v>
      </c>
      <c r="C6089" s="5">
        <f t="shared" si="2568"/>
        <v>40319</v>
      </c>
      <c r="D6089" s="4" t="s">
        <v>63</v>
      </c>
      <c r="E6089" s="4">
        <v>5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4.9800000000000004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spans="1:21" ht="12" customHeight="1">
      <c r="A6090" s="4">
        <v>1606</v>
      </c>
      <c r="B6090" s="4">
        <v>11651</v>
      </c>
      <c r="C6090" s="5">
        <f>DATE(2012,12,31)-678</f>
        <v>40596</v>
      </c>
      <c r="D6090" s="4" t="s">
        <v>63</v>
      </c>
      <c r="E6090" s="4">
        <v>19</v>
      </c>
      <c r="F6090" s="4">
        <v>65.849999999999994</v>
      </c>
      <c r="G6090" s="4">
        <v>7.0000000000000007E-2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69">C6090+2</f>
        <v>40598</v>
      </c>
    </row>
    <row r="6091" spans="1:21" ht="12" customHeight="1">
      <c r="A6091" s="4">
        <v>1653</v>
      </c>
      <c r="B6091" s="4">
        <v>11910</v>
      </c>
      <c r="C6091" s="5">
        <f>DATE(2012,12,31)-565</f>
        <v>40709</v>
      </c>
      <c r="D6091" s="4" t="s">
        <v>30</v>
      </c>
      <c r="E6091" s="4">
        <v>21</v>
      </c>
      <c r="F6091" s="4">
        <v>49.23</v>
      </c>
      <c r="G6091" s="4">
        <v>0.01</v>
      </c>
      <c r="H6091" s="4" t="s">
        <v>22</v>
      </c>
      <c r="I6091" s="6">
        <v>-77.705499999999986</v>
      </c>
      <c r="J6091" s="4">
        <v>1.98</v>
      </c>
      <c r="K6091" s="4">
        <v>4.7699999999999996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69"/>
        <v>40711</v>
      </c>
    </row>
    <row r="6092" spans="1:21" ht="12" customHeight="1">
      <c r="A6092" s="4">
        <v>1657</v>
      </c>
      <c r="B6092" s="4">
        <v>11943</v>
      </c>
      <c r="C6092" s="5">
        <f t="shared" ref="C6092:C6093" si="2570">DATE(2012,12,31)-999</f>
        <v>40275</v>
      </c>
      <c r="D6092" s="4" t="s">
        <v>21</v>
      </c>
      <c r="E6092" s="4">
        <v>49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spans="1:21" ht="12" customHeight="1">
      <c r="A6093" s="4">
        <v>1658</v>
      </c>
      <c r="B6093" s="4">
        <v>11943</v>
      </c>
      <c r="C6093" s="5">
        <f t="shared" si="2570"/>
        <v>40275</v>
      </c>
      <c r="D6093" s="4" t="s">
        <v>21</v>
      </c>
      <c r="E6093" s="4">
        <v>19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spans="1:21" ht="12" customHeight="1">
      <c r="A6094" s="4">
        <v>1722</v>
      </c>
      <c r="B6094" s="4">
        <v>12356</v>
      </c>
      <c r="C6094" s="5">
        <f>DATE(2012,12,31)-74</f>
        <v>41200</v>
      </c>
      <c r="D6094" s="4" t="s">
        <v>78</v>
      </c>
      <c r="E6094" s="4">
        <v>39</v>
      </c>
      <c r="F6094" s="4">
        <v>243.05</v>
      </c>
      <c r="G6094" s="4">
        <v>0.02</v>
      </c>
      <c r="H6094" s="4" t="s">
        <v>22</v>
      </c>
      <c r="I6094" s="6">
        <v>-70.849999999999994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spans="1:21" ht="12" customHeight="1">
      <c r="A6095" s="4">
        <v>1818</v>
      </c>
      <c r="B6095" s="4">
        <v>13031</v>
      </c>
      <c r="C6095" s="5">
        <f>DATE(2012,12,31)-27</f>
        <v>41247</v>
      </c>
      <c r="D6095" s="4" t="s">
        <v>21</v>
      </c>
      <c r="E6095" s="4">
        <v>34</v>
      </c>
      <c r="F6095" s="4">
        <v>210.06</v>
      </c>
      <c r="G6095" s="4">
        <v>0.08</v>
      </c>
      <c r="H6095" s="4" t="s">
        <v>22</v>
      </c>
      <c r="I6095" s="6">
        <v>-135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spans="1:21" ht="12" customHeight="1">
      <c r="A6096" s="4">
        <v>1831</v>
      </c>
      <c r="B6096" s="4">
        <v>13126</v>
      </c>
      <c r="C6096" s="5">
        <f t="shared" ref="C6096:C6098" si="2571">DATE(2012,12,31)-439</f>
        <v>40835</v>
      </c>
      <c r="D6096" s="4" t="s">
        <v>45</v>
      </c>
      <c r="E6096" s="4">
        <v>43</v>
      </c>
      <c r="F6096" s="4">
        <v>24233.54</v>
      </c>
      <c r="G6096" s="4">
        <v>7.0000000000000007E-2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spans="1:21" ht="12" customHeight="1">
      <c r="A6097" s="4">
        <v>1832</v>
      </c>
      <c r="B6097" s="4">
        <v>13126</v>
      </c>
      <c r="C6097" s="5">
        <f t="shared" si="2571"/>
        <v>40835</v>
      </c>
      <c r="D6097" s="4" t="s">
        <v>45</v>
      </c>
      <c r="E6097" s="4">
        <v>45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2">C6097+2</f>
        <v>40837</v>
      </c>
    </row>
    <row r="6098" spans="1:21" ht="12" customHeight="1">
      <c r="A6098" s="4">
        <v>1833</v>
      </c>
      <c r="B6098" s="4">
        <v>13126</v>
      </c>
      <c r="C6098" s="5">
        <f t="shared" si="2571"/>
        <v>40835</v>
      </c>
      <c r="D6098" s="4" t="s">
        <v>45</v>
      </c>
      <c r="E6098" s="4">
        <v>2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2"/>
        <v>40837</v>
      </c>
    </row>
    <row r="6099" spans="1:21" ht="12" customHeight="1">
      <c r="A6099" s="4">
        <v>1844</v>
      </c>
      <c r="B6099" s="4">
        <v>13282</v>
      </c>
      <c r="C6099" s="5">
        <f t="shared" ref="C6099:C6100" si="2573">DATE(2012,12,31)-236</f>
        <v>41038</v>
      </c>
      <c r="D6099" s="4" t="s">
        <v>21</v>
      </c>
      <c r="E6099" s="4">
        <v>22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34.979999999999997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spans="1:21" ht="12" customHeight="1">
      <c r="A6100" s="4">
        <v>1845</v>
      </c>
      <c r="B6100" s="4">
        <v>13282</v>
      </c>
      <c r="C6100" s="5">
        <f t="shared" si="2573"/>
        <v>41038</v>
      </c>
      <c r="D6100" s="4" t="s">
        <v>21</v>
      </c>
      <c r="E6100" s="4">
        <v>2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spans="1:21" ht="12" customHeight="1">
      <c r="A6101" s="4">
        <v>1992</v>
      </c>
      <c r="B6101" s="4">
        <v>14212</v>
      </c>
      <c r="C6101" s="5">
        <f t="shared" ref="C6101:C6102" si="2574">DATE(2012,12,31)-319</f>
        <v>40955</v>
      </c>
      <c r="D6101" s="4" t="s">
        <v>78</v>
      </c>
      <c r="E6101" s="4">
        <v>4</v>
      </c>
      <c r="F6101" s="4">
        <v>31.18</v>
      </c>
      <c r="G6101" s="4">
        <v>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spans="1:21" ht="12" customHeight="1">
      <c r="A6102" s="4">
        <v>1993</v>
      </c>
      <c r="B6102" s="4">
        <v>14212</v>
      </c>
      <c r="C6102" s="5">
        <f t="shared" si="2574"/>
        <v>40955</v>
      </c>
      <c r="D6102" s="4" t="s">
        <v>78</v>
      </c>
      <c r="E6102" s="4">
        <v>8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5">C6102+2</f>
        <v>40957</v>
      </c>
    </row>
    <row r="6103" spans="1:21" ht="12" customHeight="1">
      <c r="A6103" s="4">
        <v>2067</v>
      </c>
      <c r="B6103" s="4">
        <v>14789</v>
      </c>
      <c r="C6103" s="5">
        <f t="shared" ref="C6103:C6104" si="2576">DATE(2012,12,31)-763</f>
        <v>40511</v>
      </c>
      <c r="D6103" s="4" t="s">
        <v>45</v>
      </c>
      <c r="E6103" s="4">
        <v>37</v>
      </c>
      <c r="F6103" s="4">
        <v>438.07</v>
      </c>
      <c r="G6103" s="4">
        <v>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5"/>
        <v>40513</v>
      </c>
    </row>
    <row r="6104" spans="1:21" ht="12" customHeight="1">
      <c r="A6104" s="4">
        <v>2068</v>
      </c>
      <c r="B6104" s="4">
        <v>14789</v>
      </c>
      <c r="C6104" s="5">
        <f t="shared" si="2576"/>
        <v>40511</v>
      </c>
      <c r="D6104" s="4" t="s">
        <v>45</v>
      </c>
      <c r="E6104" s="4">
        <v>19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spans="1:21" ht="12" customHeight="1">
      <c r="A6105" s="4">
        <v>2192</v>
      </c>
      <c r="B6105" s="4">
        <v>15782</v>
      </c>
      <c r="C6105" s="5">
        <f>DATE(2012,12,31)-276</f>
        <v>40998</v>
      </c>
      <c r="D6105" s="4" t="s">
        <v>30</v>
      </c>
      <c r="E6105" s="4">
        <v>35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spans="1:21" ht="12" customHeight="1">
      <c r="A6106" s="4">
        <v>2232</v>
      </c>
      <c r="B6106" s="4">
        <v>16132</v>
      </c>
      <c r="C6106" s="5">
        <f>DATE(2012,12,31)-65</f>
        <v>41209</v>
      </c>
      <c r="D6106" s="4" t="s">
        <v>63</v>
      </c>
      <c r="E6106" s="4">
        <v>26</v>
      </c>
      <c r="F6106" s="4">
        <v>519.96</v>
      </c>
      <c r="G6106" s="4">
        <v>7.0000000000000007E-2</v>
      </c>
      <c r="H6106" s="4" t="s">
        <v>22</v>
      </c>
      <c r="I6106" s="6">
        <v>169.43899999999999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spans="1:21" ht="12" customHeight="1">
      <c r="A6107" s="4">
        <v>2380</v>
      </c>
      <c r="B6107" s="4">
        <v>17253</v>
      </c>
      <c r="C6107" s="5">
        <f>DATE(2012,12,31)-502</f>
        <v>40772</v>
      </c>
      <c r="D6107" s="4" t="s">
        <v>78</v>
      </c>
      <c r="E6107" s="4">
        <v>13</v>
      </c>
      <c r="F6107" s="4">
        <v>50.19</v>
      </c>
      <c r="G6107" s="4">
        <v>0.08</v>
      </c>
      <c r="H6107" s="4" t="s">
        <v>22</v>
      </c>
      <c r="I6107" s="6">
        <v>-64.388500000000008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spans="1:21" ht="12" customHeight="1">
      <c r="A6108" s="4">
        <v>2385</v>
      </c>
      <c r="B6108" s="4">
        <v>17287</v>
      </c>
      <c r="C6108" s="5">
        <f t="shared" ref="C6108:C6110" si="2577">DATE(2012,12,31)-636</f>
        <v>40638</v>
      </c>
      <c r="D6108" s="4" t="s">
        <v>30</v>
      </c>
      <c r="E6108" s="4">
        <v>38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150.97999999999999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spans="1:21" ht="12" customHeight="1">
      <c r="A6109" s="4">
        <v>2386</v>
      </c>
      <c r="B6109" s="4">
        <v>17287</v>
      </c>
      <c r="C6109" s="5">
        <f t="shared" si="2577"/>
        <v>40638</v>
      </c>
      <c r="D6109" s="4" t="s">
        <v>30</v>
      </c>
      <c r="E6109" s="4">
        <v>11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0.56999999999999995</v>
      </c>
      <c r="U6109" s="5">
        <f t="shared" ref="U6109:U6113" si="2578">C6109+2</f>
        <v>40640</v>
      </c>
    </row>
    <row r="6110" spans="1:21" ht="12" customHeight="1">
      <c r="A6110" s="4">
        <v>2387</v>
      </c>
      <c r="B6110" s="4">
        <v>17287</v>
      </c>
      <c r="C6110" s="5">
        <f t="shared" si="2577"/>
        <v>40638</v>
      </c>
      <c r="D6110" s="4" t="s">
        <v>30</v>
      </c>
      <c r="E6110" s="4">
        <v>26</v>
      </c>
      <c r="F6110" s="4">
        <v>4361.6984999999995</v>
      </c>
      <c r="G6110" s="4">
        <v>0.05</v>
      </c>
      <c r="H6110" s="4" t="s">
        <v>22</v>
      </c>
      <c r="I6110" s="6">
        <v>1069.7850000000001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0.56000000000000005</v>
      </c>
      <c r="U6110" s="5">
        <f t="shared" si="2578"/>
        <v>40640</v>
      </c>
    </row>
    <row r="6111" spans="1:21" ht="12" customHeight="1">
      <c r="A6111" s="4">
        <v>2559</v>
      </c>
      <c r="B6111" s="4">
        <v>18503</v>
      </c>
      <c r="C6111" s="5">
        <f t="shared" ref="C6111:C6112" si="2579">DATE(2012,12,31)-606</f>
        <v>40668</v>
      </c>
      <c r="D6111" s="4" t="s">
        <v>45</v>
      </c>
      <c r="E6111" s="4">
        <v>46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145.44999999999999</v>
      </c>
      <c r="K6111" s="4">
        <v>17.850000000000001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0.56000000000000005</v>
      </c>
      <c r="U6111" s="5">
        <f t="shared" si="2578"/>
        <v>40670</v>
      </c>
    </row>
    <row r="6112" spans="1:21" ht="12" customHeight="1">
      <c r="A6112" s="4">
        <v>2560</v>
      </c>
      <c r="B6112" s="4">
        <v>18503</v>
      </c>
      <c r="C6112" s="5">
        <f t="shared" si="2579"/>
        <v>40668</v>
      </c>
      <c r="D6112" s="4" t="s">
        <v>45</v>
      </c>
      <c r="E6112" s="4">
        <v>13</v>
      </c>
      <c r="F6112" s="4">
        <v>928.90549999999996</v>
      </c>
      <c r="G6112" s="4">
        <v>0.06</v>
      </c>
      <c r="H6112" s="4" t="s">
        <v>22</v>
      </c>
      <c r="I6112" s="6">
        <v>-23.925000000000001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0.57999999999999996</v>
      </c>
      <c r="U6112" s="5">
        <f t="shared" si="2578"/>
        <v>40670</v>
      </c>
    </row>
    <row r="6113" spans="1:21" ht="12" customHeight="1">
      <c r="A6113" s="4">
        <v>2599</v>
      </c>
      <c r="B6113" s="4">
        <v>18758</v>
      </c>
      <c r="C6113" s="5">
        <f>DATE(2012,12,31)-986</f>
        <v>40288</v>
      </c>
      <c r="D6113" s="4" t="s">
        <v>45</v>
      </c>
      <c r="E6113" s="4">
        <v>20</v>
      </c>
      <c r="F6113" s="4">
        <v>2022.18</v>
      </c>
      <c r="G6113" s="4">
        <v>0.09</v>
      </c>
      <c r="H6113" s="4" t="s">
        <v>56</v>
      </c>
      <c r="I6113" s="6">
        <v>594.44000000000005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8"/>
        <v>40290</v>
      </c>
    </row>
    <row r="6114" spans="1:21" ht="12" customHeight="1">
      <c r="A6114" s="4">
        <v>2934</v>
      </c>
      <c r="B6114" s="4">
        <v>21253</v>
      </c>
      <c r="C6114" s="5">
        <f>DATE(2012,12,31)-258</f>
        <v>41016</v>
      </c>
      <c r="D6114" s="4" t="s">
        <v>63</v>
      </c>
      <c r="E6114" s="4">
        <v>5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19.989999999999998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spans="1:21" ht="12" customHeight="1">
      <c r="A6115" s="4">
        <v>3023</v>
      </c>
      <c r="B6115" s="4">
        <v>21735</v>
      </c>
      <c r="C6115" s="5">
        <f t="shared" ref="C6115:C6116" si="2580">DATE(2012,12,31)-1028</f>
        <v>40246</v>
      </c>
      <c r="D6115" s="4" t="s">
        <v>45</v>
      </c>
      <c r="E6115" s="4">
        <v>23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0.56999999999999995</v>
      </c>
      <c r="U6115" s="5">
        <f>C6115+2</f>
        <v>40248</v>
      </c>
    </row>
    <row r="6116" spans="1:21" ht="12" customHeight="1">
      <c r="A6116" s="4">
        <v>3024</v>
      </c>
      <c r="B6116" s="4">
        <v>21735</v>
      </c>
      <c r="C6116" s="5">
        <f t="shared" si="2580"/>
        <v>40246</v>
      </c>
      <c r="D6116" s="4" t="s">
        <v>45</v>
      </c>
      <c r="E6116" s="4">
        <v>14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0.57999999999999996</v>
      </c>
      <c r="U6116" s="5">
        <f>C6116+3</f>
        <v>40249</v>
      </c>
    </row>
    <row r="6117" spans="1:21" ht="12" customHeight="1">
      <c r="A6117" s="4">
        <v>3116</v>
      </c>
      <c r="B6117" s="4">
        <v>22375</v>
      </c>
      <c r="C6117" s="5">
        <f>DATE(2012,12,31)-634</f>
        <v>40640</v>
      </c>
      <c r="D6117" s="4" t="s">
        <v>45</v>
      </c>
      <c r="E6117" s="4">
        <v>43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9.5399999999999991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spans="1:21" ht="12" customHeight="1">
      <c r="A6118" s="4">
        <v>3170</v>
      </c>
      <c r="B6118" s="4">
        <v>22817</v>
      </c>
      <c r="C6118" s="5">
        <f>DATE(2012,12,31)-40</f>
        <v>41234</v>
      </c>
      <c r="D6118" s="4" t="s">
        <v>78</v>
      </c>
      <c r="E6118" s="4">
        <v>27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spans="1:21" ht="12" customHeight="1">
      <c r="A6119" s="4">
        <v>3333</v>
      </c>
      <c r="B6119" s="4">
        <v>23842</v>
      </c>
      <c r="C6119" s="5">
        <f>DATE(2012,12,31)-836</f>
        <v>40438</v>
      </c>
      <c r="D6119" s="4" t="s">
        <v>21</v>
      </c>
      <c r="E6119" s="4">
        <v>20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spans="1:21" ht="12" customHeight="1">
      <c r="A6120" s="4">
        <v>3342</v>
      </c>
      <c r="B6120" s="4">
        <v>23911</v>
      </c>
      <c r="C6120" s="5">
        <f t="shared" ref="C6120:C6122" si="2581">DATE(2012,12,31)-213</f>
        <v>41061</v>
      </c>
      <c r="D6120" s="4" t="s">
        <v>78</v>
      </c>
      <c r="E6120" s="4">
        <v>21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2">C6120+1</f>
        <v>41062</v>
      </c>
    </row>
    <row r="6121" spans="1:21" ht="12" customHeight="1">
      <c r="A6121" s="4">
        <v>3343</v>
      </c>
      <c r="B6121" s="4">
        <v>23911</v>
      </c>
      <c r="C6121" s="5">
        <f t="shared" si="2581"/>
        <v>41061</v>
      </c>
      <c r="D6121" s="4" t="s">
        <v>78</v>
      </c>
      <c r="E6121" s="4">
        <v>19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2"/>
        <v>41062</v>
      </c>
    </row>
    <row r="6122" spans="1:21" ht="12" customHeight="1">
      <c r="A6122" s="4">
        <v>3344</v>
      </c>
      <c r="B6122" s="4">
        <v>23911</v>
      </c>
      <c r="C6122" s="5">
        <f t="shared" si="2581"/>
        <v>41061</v>
      </c>
      <c r="D6122" s="4" t="s">
        <v>78</v>
      </c>
      <c r="E6122" s="4">
        <v>3</v>
      </c>
      <c r="F6122" s="4">
        <v>121.26</v>
      </c>
      <c r="G6122" s="4">
        <v>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2"/>
        <v>41062</v>
      </c>
    </row>
    <row r="6123" spans="1:21" ht="12" customHeight="1">
      <c r="A6123" s="4">
        <v>3509</v>
      </c>
      <c r="B6123" s="4">
        <v>24996</v>
      </c>
      <c r="C6123" s="5">
        <f t="shared" ref="C6123:C6124" si="2583">DATE(2012,12,31)-463</f>
        <v>40811</v>
      </c>
      <c r="D6123" s="4" t="s">
        <v>78</v>
      </c>
      <c r="E6123" s="4">
        <v>36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5.0999999999999996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2"/>
        <v>40812</v>
      </c>
    </row>
    <row r="6124" spans="1:21" ht="12" customHeight="1">
      <c r="A6124" s="4">
        <v>3510</v>
      </c>
      <c r="B6124" s="4">
        <v>24996</v>
      </c>
      <c r="C6124" s="5">
        <f t="shared" si="2583"/>
        <v>40811</v>
      </c>
      <c r="D6124" s="4" t="s">
        <v>78</v>
      </c>
      <c r="E6124" s="4">
        <v>2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4">C6124+2</f>
        <v>40813</v>
      </c>
    </row>
    <row r="6125" spans="1:21" ht="12" customHeight="1">
      <c r="A6125" s="4">
        <v>3677</v>
      </c>
      <c r="B6125" s="4">
        <v>26309</v>
      </c>
      <c r="C6125" s="5">
        <f>DATE(2012,12,31)-316</f>
        <v>40958</v>
      </c>
      <c r="D6125" s="4" t="s">
        <v>21</v>
      </c>
      <c r="E6125" s="4">
        <v>42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4"/>
        <v>40960</v>
      </c>
    </row>
    <row r="6126" spans="1:21" ht="12" customHeight="1">
      <c r="A6126" s="4">
        <v>3738</v>
      </c>
      <c r="B6126" s="4">
        <v>26723</v>
      </c>
      <c r="C6126" s="5">
        <f>DATE(2012,12,31)-669</f>
        <v>40605</v>
      </c>
      <c r="D6126" s="4" t="s">
        <v>21</v>
      </c>
      <c r="E6126" s="4">
        <v>8</v>
      </c>
      <c r="F6126" s="4">
        <v>441.80449999999996</v>
      </c>
      <c r="G6126" s="4">
        <v>0.03</v>
      </c>
      <c r="H6126" s="4" t="s">
        <v>22</v>
      </c>
      <c r="I6126" s="6">
        <v>-201.48699999999999</v>
      </c>
      <c r="J6126" s="4">
        <v>65.989999999999995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spans="1:21" ht="12" customHeight="1">
      <c r="A6127" s="4">
        <v>4066</v>
      </c>
      <c r="B6127" s="4">
        <v>28934</v>
      </c>
      <c r="C6127" s="5">
        <f t="shared" ref="C6127:C6129" si="2585">DATE(2012,12,31)-33</f>
        <v>41241</v>
      </c>
      <c r="D6127" s="4" t="s">
        <v>63</v>
      </c>
      <c r="E6127" s="4">
        <v>12</v>
      </c>
      <c r="F6127" s="4">
        <v>1272.3499999999999</v>
      </c>
      <c r="G6127" s="4">
        <v>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spans="1:21" ht="12" customHeight="1">
      <c r="A6128" s="4">
        <v>4067</v>
      </c>
      <c r="B6128" s="4">
        <v>28934</v>
      </c>
      <c r="C6128" s="5">
        <f t="shared" si="2585"/>
        <v>41241</v>
      </c>
      <c r="D6128" s="4" t="s">
        <v>63</v>
      </c>
      <c r="E6128" s="4">
        <v>26</v>
      </c>
      <c r="F6128" s="4">
        <v>4000.35</v>
      </c>
      <c r="G6128" s="4">
        <v>7.0000000000000007E-2</v>
      </c>
      <c r="H6128" s="4" t="s">
        <v>31</v>
      </c>
      <c r="I6128" s="6">
        <v>303.39</v>
      </c>
      <c r="J6128" s="4">
        <v>160.97999999999999</v>
      </c>
      <c r="K6128" s="4">
        <v>30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6">C6128+2</f>
        <v>41243</v>
      </c>
    </row>
    <row r="6129" spans="1:21" ht="12" customHeight="1">
      <c r="A6129" s="4">
        <v>4068</v>
      </c>
      <c r="B6129" s="4">
        <v>28934</v>
      </c>
      <c r="C6129" s="5">
        <f t="shared" si="2585"/>
        <v>41241</v>
      </c>
      <c r="D6129" s="4" t="s">
        <v>63</v>
      </c>
      <c r="E6129" s="4">
        <v>26</v>
      </c>
      <c r="F6129" s="4">
        <v>3356.92</v>
      </c>
      <c r="G6129" s="4">
        <v>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6"/>
        <v>41243</v>
      </c>
    </row>
    <row r="6130" spans="1:21" ht="12" customHeight="1">
      <c r="A6130" s="4">
        <v>4102</v>
      </c>
      <c r="B6130" s="4">
        <v>29218</v>
      </c>
      <c r="C6130" s="5">
        <f t="shared" ref="C6130:C6132" si="2587">DATE(2012,12,31)-216</f>
        <v>41058</v>
      </c>
      <c r="D6130" s="4" t="s">
        <v>21</v>
      </c>
      <c r="E6130" s="4">
        <v>19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8">C6130+0</f>
        <v>41058</v>
      </c>
    </row>
    <row r="6131" spans="1:21" ht="12" customHeight="1">
      <c r="A6131" s="4">
        <v>4103</v>
      </c>
      <c r="B6131" s="4">
        <v>29218</v>
      </c>
      <c r="C6131" s="5">
        <f t="shared" si="2587"/>
        <v>41058</v>
      </c>
      <c r="D6131" s="4" t="s">
        <v>21</v>
      </c>
      <c r="E6131" s="4">
        <v>26</v>
      </c>
      <c r="F6131" s="4">
        <v>74.02</v>
      </c>
      <c r="G6131" s="4">
        <v>0.04</v>
      </c>
      <c r="H6131" s="4" t="s">
        <v>22</v>
      </c>
      <c r="I6131" s="6">
        <v>8.1300000000000008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0.56000000000000005</v>
      </c>
      <c r="U6131" s="5">
        <f t="shared" si="2588"/>
        <v>41058</v>
      </c>
    </row>
    <row r="6132" spans="1:21" ht="12" customHeight="1">
      <c r="A6132" s="4">
        <v>4104</v>
      </c>
      <c r="B6132" s="4">
        <v>29218</v>
      </c>
      <c r="C6132" s="5">
        <f t="shared" si="2587"/>
        <v>41058</v>
      </c>
      <c r="D6132" s="4" t="s">
        <v>21</v>
      </c>
      <c r="E6132" s="4">
        <v>13</v>
      </c>
      <c r="F6132" s="4">
        <v>2252.9760000000001</v>
      </c>
      <c r="G6132" s="4">
        <v>0.02</v>
      </c>
      <c r="H6132" s="4" t="s">
        <v>22</v>
      </c>
      <c r="I6132" s="6">
        <v>-54.362000000000002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0.57999999999999996</v>
      </c>
      <c r="U6132" s="5">
        <f t="shared" ref="U6132:U6135" si="2589">C6132+2</f>
        <v>41060</v>
      </c>
    </row>
    <row r="6133" spans="1:21" ht="12" customHeight="1">
      <c r="A6133" s="4">
        <v>4165</v>
      </c>
      <c r="B6133" s="4">
        <v>29536</v>
      </c>
      <c r="C6133" s="5">
        <f t="shared" ref="C6133:C6135" si="2590">DATE(2012,12,31)-115</f>
        <v>41159</v>
      </c>
      <c r="D6133" s="4" t="s">
        <v>63</v>
      </c>
      <c r="E6133" s="4">
        <v>5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0.56999999999999995</v>
      </c>
      <c r="U6133" s="5">
        <f t="shared" si="2589"/>
        <v>41161</v>
      </c>
    </row>
    <row r="6134" spans="1:21" ht="12" customHeight="1">
      <c r="A6134" s="4">
        <v>4166</v>
      </c>
      <c r="B6134" s="4">
        <v>29536</v>
      </c>
      <c r="C6134" s="5">
        <f t="shared" si="2590"/>
        <v>41159</v>
      </c>
      <c r="D6134" s="4" t="s">
        <v>63</v>
      </c>
      <c r="E6134" s="4">
        <v>11</v>
      </c>
      <c r="F6134" s="4">
        <v>2483.5300000000002</v>
      </c>
      <c r="G6134" s="4">
        <v>7.0000000000000007E-2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89"/>
        <v>41161</v>
      </c>
    </row>
    <row r="6135" spans="1:21" ht="12" customHeight="1">
      <c r="A6135" s="4">
        <v>4167</v>
      </c>
      <c r="B6135" s="4">
        <v>29536</v>
      </c>
      <c r="C6135" s="5">
        <f t="shared" si="2590"/>
        <v>41159</v>
      </c>
      <c r="D6135" s="4" t="s">
        <v>63</v>
      </c>
      <c r="E6135" s="4">
        <v>26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19.989999999999998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89"/>
        <v>41161</v>
      </c>
    </row>
    <row r="6136" spans="1:21" ht="12" customHeight="1">
      <c r="A6136" s="4">
        <v>4170</v>
      </c>
      <c r="B6136" s="4">
        <v>29569</v>
      </c>
      <c r="C6136" s="5">
        <f t="shared" ref="C6136:C6137" si="2591">DATE(2012,12,31)-547</f>
        <v>40727</v>
      </c>
      <c r="D6136" s="4" t="s">
        <v>30</v>
      </c>
      <c r="E6136" s="4">
        <v>46</v>
      </c>
      <c r="F6136" s="4">
        <v>27720.98</v>
      </c>
      <c r="G6136" s="4">
        <v>7.0000000000000007E-2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spans="1:21" ht="12" customHeight="1">
      <c r="A6137" s="4">
        <v>4171</v>
      </c>
      <c r="B6137" s="4">
        <v>29569</v>
      </c>
      <c r="C6137" s="5">
        <f t="shared" si="2591"/>
        <v>40727</v>
      </c>
      <c r="D6137" s="4" t="s">
        <v>30</v>
      </c>
      <c r="E6137" s="4">
        <v>29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spans="1:21" ht="12" customHeight="1">
      <c r="A6138" s="4">
        <v>4197</v>
      </c>
      <c r="B6138" s="4">
        <v>29827</v>
      </c>
      <c r="C6138" s="5">
        <f>DATE(2012,12,31)-536</f>
        <v>40738</v>
      </c>
      <c r="D6138" s="4" t="s">
        <v>78</v>
      </c>
      <c r="E6138" s="4">
        <v>35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spans="1:21" ht="12" customHeight="1">
      <c r="A6139" s="4">
        <v>4210</v>
      </c>
      <c r="B6139" s="4">
        <v>29926</v>
      </c>
      <c r="C6139" s="5">
        <f>DATE(2012,12,31)-284</f>
        <v>40990</v>
      </c>
      <c r="D6139" s="4" t="s">
        <v>63</v>
      </c>
      <c r="E6139" s="4">
        <v>9</v>
      </c>
      <c r="F6139" s="4">
        <v>20.21</v>
      </c>
      <c r="G6139" s="4">
        <v>0</v>
      </c>
      <c r="H6139" s="4" t="s">
        <v>22</v>
      </c>
      <c r="I6139" s="6">
        <v>-5.1404999999999994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spans="1:21" ht="12" customHeight="1">
      <c r="A6140" s="4">
        <v>4337</v>
      </c>
      <c r="B6140" s="4">
        <v>30913</v>
      </c>
      <c r="C6140" s="5">
        <f t="shared" ref="C6140:C6143" si="2592">DATE(2012,12,31)-100</f>
        <v>41174</v>
      </c>
      <c r="D6140" s="4" t="s">
        <v>63</v>
      </c>
      <c r="E6140" s="4">
        <v>23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spans="1:21" ht="12" customHeight="1">
      <c r="A6141" s="4">
        <v>4338</v>
      </c>
      <c r="B6141" s="4">
        <v>30913</v>
      </c>
      <c r="C6141" s="5">
        <f t="shared" si="2592"/>
        <v>41174</v>
      </c>
      <c r="D6141" s="4" t="s">
        <v>63</v>
      </c>
      <c r="E6141" s="4">
        <v>36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3">C6141+2</f>
        <v>41176</v>
      </c>
    </row>
    <row r="6142" spans="1:21" ht="12" customHeight="1">
      <c r="A6142" s="4">
        <v>4339</v>
      </c>
      <c r="B6142" s="4">
        <v>30913</v>
      </c>
      <c r="C6142" s="5">
        <f t="shared" si="2592"/>
        <v>41174</v>
      </c>
      <c r="D6142" s="4" t="s">
        <v>63</v>
      </c>
      <c r="E6142" s="4">
        <v>44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3"/>
        <v>41176</v>
      </c>
    </row>
    <row r="6143" spans="1:21" ht="12" customHeight="1">
      <c r="A6143" s="4">
        <v>4340</v>
      </c>
      <c r="B6143" s="4">
        <v>30913</v>
      </c>
      <c r="C6143" s="5">
        <f t="shared" si="2592"/>
        <v>41174</v>
      </c>
      <c r="D6143" s="4" t="s">
        <v>63</v>
      </c>
      <c r="E6143" s="4">
        <v>24</v>
      </c>
      <c r="F6143" s="4">
        <v>496.62</v>
      </c>
      <c r="G6143" s="4">
        <v>7.0000000000000007E-2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3"/>
        <v>41176</v>
      </c>
    </row>
    <row r="6144" spans="1:21" ht="12" customHeight="1">
      <c r="A6144" s="4">
        <v>4393</v>
      </c>
      <c r="B6144" s="4">
        <v>31271</v>
      </c>
      <c r="C6144" s="5">
        <f>DATE(2012,12,31)-621</f>
        <v>40653</v>
      </c>
      <c r="D6144" s="4" t="s">
        <v>21</v>
      </c>
      <c r="E6144" s="4">
        <v>4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8.3699999999999992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spans="1:21" ht="12" customHeight="1">
      <c r="A6145" s="4">
        <v>4406</v>
      </c>
      <c r="B6145" s="4">
        <v>31399</v>
      </c>
      <c r="C6145" s="5">
        <f>DATE(2012,12,31)-422</f>
        <v>40852</v>
      </c>
      <c r="D6145" s="4" t="s">
        <v>45</v>
      </c>
      <c r="E6145" s="4">
        <v>9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0.56000000000000005</v>
      </c>
      <c r="U6145" s="5">
        <f>C6145+1</f>
        <v>40853</v>
      </c>
    </row>
    <row r="6146" spans="1:21" ht="12" customHeight="1">
      <c r="A6146" s="4">
        <v>4498</v>
      </c>
      <c r="B6146" s="4">
        <v>32007</v>
      </c>
      <c r="C6146" s="5">
        <f>DATE(2012,12,31)-695</f>
        <v>40579</v>
      </c>
      <c r="D6146" s="4" t="s">
        <v>21</v>
      </c>
      <c r="E6146" s="4">
        <v>41</v>
      </c>
      <c r="F6146" s="4">
        <v>17448.75</v>
      </c>
      <c r="G6146" s="4">
        <v>0.06</v>
      </c>
      <c r="H6146" s="4" t="s">
        <v>31</v>
      </c>
      <c r="I6146" s="6">
        <v>9.9300000000000637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spans="1:21" ht="12" customHeight="1">
      <c r="A6147" s="4">
        <v>4518</v>
      </c>
      <c r="B6147" s="4">
        <v>32164</v>
      </c>
      <c r="C6147" s="5">
        <f t="shared" ref="C6147:C6149" si="2594">DATE(2012,12,31)-1063</f>
        <v>40211</v>
      </c>
      <c r="D6147" s="4" t="s">
        <v>45</v>
      </c>
      <c r="E6147" s="4">
        <v>12</v>
      </c>
      <c r="F6147" s="4">
        <v>77.010000000000005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5">C6147+1</f>
        <v>40212</v>
      </c>
    </row>
    <row r="6148" spans="1:21" ht="12" customHeight="1">
      <c r="A6148" s="4">
        <v>4519</v>
      </c>
      <c r="B6148" s="4">
        <v>32164</v>
      </c>
      <c r="C6148" s="5">
        <f t="shared" si="2594"/>
        <v>40211</v>
      </c>
      <c r="D6148" s="4" t="s">
        <v>45</v>
      </c>
      <c r="E6148" s="4">
        <v>34</v>
      </c>
      <c r="F6148" s="4">
        <v>111.83</v>
      </c>
      <c r="G6148" s="4">
        <v>7.0000000000000007E-2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0.56000000000000005</v>
      </c>
      <c r="U6148" s="5">
        <f t="shared" si="2595"/>
        <v>40212</v>
      </c>
    </row>
    <row r="6149" spans="1:21" ht="12" customHeight="1">
      <c r="A6149" s="4">
        <v>4520</v>
      </c>
      <c r="B6149" s="4">
        <v>32164</v>
      </c>
      <c r="C6149" s="5">
        <f t="shared" si="2594"/>
        <v>40211</v>
      </c>
      <c r="D6149" s="4" t="s">
        <v>45</v>
      </c>
      <c r="E6149" s="4">
        <v>23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5"/>
        <v>40212</v>
      </c>
    </row>
    <row r="6150" spans="1:21" ht="12" customHeight="1">
      <c r="A6150" s="4">
        <v>4531</v>
      </c>
      <c r="B6150" s="4">
        <v>32228</v>
      </c>
      <c r="C6150" s="5">
        <f>DATE(2012,12,31)-788</f>
        <v>40486</v>
      </c>
      <c r="D6150" s="4" t="s">
        <v>78</v>
      </c>
      <c r="E6150" s="4">
        <v>35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0.55000000000000004</v>
      </c>
      <c r="U6150" s="5">
        <f t="shared" ref="U6150:U6151" si="2596">C6150+2</f>
        <v>40488</v>
      </c>
    </row>
    <row r="6151" spans="1:21" ht="12" customHeight="1">
      <c r="A6151" s="4">
        <v>4551</v>
      </c>
      <c r="B6151" s="4">
        <v>32386</v>
      </c>
      <c r="C6151" s="5">
        <f>DATE(2012,12,31)-257</f>
        <v>41017</v>
      </c>
      <c r="D6151" s="4" t="s">
        <v>78</v>
      </c>
      <c r="E6151" s="4">
        <v>1</v>
      </c>
      <c r="F6151" s="4">
        <v>1996.16</v>
      </c>
      <c r="G6151" s="4">
        <v>0</v>
      </c>
      <c r="H6151" s="4" t="s">
        <v>22</v>
      </c>
      <c r="I6151" s="6">
        <v>-3974.4558000000002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6"/>
        <v>41019</v>
      </c>
    </row>
    <row r="6152" spans="1:21" ht="12" customHeight="1">
      <c r="A6152" s="4">
        <v>4578</v>
      </c>
      <c r="B6152" s="4">
        <v>32610</v>
      </c>
      <c r="C6152" s="5">
        <f t="shared" ref="C6152:C6153" si="2597">DATE(2012,12,31)-134</f>
        <v>41140</v>
      </c>
      <c r="D6152" s="4" t="s">
        <v>45</v>
      </c>
      <c r="E6152" s="4">
        <v>47</v>
      </c>
      <c r="F6152" s="4">
        <v>316.99</v>
      </c>
      <c r="G6152" s="4">
        <v>0.04</v>
      </c>
      <c r="H6152" s="4" t="s">
        <v>22</v>
      </c>
      <c r="I6152" s="6">
        <v>-276.54000000000002</v>
      </c>
      <c r="J6152" s="4">
        <v>6.84</v>
      </c>
      <c r="K6152" s="4">
        <v>8.3699999999999992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0.57999999999999996</v>
      </c>
      <c r="U6152" s="5">
        <f t="shared" ref="U6152:U6153" si="2598">C6152+1</f>
        <v>41141</v>
      </c>
    </row>
    <row r="6153" spans="1:21" ht="12" customHeight="1">
      <c r="A6153" s="4">
        <v>4579</v>
      </c>
      <c r="B6153" s="4">
        <v>32610</v>
      </c>
      <c r="C6153" s="5">
        <f t="shared" si="2597"/>
        <v>41140</v>
      </c>
      <c r="D6153" s="4" t="s">
        <v>45</v>
      </c>
      <c r="E6153" s="4">
        <v>20</v>
      </c>
      <c r="F6153" s="4">
        <v>1991.8984999999998</v>
      </c>
      <c r="G6153" s="4">
        <v>7.0000000000000007E-2</v>
      </c>
      <c r="H6153" s="4" t="s">
        <v>22</v>
      </c>
      <c r="I6153" s="6">
        <v>88.362000000000009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0.57999999999999996</v>
      </c>
      <c r="U6153" s="5">
        <f t="shared" si="2598"/>
        <v>41141</v>
      </c>
    </row>
    <row r="6154" spans="1:21" ht="12" customHeight="1">
      <c r="A6154" s="4">
        <v>4634</v>
      </c>
      <c r="B6154" s="4">
        <v>32994</v>
      </c>
      <c r="C6154" s="5">
        <f>DATE(2012,12,31)-106</f>
        <v>41168</v>
      </c>
      <c r="D6154" s="4" t="s">
        <v>78</v>
      </c>
      <c r="E6154" s="4">
        <v>34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599">C6154+0</f>
        <v>41168</v>
      </c>
    </row>
    <row r="6155" spans="1:21" ht="12" customHeight="1">
      <c r="A6155" s="4">
        <v>4677</v>
      </c>
      <c r="B6155" s="4">
        <v>33283</v>
      </c>
      <c r="C6155" s="5">
        <f>DATE(2012,12,31)-1017</f>
        <v>40257</v>
      </c>
      <c r="D6155" s="4" t="s">
        <v>63</v>
      </c>
      <c r="E6155" s="4">
        <v>48</v>
      </c>
      <c r="F6155" s="4">
        <v>10462.540000000001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599"/>
        <v>40257</v>
      </c>
    </row>
    <row r="6156" spans="1:21" ht="12" customHeight="1">
      <c r="A6156" s="4">
        <v>4750</v>
      </c>
      <c r="B6156" s="4">
        <v>33764</v>
      </c>
      <c r="C6156" s="5">
        <f t="shared" ref="C6156:C6157" si="2600">DATE(2012,12,31)-690</f>
        <v>40584</v>
      </c>
      <c r="D6156" s="4" t="s">
        <v>78</v>
      </c>
      <c r="E6156" s="4">
        <v>4</v>
      </c>
      <c r="F6156" s="4">
        <v>539.82000000000005</v>
      </c>
      <c r="G6156" s="4">
        <v>0</v>
      </c>
      <c r="H6156" s="4" t="s">
        <v>22</v>
      </c>
      <c r="I6156" s="6">
        <v>-64.78</v>
      </c>
      <c r="J6156" s="4">
        <v>120.33</v>
      </c>
      <c r="K6156" s="4">
        <v>19.989999999999998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spans="1:21" ht="12" customHeight="1">
      <c r="A6157" s="4">
        <v>4751</v>
      </c>
      <c r="B6157" s="4">
        <v>33764</v>
      </c>
      <c r="C6157" s="5">
        <f t="shared" si="2600"/>
        <v>40584</v>
      </c>
      <c r="D6157" s="4" t="s">
        <v>78</v>
      </c>
      <c r="E6157" s="4">
        <v>6</v>
      </c>
      <c r="F6157" s="4">
        <v>1029.8855000000001</v>
      </c>
      <c r="G6157" s="4">
        <v>0.06</v>
      </c>
      <c r="H6157" s="4" t="s">
        <v>56</v>
      </c>
      <c r="I6157" s="6">
        <v>-620.82899999999995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0.56000000000000005</v>
      </c>
      <c r="U6157" s="5">
        <f>C6157+1</f>
        <v>40585</v>
      </c>
    </row>
    <row r="6158" spans="1:21" ht="12" customHeight="1">
      <c r="A6158" s="4">
        <v>4800</v>
      </c>
      <c r="B6158" s="4">
        <v>34117</v>
      </c>
      <c r="C6158" s="5">
        <f>DATE(2012,12,31)-328</f>
        <v>40946</v>
      </c>
      <c r="D6158" s="4" t="s">
        <v>30</v>
      </c>
      <c r="E6158" s="4">
        <v>45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spans="1:21" ht="12" customHeight="1">
      <c r="A6159" s="4">
        <v>4974</v>
      </c>
      <c r="B6159" s="4">
        <v>35366</v>
      </c>
      <c r="C6159" s="5">
        <f>DATE(2012,12,31)-538</f>
        <v>40736</v>
      </c>
      <c r="D6159" s="4" t="s">
        <v>21</v>
      </c>
      <c r="E6159" s="4">
        <v>23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spans="1:21" ht="12" customHeight="1">
      <c r="A6160" s="4">
        <v>4979</v>
      </c>
      <c r="B6160" s="4">
        <v>35426</v>
      </c>
      <c r="C6160" s="5">
        <f>DATE(2012,12,31)-820</f>
        <v>40454</v>
      </c>
      <c r="D6160" s="4" t="s">
        <v>30</v>
      </c>
      <c r="E6160" s="4">
        <v>5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spans="1:21" ht="12" customHeight="1">
      <c r="A6161" s="4">
        <v>4987</v>
      </c>
      <c r="B6161" s="4">
        <v>35490</v>
      </c>
      <c r="C6161" s="5">
        <f t="shared" ref="C6161:C6162" si="2601">DATE(2012,12,31)-755</f>
        <v>40519</v>
      </c>
      <c r="D6161" s="4" t="s">
        <v>30</v>
      </c>
      <c r="E6161" s="4">
        <v>7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0.55000000000000004</v>
      </c>
      <c r="U6161" s="5">
        <f t="shared" ref="U6161:U6164" si="2602">C6161+2</f>
        <v>40521</v>
      </c>
    </row>
    <row r="6162" spans="1:21" ht="12" customHeight="1">
      <c r="A6162" s="4">
        <v>4988</v>
      </c>
      <c r="B6162" s="4">
        <v>35490</v>
      </c>
      <c r="C6162" s="5">
        <f t="shared" si="2601"/>
        <v>40519</v>
      </c>
      <c r="D6162" s="4" t="s">
        <v>30</v>
      </c>
      <c r="E6162" s="4">
        <v>41</v>
      </c>
      <c r="F6162" s="4">
        <v>1289.6199999999999</v>
      </c>
      <c r="G6162" s="4">
        <v>0.03</v>
      </c>
      <c r="H6162" s="4" t="s">
        <v>22</v>
      </c>
      <c r="I6162" s="6">
        <v>432.52199999999999</v>
      </c>
      <c r="J6162" s="4">
        <v>35.99</v>
      </c>
      <c r="K6162" s="4">
        <v>1.1000000000000001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0.55000000000000004</v>
      </c>
      <c r="U6162" s="5">
        <f t="shared" si="2602"/>
        <v>40521</v>
      </c>
    </row>
    <row r="6163" spans="1:21" ht="12" customHeight="1">
      <c r="A6163" s="4">
        <v>5005</v>
      </c>
      <c r="B6163" s="4">
        <v>35686</v>
      </c>
      <c r="C6163" s="5">
        <f>DATE(2012,12,31)-821</f>
        <v>40453</v>
      </c>
      <c r="D6163" s="4" t="s">
        <v>30</v>
      </c>
      <c r="E6163" s="4">
        <v>48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2"/>
        <v>40455</v>
      </c>
    </row>
    <row r="6164" spans="1:21" ht="12" customHeight="1">
      <c r="A6164" s="4">
        <v>5085</v>
      </c>
      <c r="B6164" s="4">
        <v>36257</v>
      </c>
      <c r="C6164" s="5">
        <f>DATE(2012,12,31)-308</f>
        <v>40966</v>
      </c>
      <c r="D6164" s="4" t="s">
        <v>30</v>
      </c>
      <c r="E6164" s="4">
        <v>43</v>
      </c>
      <c r="F6164" s="4">
        <v>894.51</v>
      </c>
      <c r="G6164" s="4">
        <v>0.08</v>
      </c>
      <c r="H6164" s="4" t="s">
        <v>22</v>
      </c>
      <c r="I6164" s="6">
        <v>294.20999999999998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2"/>
        <v>40968</v>
      </c>
    </row>
    <row r="6165" spans="1:21" ht="12" customHeight="1">
      <c r="A6165" s="4">
        <v>5086</v>
      </c>
      <c r="B6165" s="4">
        <v>36262</v>
      </c>
      <c r="C6165" s="5">
        <f t="shared" ref="C6165:C6167" si="2603">DATE(2012,12,31)-888</f>
        <v>40386</v>
      </c>
      <c r="D6165" s="4" t="s">
        <v>45</v>
      </c>
      <c r="E6165" s="4">
        <v>23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4">C6165+1</f>
        <v>40387</v>
      </c>
    </row>
    <row r="6166" spans="1:21" ht="12" customHeight="1">
      <c r="A6166" s="4">
        <v>5087</v>
      </c>
      <c r="B6166" s="4">
        <v>36262</v>
      </c>
      <c r="C6166" s="5">
        <f t="shared" si="2603"/>
        <v>40386</v>
      </c>
      <c r="D6166" s="4" t="s">
        <v>45</v>
      </c>
      <c r="E6166" s="4">
        <v>23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0.56000000000000005</v>
      </c>
      <c r="U6166" s="5">
        <f t="shared" si="2604"/>
        <v>40387</v>
      </c>
    </row>
    <row r="6167" spans="1:21" ht="12" customHeight="1">
      <c r="A6167" s="4">
        <v>5088</v>
      </c>
      <c r="B6167" s="4">
        <v>36262</v>
      </c>
      <c r="C6167" s="5">
        <f t="shared" si="2603"/>
        <v>40386</v>
      </c>
      <c r="D6167" s="4" t="s">
        <v>45</v>
      </c>
      <c r="E6167" s="4">
        <v>26</v>
      </c>
      <c r="F6167" s="4">
        <v>4701.6899999999996</v>
      </c>
      <c r="G6167" s="4">
        <v>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spans="1:21" ht="12" customHeight="1">
      <c r="A6168" s="4">
        <v>5089</v>
      </c>
      <c r="B6168" s="4">
        <v>36292</v>
      </c>
      <c r="C6168" s="5">
        <f t="shared" ref="C6168:C6169" si="2605">DATE(2012,12,31)-1058</f>
        <v>40216</v>
      </c>
      <c r="D6168" s="4" t="s">
        <v>78</v>
      </c>
      <c r="E6168" s="4">
        <v>21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4.9800000000000004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spans="1:21" ht="12" customHeight="1">
      <c r="A6169" s="4">
        <v>5090</v>
      </c>
      <c r="B6169" s="4">
        <v>36292</v>
      </c>
      <c r="C6169" s="5">
        <f t="shared" si="2605"/>
        <v>40216</v>
      </c>
      <c r="D6169" s="4" t="s">
        <v>78</v>
      </c>
      <c r="E6169" s="4">
        <v>37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spans="1:21" ht="12" customHeight="1">
      <c r="A6170" s="4">
        <v>5103</v>
      </c>
      <c r="B6170" s="4">
        <v>36357</v>
      </c>
      <c r="C6170" s="5">
        <f>DATE(2012,12,31)-352</f>
        <v>40922</v>
      </c>
      <c r="D6170" s="4" t="s">
        <v>45</v>
      </c>
      <c r="E6170" s="4">
        <v>38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6">C6170+1</f>
        <v>40923</v>
      </c>
    </row>
    <row r="6171" spans="1:21" ht="12" customHeight="1">
      <c r="A6171" s="4">
        <v>5122</v>
      </c>
      <c r="B6171" s="4">
        <v>36482</v>
      </c>
      <c r="C6171" s="5">
        <f t="shared" ref="C6171:C6173" si="2607">DATE(2012,12,31)-545</f>
        <v>40729</v>
      </c>
      <c r="D6171" s="4" t="s">
        <v>63</v>
      </c>
      <c r="E6171" s="4">
        <v>7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6"/>
        <v>40730</v>
      </c>
    </row>
    <row r="6172" spans="1:21" ht="12" customHeight="1">
      <c r="A6172" s="4">
        <v>5123</v>
      </c>
      <c r="B6172" s="4">
        <v>36482</v>
      </c>
      <c r="C6172" s="5">
        <f t="shared" si="2607"/>
        <v>40729</v>
      </c>
      <c r="D6172" s="4" t="s">
        <v>63</v>
      </c>
      <c r="E6172" s="4">
        <v>47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0.56999999999999995</v>
      </c>
      <c r="U6172" s="5">
        <f t="shared" si="2606"/>
        <v>40730</v>
      </c>
    </row>
    <row r="6173" spans="1:21" ht="12" customHeight="1">
      <c r="A6173" s="4">
        <v>5124</v>
      </c>
      <c r="B6173" s="4">
        <v>36482</v>
      </c>
      <c r="C6173" s="5">
        <f t="shared" si="2607"/>
        <v>40729</v>
      </c>
      <c r="D6173" s="4" t="s">
        <v>63</v>
      </c>
      <c r="E6173" s="4">
        <v>27</v>
      </c>
      <c r="F6173" s="4">
        <v>2675.08</v>
      </c>
      <c r="G6173" s="4">
        <v>7.0000000000000007E-2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spans="1:21" ht="12" customHeight="1">
      <c r="A6174" s="4">
        <v>5168</v>
      </c>
      <c r="B6174" s="4">
        <v>36772</v>
      </c>
      <c r="C6174" s="5">
        <f>DATE(2012,12,31)-961</f>
        <v>40313</v>
      </c>
      <c r="D6174" s="4" t="s">
        <v>63</v>
      </c>
      <c r="E6174" s="4">
        <v>47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spans="1:21" ht="12" customHeight="1">
      <c r="A6175" s="4">
        <v>5206</v>
      </c>
      <c r="B6175" s="4">
        <v>36998</v>
      </c>
      <c r="C6175" s="5">
        <f t="shared" ref="C6175:C6177" si="2608">DATE(2012,12,31)-93</f>
        <v>41181</v>
      </c>
      <c r="D6175" s="4" t="s">
        <v>21</v>
      </c>
      <c r="E6175" s="4">
        <v>50</v>
      </c>
      <c r="F6175" s="4">
        <v>481.23</v>
      </c>
      <c r="G6175" s="4">
        <v>7.0000000000000007E-2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0.56999999999999995</v>
      </c>
      <c r="U6175" s="5">
        <f>C6175+5</f>
        <v>41186</v>
      </c>
    </row>
    <row r="6176" spans="1:21" ht="12" customHeight="1">
      <c r="A6176" s="4">
        <v>5207</v>
      </c>
      <c r="B6176" s="4">
        <v>36998</v>
      </c>
      <c r="C6176" s="5">
        <f t="shared" si="2608"/>
        <v>41181</v>
      </c>
      <c r="D6176" s="4" t="s">
        <v>21</v>
      </c>
      <c r="E6176" s="4">
        <v>41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9.5399999999999991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spans="1:21" ht="12" customHeight="1">
      <c r="A6177" s="4">
        <v>5208</v>
      </c>
      <c r="B6177" s="4">
        <v>36998</v>
      </c>
      <c r="C6177" s="5">
        <f t="shared" si="2608"/>
        <v>41181</v>
      </c>
      <c r="D6177" s="4" t="s">
        <v>21</v>
      </c>
      <c r="E6177" s="4">
        <v>8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spans="1:21" ht="12" customHeight="1">
      <c r="A6178" s="4">
        <v>5523</v>
      </c>
      <c r="B6178" s="4">
        <v>39140</v>
      </c>
      <c r="C6178" s="5">
        <f>DATE(2012,12,31)-826</f>
        <v>40448</v>
      </c>
      <c r="D6178" s="4" t="s">
        <v>21</v>
      </c>
      <c r="E6178" s="4">
        <v>26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spans="1:21" ht="12" customHeight="1">
      <c r="A6179" s="4">
        <v>5597</v>
      </c>
      <c r="B6179" s="4">
        <v>39682</v>
      </c>
      <c r="C6179" s="5">
        <f>DATE(2012,12,31)-783</f>
        <v>40491</v>
      </c>
      <c r="D6179" s="4" t="s">
        <v>63</v>
      </c>
      <c r="E6179" s="4">
        <v>43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spans="1:21" ht="12" customHeight="1">
      <c r="A6180" s="4">
        <v>5621</v>
      </c>
      <c r="B6180" s="4">
        <v>39813</v>
      </c>
      <c r="C6180" s="5">
        <f>DATE(2012,12,31)-333</f>
        <v>40941</v>
      </c>
      <c r="D6180" s="4" t="s">
        <v>78</v>
      </c>
      <c r="E6180" s="4">
        <v>48</v>
      </c>
      <c r="F6180" s="4">
        <v>314.33999999999997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spans="1:21" ht="12" customHeight="1">
      <c r="A6181" s="4">
        <v>5644</v>
      </c>
      <c r="B6181" s="4">
        <v>39937</v>
      </c>
      <c r="C6181" s="5">
        <f>DATE(2012,12,31)-588</f>
        <v>40686</v>
      </c>
      <c r="D6181" s="4" t="s">
        <v>63</v>
      </c>
      <c r="E6181" s="4">
        <v>42</v>
      </c>
      <c r="F6181" s="4">
        <v>113.33</v>
      </c>
      <c r="G6181" s="4">
        <v>7.0000000000000007E-2</v>
      </c>
      <c r="H6181" s="4" t="s">
        <v>22</v>
      </c>
      <c r="I6181" s="6">
        <v>-0.40250000000000002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spans="1:21" ht="12" customHeight="1">
      <c r="A6182" s="4">
        <v>5658</v>
      </c>
      <c r="B6182" s="4">
        <v>40034</v>
      </c>
      <c r="C6182" s="5">
        <f>DATE(2012,12,31)-662</f>
        <v>40612</v>
      </c>
      <c r="D6182" s="4" t="s">
        <v>63</v>
      </c>
      <c r="E6182" s="4">
        <v>47</v>
      </c>
      <c r="F6182" s="4">
        <v>603.69000000000005</v>
      </c>
      <c r="G6182" s="4">
        <v>0</v>
      </c>
      <c r="H6182" s="4" t="s">
        <v>56</v>
      </c>
      <c r="I6182" s="6">
        <v>131.38999999999999</v>
      </c>
      <c r="J6182" s="4">
        <v>12.28</v>
      </c>
      <c r="K6182" s="4">
        <v>4.8600000000000003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spans="1:21" ht="12" customHeight="1">
      <c r="A6183" s="4">
        <v>5720</v>
      </c>
      <c r="B6183" s="4">
        <v>40519</v>
      </c>
      <c r="C6183" s="5">
        <f>DATE(2012,12,31)-741</f>
        <v>40533</v>
      </c>
      <c r="D6183" s="4" t="s">
        <v>78</v>
      </c>
      <c r="E6183" s="4">
        <v>38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2.1800000000000002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spans="1:21" ht="12" customHeight="1">
      <c r="A6184" s="4">
        <v>5753</v>
      </c>
      <c r="B6184" s="4">
        <v>40838</v>
      </c>
      <c r="C6184" s="5">
        <f t="shared" ref="C6184:C6185" si="2609">DATE(2012,12,31)-35</f>
        <v>41239</v>
      </c>
      <c r="D6184" s="4" t="s">
        <v>45</v>
      </c>
      <c r="E6184" s="4">
        <v>40</v>
      </c>
      <c r="F6184" s="4">
        <v>323.95999999999998</v>
      </c>
      <c r="G6184" s="4">
        <v>7.0000000000000007E-2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spans="1:21" ht="12" customHeight="1">
      <c r="A6185" s="4">
        <v>5754</v>
      </c>
      <c r="B6185" s="4">
        <v>40838</v>
      </c>
      <c r="C6185" s="5">
        <f t="shared" si="2609"/>
        <v>41239</v>
      </c>
      <c r="D6185" s="4" t="s">
        <v>45</v>
      </c>
      <c r="E6185" s="4">
        <v>10</v>
      </c>
      <c r="F6185" s="4">
        <v>175.85649999999998</v>
      </c>
      <c r="G6185" s="4">
        <v>0.03</v>
      </c>
      <c r="H6185" s="4" t="s">
        <v>22</v>
      </c>
      <c r="I6185" s="6">
        <v>-93.257999999999996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spans="1:21" ht="12" customHeight="1">
      <c r="A6186" s="4">
        <v>5882</v>
      </c>
      <c r="B6186" s="4">
        <v>41760</v>
      </c>
      <c r="C6186" s="5">
        <f t="shared" ref="C6186:C6189" si="2610">DATE(2012,12,31)-339</f>
        <v>40935</v>
      </c>
      <c r="D6186" s="4" t="s">
        <v>21</v>
      </c>
      <c r="E6186" s="4">
        <v>21</v>
      </c>
      <c r="F6186" s="4">
        <v>6688.66</v>
      </c>
      <c r="G6186" s="4">
        <v>0.04</v>
      </c>
      <c r="H6186" s="4" t="s">
        <v>22</v>
      </c>
      <c r="I6186" s="6">
        <v>2648.0814999999998</v>
      </c>
      <c r="J6186" s="4">
        <v>315.98</v>
      </c>
      <c r="K6186" s="4">
        <v>19.989999999999998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spans="1:21" ht="12" customHeight="1">
      <c r="A6187" s="4">
        <v>5883</v>
      </c>
      <c r="B6187" s="4">
        <v>41760</v>
      </c>
      <c r="C6187" s="5">
        <f t="shared" si="2610"/>
        <v>40935</v>
      </c>
      <c r="D6187" s="4" t="s">
        <v>21</v>
      </c>
      <c r="E6187" s="4">
        <v>22</v>
      </c>
      <c r="F6187" s="4">
        <v>247.45</v>
      </c>
      <c r="G6187" s="4">
        <v>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0.56999999999999995</v>
      </c>
      <c r="U6187" s="5">
        <f>C6187+7</f>
        <v>40942</v>
      </c>
    </row>
    <row r="6188" spans="1:21" ht="12" customHeight="1">
      <c r="A6188" s="4">
        <v>5884</v>
      </c>
      <c r="B6188" s="4">
        <v>41760</v>
      </c>
      <c r="C6188" s="5">
        <f t="shared" si="2610"/>
        <v>40935</v>
      </c>
      <c r="D6188" s="4" t="s">
        <v>21</v>
      </c>
      <c r="E6188" s="4">
        <v>7</v>
      </c>
      <c r="F6188" s="4">
        <v>685.72050000000002</v>
      </c>
      <c r="G6188" s="4">
        <v>0.08</v>
      </c>
      <c r="H6188" s="4" t="s">
        <v>22</v>
      </c>
      <c r="I6188" s="6">
        <v>-278.87200000000001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0.56999999999999995</v>
      </c>
      <c r="U6188" s="5">
        <f t="shared" ref="U6188:U6190" si="2611">C6188+5</f>
        <v>40940</v>
      </c>
    </row>
    <row r="6189" spans="1:21" ht="12" customHeight="1">
      <c r="A6189" s="4">
        <v>5885</v>
      </c>
      <c r="B6189" s="4">
        <v>41760</v>
      </c>
      <c r="C6189" s="5">
        <f t="shared" si="2610"/>
        <v>40935</v>
      </c>
      <c r="D6189" s="4" t="s">
        <v>21</v>
      </c>
      <c r="E6189" s="4">
        <v>40</v>
      </c>
      <c r="F6189" s="4">
        <v>3232.1334999999999</v>
      </c>
      <c r="G6189" s="4">
        <v>0.05</v>
      </c>
      <c r="H6189" s="4" t="s">
        <v>22</v>
      </c>
      <c r="I6189" s="6">
        <v>696.95100000000002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0.56999999999999995</v>
      </c>
      <c r="U6189" s="5">
        <f t="shared" si="2611"/>
        <v>40940</v>
      </c>
    </row>
    <row r="6190" spans="1:21" ht="12" customHeight="1">
      <c r="A6190" s="4">
        <v>6069</v>
      </c>
      <c r="B6190" s="4">
        <v>42982</v>
      </c>
      <c r="C6190" s="5">
        <f>DATE(2012,12,31)-157</f>
        <v>41117</v>
      </c>
      <c r="D6190" s="4" t="s">
        <v>21</v>
      </c>
      <c r="E6190" s="4">
        <v>42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1"/>
        <v>41122</v>
      </c>
    </row>
    <row r="6191" spans="1:21" ht="12" customHeight="1">
      <c r="A6191" s="4">
        <v>6111</v>
      </c>
      <c r="B6191" s="4">
        <v>43298</v>
      </c>
      <c r="C6191" s="5">
        <f t="shared" ref="C6191:C6192" si="2612">DATE(2012,12,31)-540</f>
        <v>40734</v>
      </c>
      <c r="D6191" s="4" t="s">
        <v>45</v>
      </c>
      <c r="E6191" s="4">
        <v>33</v>
      </c>
      <c r="F6191" s="4">
        <v>5964.19</v>
      </c>
      <c r="G6191" s="4">
        <v>0.1</v>
      </c>
      <c r="H6191" s="4" t="s">
        <v>22</v>
      </c>
      <c r="I6191" s="6">
        <v>988.19900000000007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3">C6191+2</f>
        <v>40736</v>
      </c>
    </row>
    <row r="6192" spans="1:21" ht="12" customHeight="1">
      <c r="A6192" s="4">
        <v>6112</v>
      </c>
      <c r="B6192" s="4">
        <v>43298</v>
      </c>
      <c r="C6192" s="5">
        <f t="shared" si="2612"/>
        <v>40734</v>
      </c>
      <c r="D6192" s="4" t="s">
        <v>45</v>
      </c>
      <c r="E6192" s="4">
        <v>15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3"/>
        <v>40736</v>
      </c>
    </row>
    <row r="6193" spans="1:21" ht="12" customHeight="1">
      <c r="A6193" s="4">
        <v>6288</v>
      </c>
      <c r="B6193" s="4">
        <v>44516</v>
      </c>
      <c r="C6193" s="5">
        <f>DATE(2012,12,31)-551</f>
        <v>40723</v>
      </c>
      <c r="D6193" s="4" t="s">
        <v>78</v>
      </c>
      <c r="E6193" s="4">
        <v>17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0.56000000000000005</v>
      </c>
      <c r="U6193" s="5">
        <f>C6193+0</f>
        <v>40723</v>
      </c>
    </row>
    <row r="6194" spans="1:21" ht="12" customHeight="1">
      <c r="A6194" s="4">
        <v>6357</v>
      </c>
      <c r="B6194" s="4">
        <v>45088</v>
      </c>
      <c r="C6194" s="5">
        <f>DATE(2012,12,31)-770</f>
        <v>40504</v>
      </c>
      <c r="D6194" s="4" t="s">
        <v>21</v>
      </c>
      <c r="E6194" s="4">
        <v>9</v>
      </c>
      <c r="F6194" s="4">
        <v>1418.9559999999999</v>
      </c>
      <c r="G6194" s="4">
        <v>0.09</v>
      </c>
      <c r="H6194" s="4" t="s">
        <v>22</v>
      </c>
      <c r="I6194" s="6">
        <v>-447.41399999999999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spans="1:21" ht="12" customHeight="1">
      <c r="A6195" s="4">
        <v>6555</v>
      </c>
      <c r="B6195" s="4">
        <v>46599</v>
      </c>
      <c r="C6195" s="5">
        <f>DATE(2012,12,31)-840</f>
        <v>40434</v>
      </c>
      <c r="D6195" s="4" t="s">
        <v>45</v>
      </c>
      <c r="E6195" s="4">
        <v>4</v>
      </c>
      <c r="F6195" s="4">
        <v>284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spans="1:21" ht="12" customHeight="1">
      <c r="A6196" s="4">
        <v>6681</v>
      </c>
      <c r="B6196" s="4">
        <v>47524</v>
      </c>
      <c r="C6196" s="5">
        <f>DATE(2012,12,31)-991</f>
        <v>40283</v>
      </c>
      <c r="D6196" s="4" t="s">
        <v>63</v>
      </c>
      <c r="E6196" s="4">
        <v>8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35.770000000000003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spans="1:21" ht="12" customHeight="1">
      <c r="A6197" s="4">
        <v>6741</v>
      </c>
      <c r="B6197" s="4">
        <v>48000</v>
      </c>
      <c r="C6197" s="5">
        <f>DATE(2012,12,31)-140</f>
        <v>41134</v>
      </c>
      <c r="D6197" s="4" t="s">
        <v>30</v>
      </c>
      <c r="E6197" s="4">
        <v>12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4">C6197+1</f>
        <v>41135</v>
      </c>
    </row>
    <row r="6198" spans="1:21" ht="12" customHeight="1">
      <c r="A6198" s="4">
        <v>6945</v>
      </c>
      <c r="B6198" s="4">
        <v>49602</v>
      </c>
      <c r="C6198" s="5">
        <f>DATE(2012,12,31)-298</f>
        <v>40976</v>
      </c>
      <c r="D6198" s="4" t="s">
        <v>45</v>
      </c>
      <c r="E6198" s="4">
        <v>31</v>
      </c>
      <c r="F6198" s="4">
        <v>4878.6400000000003</v>
      </c>
      <c r="G6198" s="4">
        <v>0.03</v>
      </c>
      <c r="H6198" s="4" t="s">
        <v>31</v>
      </c>
      <c r="I6198" s="6">
        <v>-519.94000000000005</v>
      </c>
      <c r="J6198" s="4">
        <v>150.97999999999999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4"/>
        <v>40977</v>
      </c>
    </row>
    <row r="6199" spans="1:21" ht="12" customHeight="1">
      <c r="A6199" s="4">
        <v>7026</v>
      </c>
      <c r="B6199" s="4">
        <v>50146</v>
      </c>
      <c r="C6199" s="5">
        <f>DATE(2012,12,31)-875</f>
        <v>40399</v>
      </c>
      <c r="D6199" s="4" t="s">
        <v>45</v>
      </c>
      <c r="E6199" s="4">
        <v>32</v>
      </c>
      <c r="F6199" s="4">
        <v>2288.6419999999998</v>
      </c>
      <c r="G6199" s="4">
        <v>0.05</v>
      </c>
      <c r="H6199" s="4" t="s">
        <v>22</v>
      </c>
      <c r="I6199" s="6">
        <v>519.58800000000008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0.57999999999999996</v>
      </c>
      <c r="U6199" s="5">
        <f>C6199+0</f>
        <v>40399</v>
      </c>
    </row>
    <row r="6200" spans="1:21" ht="12" customHeight="1">
      <c r="A6200" s="4">
        <v>7029</v>
      </c>
      <c r="B6200" s="4">
        <v>50148</v>
      </c>
      <c r="C6200" s="5">
        <f>DATE(2012,12,31)-334</f>
        <v>40940</v>
      </c>
      <c r="D6200" s="4" t="s">
        <v>63</v>
      </c>
      <c r="E6200" s="4">
        <v>9</v>
      </c>
      <c r="F6200" s="4">
        <v>17965.45</v>
      </c>
      <c r="G6200" s="4">
        <v>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5">C6200+2</f>
        <v>40942</v>
      </c>
    </row>
    <row r="6201" spans="1:21" ht="12" customHeight="1">
      <c r="A6201" s="4">
        <v>7090</v>
      </c>
      <c r="B6201" s="4">
        <v>50594</v>
      </c>
      <c r="C6201" s="5">
        <f t="shared" ref="C6201:C6202" si="2616">DATE(2012,12,31)-959</f>
        <v>40315</v>
      </c>
      <c r="D6201" s="4" t="s">
        <v>21</v>
      </c>
      <c r="E6201" s="4">
        <v>39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5"/>
        <v>40317</v>
      </c>
    </row>
    <row r="6202" spans="1:21" ht="12" customHeight="1">
      <c r="A6202" s="4">
        <v>7091</v>
      </c>
      <c r="B6202" s="4">
        <v>50594</v>
      </c>
      <c r="C6202" s="5">
        <f t="shared" si="2616"/>
        <v>40315</v>
      </c>
      <c r="D6202" s="4" t="s">
        <v>21</v>
      </c>
      <c r="E6202" s="4">
        <v>48</v>
      </c>
      <c r="F6202" s="4">
        <v>2832.88</v>
      </c>
      <c r="G6202" s="4">
        <v>0.01</v>
      </c>
      <c r="H6202" s="4" t="s">
        <v>22</v>
      </c>
      <c r="I6202" s="6">
        <v>668.96100000000001</v>
      </c>
      <c r="J6202" s="4">
        <v>65.989999999999995</v>
      </c>
      <c r="K6202" s="4">
        <v>8.8000000000000007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0.57999999999999996</v>
      </c>
      <c r="U6202" s="5">
        <f>C6202+9</f>
        <v>40324</v>
      </c>
    </row>
    <row r="6203" spans="1:21" ht="12" customHeight="1">
      <c r="A6203" s="4">
        <v>7109</v>
      </c>
      <c r="B6203" s="4">
        <v>50726</v>
      </c>
      <c r="C6203" s="5">
        <f t="shared" ref="C6203:C6204" si="2617">DATE(2012,12,31)-427</f>
        <v>40847</v>
      </c>
      <c r="D6203" s="4" t="s">
        <v>21</v>
      </c>
      <c r="E6203" s="4">
        <v>45</v>
      </c>
      <c r="F6203" s="4">
        <v>9248.74</v>
      </c>
      <c r="G6203" s="4">
        <v>0</v>
      </c>
      <c r="H6203" s="4" t="s">
        <v>31</v>
      </c>
      <c r="I6203" s="6">
        <v>2532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0.57999999999999996</v>
      </c>
      <c r="U6203" s="5">
        <f>C6203+4</f>
        <v>40851</v>
      </c>
    </row>
    <row r="6204" spans="1:21" ht="12" customHeight="1">
      <c r="A6204" s="4">
        <v>7110</v>
      </c>
      <c r="B6204" s="4">
        <v>50726</v>
      </c>
      <c r="C6204" s="5">
        <f t="shared" si="2617"/>
        <v>40847</v>
      </c>
      <c r="D6204" s="4" t="s">
        <v>21</v>
      </c>
      <c r="E6204" s="4">
        <v>21</v>
      </c>
      <c r="F6204" s="4">
        <v>98.88</v>
      </c>
      <c r="G6204" s="4">
        <v>7.0000000000000007E-2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spans="1:21" ht="12" customHeight="1">
      <c r="A6205" s="4">
        <v>7119</v>
      </c>
      <c r="B6205" s="4">
        <v>50790</v>
      </c>
      <c r="C6205" s="5">
        <f>DATE(2012,12,31)-534</f>
        <v>40740</v>
      </c>
      <c r="D6205" s="4" t="s">
        <v>78</v>
      </c>
      <c r="E6205" s="4">
        <v>47</v>
      </c>
      <c r="F6205" s="4">
        <v>255.65</v>
      </c>
      <c r="G6205" s="4">
        <v>0</v>
      </c>
      <c r="H6205" s="4" t="s">
        <v>22</v>
      </c>
      <c r="I6205" s="6">
        <v>-148.80000000000001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spans="1:21" ht="12" customHeight="1">
      <c r="A6206" s="4">
        <v>7206</v>
      </c>
      <c r="B6206" s="4">
        <v>51424</v>
      </c>
      <c r="C6206" s="5">
        <f t="shared" ref="C6206:C6207" si="2618">DATE(2012,12,31)-357</f>
        <v>40917</v>
      </c>
      <c r="D6206" s="4" t="s">
        <v>45</v>
      </c>
      <c r="E6206" s="4">
        <v>48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spans="1:21" ht="12" customHeight="1">
      <c r="A6207" s="4">
        <v>7207</v>
      </c>
      <c r="B6207" s="4">
        <v>51424</v>
      </c>
      <c r="C6207" s="5">
        <f t="shared" si="2618"/>
        <v>40917</v>
      </c>
      <c r="D6207" s="4" t="s">
        <v>45</v>
      </c>
      <c r="E6207" s="4">
        <v>5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16.739999999999998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spans="1:21" ht="12" customHeight="1">
      <c r="A6208" s="4">
        <v>7268</v>
      </c>
      <c r="B6208" s="4">
        <v>51872</v>
      </c>
      <c r="C6208" s="5">
        <f t="shared" ref="C6208:C6210" si="2619">DATE(2012,12,31)-252</f>
        <v>41022</v>
      </c>
      <c r="D6208" s="4" t="s">
        <v>63</v>
      </c>
      <c r="E6208" s="4">
        <v>10</v>
      </c>
      <c r="F6208" s="4">
        <v>2193.9299999999998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spans="1:21" ht="12" customHeight="1">
      <c r="A6209" s="4">
        <v>7269</v>
      </c>
      <c r="B6209" s="4">
        <v>51872</v>
      </c>
      <c r="C6209" s="5">
        <f t="shared" si="2619"/>
        <v>41022</v>
      </c>
      <c r="D6209" s="4" t="s">
        <v>63</v>
      </c>
      <c r="E6209" s="4">
        <v>11</v>
      </c>
      <c r="F6209" s="4">
        <v>812.49799999999993</v>
      </c>
      <c r="G6209" s="4">
        <v>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spans="1:21" ht="12" customHeight="1">
      <c r="A6210" s="4">
        <v>7270</v>
      </c>
      <c r="B6210" s="4">
        <v>51872</v>
      </c>
      <c r="C6210" s="5">
        <f t="shared" si="2619"/>
        <v>41022</v>
      </c>
      <c r="D6210" s="4" t="s">
        <v>63</v>
      </c>
      <c r="E6210" s="4">
        <v>37</v>
      </c>
      <c r="F6210" s="4">
        <v>4657.6514999999999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0.55000000000000004</v>
      </c>
      <c r="U6210" s="5">
        <f>C6210+3</f>
        <v>41025</v>
      </c>
    </row>
    <row r="6211" spans="1:21" ht="12" customHeight="1">
      <c r="A6211" s="4">
        <v>7331</v>
      </c>
      <c r="B6211" s="4">
        <v>52230</v>
      </c>
      <c r="C6211" s="5">
        <f>DATE(2012,12,31)-123</f>
        <v>41151</v>
      </c>
      <c r="D6211" s="4" t="s">
        <v>78</v>
      </c>
      <c r="E6211" s="4">
        <v>29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0.57999999999999996</v>
      </c>
      <c r="U6211" s="5">
        <f>C6211+2</f>
        <v>41153</v>
      </c>
    </row>
    <row r="6212" spans="1:21" ht="12" customHeight="1">
      <c r="A6212" s="4">
        <v>7371</v>
      </c>
      <c r="B6212" s="4">
        <v>52518</v>
      </c>
      <c r="C6212" s="5">
        <f>DATE(2012,12,31)-272</f>
        <v>41002</v>
      </c>
      <c r="D6212" s="4" t="s">
        <v>78</v>
      </c>
      <c r="E6212" s="4">
        <v>8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0">C6212+1</f>
        <v>41003</v>
      </c>
    </row>
    <row r="6213" spans="1:21" ht="12" customHeight="1">
      <c r="A6213" s="4">
        <v>7390</v>
      </c>
      <c r="B6213" s="4">
        <v>52673</v>
      </c>
      <c r="C6213" s="5">
        <f t="shared" ref="C6213:C6214" si="2621">DATE(2012,12,31)-237</f>
        <v>41037</v>
      </c>
      <c r="D6213" s="4" t="s">
        <v>63</v>
      </c>
      <c r="E6213" s="4">
        <v>14</v>
      </c>
      <c r="F6213" s="4">
        <v>2045.066</v>
      </c>
      <c r="G6213" s="4">
        <v>7.0000000000000007E-2</v>
      </c>
      <c r="H6213" s="4" t="s">
        <v>22</v>
      </c>
      <c r="I6213" s="6">
        <v>-4.6749999999999998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0.56999999999999995</v>
      </c>
      <c r="U6213" s="5">
        <f t="shared" si="2620"/>
        <v>41038</v>
      </c>
    </row>
    <row r="6214" spans="1:21" ht="12" customHeight="1">
      <c r="A6214" s="4">
        <v>7391</v>
      </c>
      <c r="B6214" s="4">
        <v>52673</v>
      </c>
      <c r="C6214" s="5">
        <f t="shared" si="2621"/>
        <v>41037</v>
      </c>
      <c r="D6214" s="4" t="s">
        <v>63</v>
      </c>
      <c r="E6214" s="4">
        <v>4</v>
      </c>
      <c r="F6214" s="4">
        <v>26.41</v>
      </c>
      <c r="G6214" s="4">
        <v>0.05</v>
      </c>
      <c r="H6214" s="4" t="s">
        <v>22</v>
      </c>
      <c r="I6214" s="6">
        <v>-16.525500000000001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spans="1:21" ht="12" customHeight="1">
      <c r="A6215" s="4">
        <v>7438</v>
      </c>
      <c r="B6215" s="4">
        <v>53026</v>
      </c>
      <c r="C6215" s="5">
        <f>DATE(2012,12,31)-309</f>
        <v>40965</v>
      </c>
      <c r="D6215" s="4" t="s">
        <v>21</v>
      </c>
      <c r="E6215" s="4">
        <v>35</v>
      </c>
      <c r="F6215" s="4">
        <v>322.82</v>
      </c>
      <c r="G6215" s="4">
        <v>0.05</v>
      </c>
      <c r="H6215" s="4" t="s">
        <v>22</v>
      </c>
      <c r="I6215" s="6">
        <v>-17.579999999999998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0.56000000000000005</v>
      </c>
      <c r="U6215" s="5">
        <f>C6215+6</f>
        <v>40971</v>
      </c>
    </row>
    <row r="6216" spans="1:21" ht="12" customHeight="1">
      <c r="A6216" s="4">
        <v>7658</v>
      </c>
      <c r="B6216" s="4">
        <v>54913</v>
      </c>
      <c r="C6216" s="5">
        <f>DATE(2012,12,31)-912</f>
        <v>40362</v>
      </c>
      <c r="D6216" s="4" t="s">
        <v>30</v>
      </c>
      <c r="E6216" s="4">
        <v>11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2">C6216+2</f>
        <v>40364</v>
      </c>
    </row>
    <row r="6217" spans="1:21" ht="12" customHeight="1">
      <c r="A6217" s="4">
        <v>7738</v>
      </c>
      <c r="B6217" s="4">
        <v>55424</v>
      </c>
      <c r="C6217" s="5">
        <f>DATE(2012,12,31)-1035</f>
        <v>40239</v>
      </c>
      <c r="D6217" s="4" t="s">
        <v>63</v>
      </c>
      <c r="E6217" s="4">
        <v>6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4.8600000000000003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2"/>
        <v>40241</v>
      </c>
    </row>
    <row r="6218" spans="1:21" ht="12" customHeight="1">
      <c r="A6218" s="4">
        <v>7878</v>
      </c>
      <c r="B6218" s="4">
        <v>56327</v>
      </c>
      <c r="C6218" s="5">
        <f t="shared" ref="C6218:C6220" si="2623">DATE(2012,12,31)-1085</f>
        <v>40189</v>
      </c>
      <c r="D6218" s="4" t="s">
        <v>63</v>
      </c>
      <c r="E6218" s="4">
        <v>42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spans="1:21" ht="12" customHeight="1">
      <c r="A6219" s="4">
        <v>7879</v>
      </c>
      <c r="B6219" s="4">
        <v>56327</v>
      </c>
      <c r="C6219" s="5">
        <f t="shared" si="2623"/>
        <v>40189</v>
      </c>
      <c r="D6219" s="4" t="s">
        <v>63</v>
      </c>
      <c r="E6219" s="4">
        <v>11</v>
      </c>
      <c r="F6219" s="4">
        <v>2164.0700000000002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0.56999999999999995</v>
      </c>
      <c r="U6219" s="5">
        <f>C6219+2</f>
        <v>40191</v>
      </c>
    </row>
    <row r="6220" spans="1:21" ht="12" customHeight="1">
      <c r="A6220" s="4">
        <v>7880</v>
      </c>
      <c r="B6220" s="4">
        <v>56327</v>
      </c>
      <c r="C6220" s="5">
        <f t="shared" si="2623"/>
        <v>40189</v>
      </c>
      <c r="D6220" s="4" t="s">
        <v>63</v>
      </c>
      <c r="E6220" s="4">
        <v>47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8.5500000000000007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spans="1:21" ht="12" customHeight="1">
      <c r="A6221" s="4">
        <v>7991</v>
      </c>
      <c r="B6221" s="4">
        <v>57125</v>
      </c>
      <c r="C6221" s="5">
        <f t="shared" ref="C6221:C6222" si="2624">DATE(2012,12,31)-942</f>
        <v>40332</v>
      </c>
      <c r="D6221" s="4" t="s">
        <v>63</v>
      </c>
      <c r="E6221" s="4">
        <v>19</v>
      </c>
      <c r="F6221" s="4">
        <v>61.02</v>
      </c>
      <c r="G6221" s="4">
        <v>0</v>
      </c>
      <c r="H6221" s="4" t="s">
        <v>22</v>
      </c>
      <c r="I6221" s="6">
        <v>-71.035499999999999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5">C6221+2</f>
        <v>40334</v>
      </c>
    </row>
    <row r="6222" spans="1:21" ht="12" customHeight="1">
      <c r="A6222" s="4">
        <v>7992</v>
      </c>
      <c r="B6222" s="4">
        <v>57125</v>
      </c>
      <c r="C6222" s="5">
        <f t="shared" si="2624"/>
        <v>40332</v>
      </c>
      <c r="D6222" s="4" t="s">
        <v>63</v>
      </c>
      <c r="E6222" s="4">
        <v>31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5"/>
        <v>40334</v>
      </c>
    </row>
    <row r="6223" spans="1:21" ht="12" customHeight="1">
      <c r="A6223" s="4">
        <v>7994</v>
      </c>
      <c r="B6223" s="4">
        <v>57152</v>
      </c>
      <c r="C6223" s="5">
        <f t="shared" ref="C6223:C6224" si="2626">DATE(2012,12,31)-119</f>
        <v>41155</v>
      </c>
      <c r="D6223" s="4" t="s">
        <v>21</v>
      </c>
      <c r="E6223" s="4">
        <v>6</v>
      </c>
      <c r="F6223" s="4">
        <v>22.89</v>
      </c>
      <c r="G6223" s="4">
        <v>0.08</v>
      </c>
      <c r="H6223" s="4" t="s">
        <v>22</v>
      </c>
      <c r="I6223" s="6">
        <v>-2.6564999999999999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spans="1:21" ht="12" customHeight="1">
      <c r="A6224" s="4">
        <v>7995</v>
      </c>
      <c r="B6224" s="4">
        <v>57152</v>
      </c>
      <c r="C6224" s="5">
        <f t="shared" si="2626"/>
        <v>41155</v>
      </c>
      <c r="D6224" s="4" t="s">
        <v>21</v>
      </c>
      <c r="E6224" s="4">
        <v>18</v>
      </c>
      <c r="F6224" s="4">
        <v>271.85000000000002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spans="1:21" ht="12" customHeight="1">
      <c r="A6225" s="4">
        <v>8006</v>
      </c>
      <c r="B6225" s="4">
        <v>57216</v>
      </c>
      <c r="C6225" s="5">
        <f t="shared" ref="C6225:C6226" si="2627">DATE(2012,12,31)-886</f>
        <v>40388</v>
      </c>
      <c r="D6225" s="4" t="s">
        <v>30</v>
      </c>
      <c r="E6225" s="4">
        <v>46</v>
      </c>
      <c r="F6225" s="4">
        <v>12719.7</v>
      </c>
      <c r="G6225" s="4">
        <v>0.03</v>
      </c>
      <c r="H6225" s="4" t="s">
        <v>31</v>
      </c>
      <c r="I6225" s="6">
        <v>-545.82000000000005</v>
      </c>
      <c r="J6225" s="4">
        <v>280.98</v>
      </c>
      <c r="K6225" s="4">
        <v>57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spans="1:21" ht="12" customHeight="1">
      <c r="A6226" s="4">
        <v>8007</v>
      </c>
      <c r="B6226" s="4">
        <v>57216</v>
      </c>
      <c r="C6226" s="5">
        <f t="shared" si="2627"/>
        <v>40388</v>
      </c>
      <c r="D6226" s="4" t="s">
        <v>30</v>
      </c>
      <c r="E6226" s="4">
        <v>48</v>
      </c>
      <c r="F6226" s="4">
        <v>109.78</v>
      </c>
      <c r="G6226" s="4">
        <v>0.03</v>
      </c>
      <c r="H6226" s="4" t="s">
        <v>22</v>
      </c>
      <c r="I6226" s="6">
        <v>4.4800000000000004</v>
      </c>
      <c r="J6226" s="4">
        <v>2.2000000000000002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spans="1:21" ht="12" customHeight="1">
      <c r="A6227" s="4">
        <v>8017</v>
      </c>
      <c r="B6227" s="4">
        <v>57281</v>
      </c>
      <c r="C6227" s="5">
        <f t="shared" ref="C6227:C6228" si="2628">DATE(2012,12,31)-986</f>
        <v>40288</v>
      </c>
      <c r="D6227" s="4" t="s">
        <v>30</v>
      </c>
      <c r="E6227" s="4">
        <v>26</v>
      </c>
      <c r="F6227" s="4">
        <v>561.66</v>
      </c>
      <c r="G6227" s="4">
        <v>7.0000000000000007E-2</v>
      </c>
      <c r="H6227" s="4" t="s">
        <v>22</v>
      </c>
      <c r="I6227" s="6">
        <v>-111.33150000000001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spans="1:21" ht="12" customHeight="1">
      <c r="A6228" s="4">
        <v>8018</v>
      </c>
      <c r="B6228" s="4">
        <v>57281</v>
      </c>
      <c r="C6228" s="5">
        <f t="shared" si="2628"/>
        <v>40288</v>
      </c>
      <c r="D6228" s="4" t="s">
        <v>30</v>
      </c>
      <c r="E6228" s="4">
        <v>19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35.840000000000003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spans="1:21" ht="12" customHeight="1">
      <c r="A6229" s="4">
        <v>8247</v>
      </c>
      <c r="B6229" s="4">
        <v>58949</v>
      </c>
      <c r="C6229" s="5">
        <f>DATE(2012,12,31)-15</f>
        <v>41259</v>
      </c>
      <c r="D6229" s="4" t="s">
        <v>78</v>
      </c>
      <c r="E6229" s="4">
        <v>50</v>
      </c>
      <c r="F6229" s="4">
        <v>1558.9424999999999</v>
      </c>
      <c r="G6229" s="4">
        <v>0.02</v>
      </c>
      <c r="H6229" s="4" t="s">
        <v>22</v>
      </c>
      <c r="I6229" s="6">
        <v>548.44200000000001</v>
      </c>
      <c r="J6229" s="4">
        <v>35.99</v>
      </c>
      <c r="K6229" s="4">
        <v>1.1000000000000001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0.55000000000000004</v>
      </c>
      <c r="U6229" s="5">
        <f>C6229+1</f>
        <v>41260</v>
      </c>
    </row>
    <row r="6230" spans="1:21" ht="12" customHeight="1">
      <c r="A6230" s="4">
        <v>188</v>
      </c>
      <c r="B6230" s="4">
        <v>1222</v>
      </c>
      <c r="C6230" s="5">
        <f>DATE(2012,12,31)-1061</f>
        <v>40213</v>
      </c>
      <c r="D6230" s="4" t="s">
        <v>63</v>
      </c>
      <c r="E6230" s="4">
        <v>48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spans="1:21" ht="12" customHeight="1">
      <c r="A6231" s="4">
        <v>805</v>
      </c>
      <c r="B6231" s="4">
        <v>5767</v>
      </c>
      <c r="C6231" s="5">
        <f t="shared" ref="C6231:C6232" si="2629">DATE(2012,12,31)-247</f>
        <v>41027</v>
      </c>
      <c r="D6231" s="4" t="s">
        <v>30</v>
      </c>
      <c r="E6231" s="4">
        <v>36</v>
      </c>
      <c r="F6231" s="4">
        <v>163.54</v>
      </c>
      <c r="G6231" s="4">
        <v>0.03</v>
      </c>
      <c r="H6231" s="4" t="s">
        <v>56</v>
      </c>
      <c r="I6231" s="6">
        <v>-95.058999999999997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spans="1:21" ht="12" customHeight="1">
      <c r="A6232" s="4">
        <v>806</v>
      </c>
      <c r="B6232" s="4">
        <v>5767</v>
      </c>
      <c r="C6232" s="5">
        <f t="shared" si="2629"/>
        <v>41027</v>
      </c>
      <c r="D6232" s="4" t="s">
        <v>30</v>
      </c>
      <c r="E6232" s="4">
        <v>31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spans="1:21" ht="12" customHeight="1">
      <c r="A6233" s="4">
        <v>1219</v>
      </c>
      <c r="B6233" s="4">
        <v>8961</v>
      </c>
      <c r="C6233" s="5">
        <f>DATE(2012,12,31)-552</f>
        <v>40722</v>
      </c>
      <c r="D6233" s="4" t="s">
        <v>21</v>
      </c>
      <c r="E6233" s="4">
        <v>48</v>
      </c>
      <c r="F6233" s="4">
        <v>4644.87</v>
      </c>
      <c r="G6233" s="4">
        <v>0.08</v>
      </c>
      <c r="H6233" s="4" t="s">
        <v>31</v>
      </c>
      <c r="I6233" s="6">
        <v>-1291.3900000000001</v>
      </c>
      <c r="J6233" s="4">
        <v>100.8</v>
      </c>
      <c r="K6233" s="4">
        <v>60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0">C6233+5</f>
        <v>40727</v>
      </c>
    </row>
    <row r="6234" spans="1:21" ht="12" customHeight="1">
      <c r="A6234" s="4">
        <v>2082</v>
      </c>
      <c r="B6234" s="4">
        <v>14883</v>
      </c>
      <c r="C6234" s="5">
        <f t="shared" ref="C6234:C6235" si="2631">DATE(2012,12,31)-605</f>
        <v>40669</v>
      </c>
      <c r="D6234" s="4" t="s">
        <v>21</v>
      </c>
      <c r="E6234" s="4">
        <v>38</v>
      </c>
      <c r="F6234" s="4">
        <v>978.4</v>
      </c>
      <c r="G6234" s="4">
        <v>7.0000000000000007E-2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0"/>
        <v>40674</v>
      </c>
    </row>
    <row r="6235" spans="1:21" ht="12" customHeight="1">
      <c r="A6235" s="4">
        <v>2083</v>
      </c>
      <c r="B6235" s="4">
        <v>14883</v>
      </c>
      <c r="C6235" s="5">
        <f t="shared" si="2631"/>
        <v>40669</v>
      </c>
      <c r="D6235" s="4" t="s">
        <v>21</v>
      </c>
      <c r="E6235" s="4">
        <v>47</v>
      </c>
      <c r="F6235" s="4">
        <v>5126.4179999999997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spans="1:21" ht="12" customHeight="1">
      <c r="A6236" s="4">
        <v>2800</v>
      </c>
      <c r="B6236" s="4">
        <v>20193</v>
      </c>
      <c r="C6236" s="5">
        <f>DATE(2012,12,31)-785</f>
        <v>40489</v>
      </c>
      <c r="D6236" s="4" t="s">
        <v>63</v>
      </c>
      <c r="E6236" s="4">
        <v>23</v>
      </c>
      <c r="F6236" s="4">
        <v>82.12</v>
      </c>
      <c r="G6236" s="4">
        <v>7.0000000000000007E-2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spans="1:21" ht="12" customHeight="1">
      <c r="A6237" s="4">
        <v>5166</v>
      </c>
      <c r="B6237" s="4">
        <v>36772</v>
      </c>
      <c r="C6237" s="5">
        <f t="shared" ref="C6237:C6238" si="2632">DATE(2012,12,31)-961</f>
        <v>40313</v>
      </c>
      <c r="D6237" s="4" t="s">
        <v>63</v>
      </c>
      <c r="E6237" s="4">
        <v>8</v>
      </c>
      <c r="F6237" s="4">
        <v>22.85</v>
      </c>
      <c r="G6237" s="4">
        <v>7.0000000000000007E-2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spans="1:21" ht="12" customHeight="1">
      <c r="A6238" s="4">
        <v>5167</v>
      </c>
      <c r="B6238" s="4">
        <v>36772</v>
      </c>
      <c r="C6238" s="5">
        <f t="shared" si="2632"/>
        <v>40313</v>
      </c>
      <c r="D6238" s="4" t="s">
        <v>63</v>
      </c>
      <c r="E6238" s="4">
        <v>16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spans="1:21" ht="12" customHeight="1">
      <c r="A6239" s="4">
        <v>5577</v>
      </c>
      <c r="B6239" s="4">
        <v>39492</v>
      </c>
      <c r="C6239" s="5">
        <f>DATE(2012,12,31)-624</f>
        <v>40650</v>
      </c>
      <c r="D6239" s="4" t="s">
        <v>45</v>
      </c>
      <c r="E6239" s="4">
        <v>31</v>
      </c>
      <c r="F6239" s="4">
        <v>5347.9875000000002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spans="1:21" ht="12" customHeight="1">
      <c r="A6240" s="4">
        <v>6492</v>
      </c>
      <c r="B6240" s="4">
        <v>46212</v>
      </c>
      <c r="C6240" s="5">
        <f>DATE(2012,12,31)-110</f>
        <v>41164</v>
      </c>
      <c r="D6240" s="4" t="s">
        <v>45</v>
      </c>
      <c r="E6240" s="4">
        <v>43</v>
      </c>
      <c r="F6240" s="4">
        <v>322.47000000000003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3">C6240+2</f>
        <v>41166</v>
      </c>
    </row>
    <row r="6241" spans="1:21" ht="12" customHeight="1">
      <c r="A6241" s="4">
        <v>6657</v>
      </c>
      <c r="B6241" s="4">
        <v>47360</v>
      </c>
      <c r="C6241" s="5">
        <f>DATE(2012,12,31)-815</f>
        <v>40459</v>
      </c>
      <c r="D6241" s="4" t="s">
        <v>45</v>
      </c>
      <c r="E6241" s="4">
        <v>25</v>
      </c>
      <c r="F6241" s="4">
        <v>2200.64</v>
      </c>
      <c r="G6241" s="4">
        <v>0.05</v>
      </c>
      <c r="H6241" s="4" t="s">
        <v>31</v>
      </c>
      <c r="I6241" s="6">
        <v>-514.17999999999995</v>
      </c>
      <c r="J6241" s="4">
        <v>89.99</v>
      </c>
      <c r="K6241" s="4">
        <v>42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3"/>
        <v>40461</v>
      </c>
    </row>
    <row r="6242" spans="1:21" ht="12" customHeight="1">
      <c r="A6242" s="4">
        <v>7396</v>
      </c>
      <c r="B6242" s="4">
        <v>52706</v>
      </c>
      <c r="C6242" s="5">
        <f>DATE(2012,12,31)-175</f>
        <v>41099</v>
      </c>
      <c r="D6242" s="4" t="s">
        <v>21</v>
      </c>
      <c r="E6242" s="4">
        <v>34</v>
      </c>
      <c r="F6242" s="4">
        <v>1041.6600000000001</v>
      </c>
      <c r="G6242" s="4">
        <v>0.02</v>
      </c>
      <c r="H6242" s="4" t="s">
        <v>56</v>
      </c>
      <c r="I6242" s="6">
        <v>480.53050000000002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spans="1:21" ht="12" customHeight="1">
      <c r="A6243" s="4">
        <v>7586</v>
      </c>
      <c r="B6243" s="4">
        <v>54279</v>
      </c>
      <c r="C6243" s="5">
        <f>DATE(2012,12,31)-520</f>
        <v>40754</v>
      </c>
      <c r="D6243" s="4" t="s">
        <v>30</v>
      </c>
      <c r="E6243" s="4">
        <v>41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0.57999999999999996</v>
      </c>
      <c r="U6243" s="5">
        <f>C6243+1</f>
        <v>40755</v>
      </c>
    </row>
    <row r="6244" spans="1:21" ht="12" customHeight="1">
      <c r="A6244" s="4">
        <v>7765</v>
      </c>
      <c r="B6244" s="4">
        <v>55558</v>
      </c>
      <c r="C6244" s="5">
        <f t="shared" ref="C6244:C6245" si="2634">DATE(2012,12,31)-875</f>
        <v>40399</v>
      </c>
      <c r="D6244" s="4" t="s">
        <v>63</v>
      </c>
      <c r="E6244" s="4">
        <v>8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150.97999999999999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spans="1:21" ht="12" customHeight="1">
      <c r="A6245" s="4">
        <v>7766</v>
      </c>
      <c r="B6245" s="4">
        <v>55558</v>
      </c>
      <c r="C6245" s="5">
        <f t="shared" si="2634"/>
        <v>40399</v>
      </c>
      <c r="D6245" s="4" t="s">
        <v>63</v>
      </c>
      <c r="E6245" s="4">
        <v>23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8.1300000000000008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5">C6245+2</f>
        <v>40401</v>
      </c>
    </row>
    <row r="6246" spans="1:21" ht="12" customHeight="1">
      <c r="A6246" s="4">
        <v>7906</v>
      </c>
      <c r="B6246" s="4">
        <v>56550</v>
      </c>
      <c r="C6246" s="5">
        <f t="shared" ref="C6246:C6247" si="2636">DATE(2012,12,31)-633</f>
        <v>40641</v>
      </c>
      <c r="D6246" s="4" t="s">
        <v>45</v>
      </c>
      <c r="E6246" s="4">
        <v>37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5"/>
        <v>40643</v>
      </c>
    </row>
    <row r="6247" spans="1:21" ht="12" customHeight="1">
      <c r="A6247" s="4">
        <v>7907</v>
      </c>
      <c r="B6247" s="4">
        <v>56550</v>
      </c>
      <c r="C6247" s="5">
        <f t="shared" si="2636"/>
        <v>40641</v>
      </c>
      <c r="D6247" s="4" t="s">
        <v>45</v>
      </c>
      <c r="E6247" s="4">
        <v>8</v>
      </c>
      <c r="F6247" s="4">
        <v>469.83749999999998</v>
      </c>
      <c r="G6247" s="4">
        <v>0</v>
      </c>
      <c r="H6247" s="4" t="s">
        <v>22</v>
      </c>
      <c r="I6247" s="6">
        <v>-159.23599999999999</v>
      </c>
      <c r="J6247" s="4">
        <v>65.989999999999995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0.56000000000000005</v>
      </c>
      <c r="U6247" s="5">
        <f>C6247+1</f>
        <v>40642</v>
      </c>
    </row>
  </sheetData>
  <autoFilter ref="A1:U6247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5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9.140625" customWidth="1"/>
    <col min="2" max="2" width="11" customWidth="1"/>
    <col min="3" max="3" width="18.140625" customWidth="1"/>
    <col min="4" max="4" width="15.85546875" customWidth="1"/>
    <col min="5" max="6" width="16.85546875" customWidth="1"/>
    <col min="7" max="7" width="11.28515625" customWidth="1"/>
    <col min="8" max="9" width="13.5703125" customWidth="1"/>
    <col min="10" max="10" width="12.28515625" customWidth="1"/>
    <col min="11" max="11" width="16.42578125" customWidth="1"/>
    <col min="12" max="12" width="18.42578125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62.85546875" customWidth="1"/>
    <col min="19" max="19" width="20.28515625" customWidth="1"/>
    <col min="20" max="20" width="23.28515625" customWidth="1"/>
    <col min="21" max="21" width="18.42578125" customWidth="1"/>
  </cols>
  <sheetData>
    <row r="1" spans="1:2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4">
        <v>161</v>
      </c>
      <c r="B2" s="4">
        <v>998</v>
      </c>
      <c r="C2" s="5">
        <f>DATE(2012,12,31)-1132</f>
        <v>40142</v>
      </c>
      <c r="D2" s="4" t="s">
        <v>45</v>
      </c>
      <c r="E2" s="4">
        <v>16</v>
      </c>
      <c r="F2" s="4">
        <v>248.26</v>
      </c>
      <c r="G2" s="4">
        <v>7.0000000000000007E-2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spans="1:21" ht="12" customHeight="1">
      <c r="A3" s="4">
        <v>413</v>
      </c>
      <c r="B3" s="4">
        <v>2791</v>
      </c>
      <c r="C3" s="5">
        <f t="shared" ref="C3:C5" si="0">DATE(2012,12,31)-1179</f>
        <v>40095</v>
      </c>
      <c r="D3" s="4" t="s">
        <v>30</v>
      </c>
      <c r="E3" s="4">
        <v>47</v>
      </c>
      <c r="F3" s="4">
        <v>191.67</v>
      </c>
      <c r="G3" s="4">
        <v>0</v>
      </c>
      <c r="H3" s="4" t="s">
        <v>22</v>
      </c>
      <c r="I3" s="6">
        <v>-236.26750000000001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spans="1:21" ht="12" customHeight="1">
      <c r="A4" s="4">
        <v>414</v>
      </c>
      <c r="B4" s="4">
        <v>2791</v>
      </c>
      <c r="C4" s="5">
        <f t="shared" si="0"/>
        <v>40095</v>
      </c>
      <c r="D4" s="4" t="s">
        <v>30</v>
      </c>
      <c r="E4" s="4">
        <v>49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spans="1:21" ht="12" customHeight="1">
      <c r="A5" s="4">
        <v>415</v>
      </c>
      <c r="B5" s="4">
        <v>2791</v>
      </c>
      <c r="C5" s="5">
        <f t="shared" si="0"/>
        <v>40095</v>
      </c>
      <c r="D5" s="4" t="s">
        <v>30</v>
      </c>
      <c r="E5" s="4">
        <v>18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spans="1:21" ht="12" customHeight="1">
      <c r="A6" s="4">
        <v>735</v>
      </c>
      <c r="B6" s="4">
        <v>5316</v>
      </c>
      <c r="C6" s="5">
        <f>DATE(2012,12,31)-1431</f>
        <v>39843</v>
      </c>
      <c r="D6" s="4" t="s">
        <v>78</v>
      </c>
      <c r="E6" s="4">
        <v>42</v>
      </c>
      <c r="F6" s="4">
        <v>1285.3699999999999</v>
      </c>
      <c r="G6" s="4">
        <v>0.1</v>
      </c>
      <c r="H6" s="4" t="s">
        <v>22</v>
      </c>
      <c r="I6" s="6">
        <v>514.07000000000005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spans="1:21" ht="12" customHeight="1">
      <c r="A7" s="4">
        <v>817</v>
      </c>
      <c r="B7" s="4">
        <v>5894</v>
      </c>
      <c r="C7" s="5">
        <f t="shared" ref="C7:C8" si="1">DATE(2012,12,31)-1237</f>
        <v>40037</v>
      </c>
      <c r="D7" s="4" t="s">
        <v>30</v>
      </c>
      <c r="E7" s="4">
        <v>7</v>
      </c>
      <c r="F7" s="4">
        <v>384.33</v>
      </c>
      <c r="G7" s="4">
        <v>0.1</v>
      </c>
      <c r="H7" s="4" t="s">
        <v>22</v>
      </c>
      <c r="I7" s="6">
        <v>87.677499999999995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spans="1:21" ht="12" customHeight="1">
      <c r="A8" s="4">
        <v>818</v>
      </c>
      <c r="B8" s="4">
        <v>5894</v>
      </c>
      <c r="C8" s="5">
        <f t="shared" si="1"/>
        <v>40037</v>
      </c>
      <c r="D8" s="4" t="s">
        <v>30</v>
      </c>
      <c r="E8" s="4">
        <v>3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0.55000000000000004</v>
      </c>
      <c r="U8" s="5">
        <f>C8+3</f>
        <v>40040</v>
      </c>
    </row>
    <row r="9" spans="1:21" ht="12" customHeight="1">
      <c r="A9" s="4">
        <v>853</v>
      </c>
      <c r="B9" s="4">
        <v>6116</v>
      </c>
      <c r="C9" s="5">
        <f>DATE(2012,12,31)-1382</f>
        <v>39892</v>
      </c>
      <c r="D9" s="4" t="s">
        <v>63</v>
      </c>
      <c r="E9" s="4">
        <v>6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spans="1:21" ht="12" customHeight="1">
      <c r="A10" s="4">
        <v>950</v>
      </c>
      <c r="B10" s="4">
        <v>6884</v>
      </c>
      <c r="C10" s="5">
        <f t="shared" ref="C10:C11" si="2">DATE(2012,12,31)-1446</f>
        <v>39828</v>
      </c>
      <c r="D10" s="4" t="s">
        <v>21</v>
      </c>
      <c r="E10" s="4">
        <v>41</v>
      </c>
      <c r="F10" s="4">
        <v>217</v>
      </c>
      <c r="G10" s="4">
        <v>0.01</v>
      </c>
      <c r="H10" s="4" t="s">
        <v>22</v>
      </c>
      <c r="I10" s="6">
        <v>-61.21</v>
      </c>
      <c r="J10" s="4">
        <v>4.9800000000000004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3">C10+5</f>
        <v>39833</v>
      </c>
    </row>
    <row r="11" spans="1:21" ht="12" customHeight="1">
      <c r="A11" s="4">
        <v>951</v>
      </c>
      <c r="B11" s="4">
        <v>6884</v>
      </c>
      <c r="C11" s="5">
        <f t="shared" si="2"/>
        <v>39828</v>
      </c>
      <c r="D11" s="4" t="s">
        <v>21</v>
      </c>
      <c r="E11" s="4">
        <v>47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3"/>
        <v>39833</v>
      </c>
    </row>
    <row r="12" spans="1:21" ht="12" customHeight="1">
      <c r="A12" s="4">
        <v>1073</v>
      </c>
      <c r="B12" s="4">
        <v>7906</v>
      </c>
      <c r="C12" s="5">
        <f>DATE(2012,12,31)-1171</f>
        <v>40103</v>
      </c>
      <c r="D12" s="4" t="s">
        <v>63</v>
      </c>
      <c r="E12" s="4">
        <v>37</v>
      </c>
      <c r="F12" s="4">
        <v>1003.06</v>
      </c>
      <c r="G12" s="4">
        <v>0.03</v>
      </c>
      <c r="H12" s="4" t="s">
        <v>22</v>
      </c>
      <c r="I12" s="6">
        <v>271.77999999999997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spans="1:21" ht="12" customHeight="1">
      <c r="A13" s="4">
        <v>1258</v>
      </c>
      <c r="B13" s="4">
        <v>9126</v>
      </c>
      <c r="C13" s="5">
        <f>DATE(2012,12,31)-1140</f>
        <v>40134</v>
      </c>
      <c r="D13" s="4" t="s">
        <v>63</v>
      </c>
      <c r="E13" s="4">
        <v>47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0.55000000000000004</v>
      </c>
      <c r="U13" s="5">
        <f>C13+1</f>
        <v>40135</v>
      </c>
    </row>
    <row r="14" spans="1:21" ht="12" customHeight="1">
      <c r="A14" s="4">
        <v>1380</v>
      </c>
      <c r="B14" s="4">
        <v>10022</v>
      </c>
      <c r="C14" s="5">
        <f>DATE(2012,12,31)-1398</f>
        <v>39876</v>
      </c>
      <c r="D14" s="4" t="s">
        <v>21</v>
      </c>
      <c r="E14" s="4">
        <v>1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spans="1:21" ht="12" customHeight="1">
      <c r="A15" s="4">
        <v>1445</v>
      </c>
      <c r="B15" s="4">
        <v>10437</v>
      </c>
      <c r="C15" s="5">
        <f>DATE(2012,12,31)-1231</f>
        <v>40043</v>
      </c>
      <c r="D15" s="4" t="s">
        <v>78</v>
      </c>
      <c r="E15" s="4">
        <v>50</v>
      </c>
      <c r="F15" s="4">
        <v>820.52</v>
      </c>
      <c r="G15" s="4">
        <v>0.01</v>
      </c>
      <c r="H15" s="4" t="s">
        <v>22</v>
      </c>
      <c r="I15" s="6">
        <v>-191.22200000000001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spans="1:21" ht="12" customHeight="1">
      <c r="A16" s="4">
        <v>1751</v>
      </c>
      <c r="B16" s="4">
        <v>12544</v>
      </c>
      <c r="C16" s="5">
        <f>DATE(2012,12,31)-1399</f>
        <v>39875</v>
      </c>
      <c r="D16" s="4" t="s">
        <v>21</v>
      </c>
      <c r="E16" s="4">
        <v>34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spans="1:21" ht="12" customHeight="1">
      <c r="A17" s="4">
        <v>1781</v>
      </c>
      <c r="B17" s="4">
        <v>12771</v>
      </c>
      <c r="C17" s="5">
        <f t="shared" ref="C17:C18" si="4">DATE(2012,12,31)-1444</f>
        <v>39830</v>
      </c>
      <c r="D17" s="4" t="s">
        <v>78</v>
      </c>
      <c r="E17" s="4">
        <v>40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19.989999999999998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spans="1:21" ht="12" customHeight="1">
      <c r="A18" s="4">
        <v>1782</v>
      </c>
      <c r="B18" s="4">
        <v>12771</v>
      </c>
      <c r="C18" s="5">
        <f t="shared" si="4"/>
        <v>39830</v>
      </c>
      <c r="D18" s="4" t="s">
        <v>78</v>
      </c>
      <c r="E18" s="4">
        <v>46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spans="1:21" ht="12" customHeight="1">
      <c r="A19" s="4">
        <v>1842</v>
      </c>
      <c r="B19" s="4">
        <v>13280</v>
      </c>
      <c r="C19" s="5">
        <f t="shared" ref="C19:C20" si="5">DATE(2012,12,31)-1207</f>
        <v>40067</v>
      </c>
      <c r="D19" s="4" t="s">
        <v>30</v>
      </c>
      <c r="E19" s="4">
        <v>40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6">C19+1</f>
        <v>40068</v>
      </c>
    </row>
    <row r="20" spans="1:21" ht="12" customHeight="1">
      <c r="A20" s="4">
        <v>1843</v>
      </c>
      <c r="B20" s="4">
        <v>13280</v>
      </c>
      <c r="C20" s="5">
        <f t="shared" si="5"/>
        <v>40067</v>
      </c>
      <c r="D20" s="4" t="s">
        <v>30</v>
      </c>
      <c r="E20" s="4">
        <v>49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6"/>
        <v>40068</v>
      </c>
    </row>
    <row r="21" spans="1:21" ht="12" customHeight="1">
      <c r="A21" s="4">
        <v>1848</v>
      </c>
      <c r="B21" s="4">
        <v>13313</v>
      </c>
      <c r="C21" s="5">
        <f>DATE(2012,12,31)-1264</f>
        <v>40010</v>
      </c>
      <c r="D21" s="4" t="s">
        <v>45</v>
      </c>
      <c r="E21" s="4">
        <v>47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6"/>
        <v>40011</v>
      </c>
    </row>
    <row r="22" spans="1:21" ht="12" customHeight="1">
      <c r="A22" s="4">
        <v>2117</v>
      </c>
      <c r="B22" s="4">
        <v>15108</v>
      </c>
      <c r="C22" s="5">
        <f>DATE(2012,12,31)-1222</f>
        <v>40052</v>
      </c>
      <c r="D22" s="4" t="s">
        <v>30</v>
      </c>
      <c r="E22" s="4">
        <v>50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spans="1:21" ht="12" customHeight="1">
      <c r="A23" s="4">
        <v>2283</v>
      </c>
      <c r="B23" s="4">
        <v>16451</v>
      </c>
      <c r="C23" s="5">
        <f>DATE(2012,12,31)-1258</f>
        <v>40016</v>
      </c>
      <c r="D23" s="4" t="s">
        <v>45</v>
      </c>
      <c r="E23" s="4">
        <v>9</v>
      </c>
      <c r="F23" s="4">
        <v>252.79</v>
      </c>
      <c r="G23" s="4">
        <v>0.09</v>
      </c>
      <c r="H23" s="4" t="s">
        <v>22</v>
      </c>
      <c r="I23" s="6">
        <v>58.225000000000001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spans="1:21" ht="12" customHeight="1">
      <c r="A24" s="4">
        <v>2296</v>
      </c>
      <c r="B24" s="4">
        <v>16547</v>
      </c>
      <c r="C24" s="5">
        <f t="shared" ref="C24:C25" si="7">DATE(2012,12,31)-1412</f>
        <v>39862</v>
      </c>
      <c r="D24" s="4" t="s">
        <v>45</v>
      </c>
      <c r="E24" s="4">
        <v>30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spans="1:21" ht="12" customHeight="1">
      <c r="A25" s="4">
        <v>2297</v>
      </c>
      <c r="B25" s="4">
        <v>16547</v>
      </c>
      <c r="C25" s="5">
        <f t="shared" si="7"/>
        <v>39862</v>
      </c>
      <c r="D25" s="4" t="s">
        <v>45</v>
      </c>
      <c r="E25" s="4">
        <v>8</v>
      </c>
      <c r="F25" s="4">
        <v>1749.64</v>
      </c>
      <c r="G25" s="4">
        <v>0.04</v>
      </c>
      <c r="H25" s="4" t="s">
        <v>31</v>
      </c>
      <c r="I25" s="6">
        <v>-533.23200000000008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8">C25+0</f>
        <v>39862</v>
      </c>
    </row>
    <row r="26" spans="1:21" ht="12" customHeight="1">
      <c r="A26" s="4">
        <v>2445</v>
      </c>
      <c r="B26" s="4">
        <v>17764</v>
      </c>
      <c r="C26" s="5">
        <f>DATE(2012,12,31)-1202</f>
        <v>40072</v>
      </c>
      <c r="D26" s="4" t="s">
        <v>21</v>
      </c>
      <c r="E26" s="4">
        <v>27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8"/>
        <v>40072</v>
      </c>
    </row>
    <row r="27" spans="1:21" ht="12" customHeight="1">
      <c r="A27" s="4">
        <v>2483</v>
      </c>
      <c r="B27" s="4">
        <v>18080</v>
      </c>
      <c r="C27" s="5">
        <f>DATE(2012,12,31)-1288</f>
        <v>39986</v>
      </c>
      <c r="D27" s="4" t="s">
        <v>30</v>
      </c>
      <c r="E27" s="4">
        <v>7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spans="1:21" ht="12" customHeight="1">
      <c r="A28" s="4">
        <v>2520</v>
      </c>
      <c r="B28" s="4">
        <v>18308</v>
      </c>
      <c r="C28" s="5">
        <f t="shared" ref="C28:C30" si="9">DATE(2012,12,31)-1179</f>
        <v>40095</v>
      </c>
      <c r="D28" s="4" t="s">
        <v>45</v>
      </c>
      <c r="E28" s="4">
        <v>30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spans="1:21" ht="12" customHeight="1">
      <c r="A29" s="4">
        <v>2521</v>
      </c>
      <c r="B29" s="4">
        <v>18308</v>
      </c>
      <c r="C29" s="5">
        <f t="shared" si="9"/>
        <v>40095</v>
      </c>
      <c r="D29" s="4" t="s">
        <v>45</v>
      </c>
      <c r="E29" s="4">
        <v>15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spans="1:21" ht="12" customHeight="1">
      <c r="A30" s="4">
        <v>2522</v>
      </c>
      <c r="B30" s="4">
        <v>18308</v>
      </c>
      <c r="C30" s="5">
        <f t="shared" si="9"/>
        <v>40095</v>
      </c>
      <c r="D30" s="4" t="s">
        <v>45</v>
      </c>
      <c r="E30" s="4">
        <v>49</v>
      </c>
      <c r="F30" s="4">
        <v>5247.4835000000003</v>
      </c>
      <c r="G30" s="4">
        <v>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0.56999999999999995</v>
      </c>
      <c r="U30" s="5">
        <f>C30+1</f>
        <v>40096</v>
      </c>
    </row>
    <row r="31" spans="1:21" ht="12" customHeight="1">
      <c r="A31" s="4">
        <v>2624</v>
      </c>
      <c r="B31" s="4">
        <v>19010</v>
      </c>
      <c r="C31" s="5">
        <f>DATE(2012,12,31)-1303</f>
        <v>39971</v>
      </c>
      <c r="D31" s="4" t="s">
        <v>21</v>
      </c>
      <c r="E31" s="4">
        <v>18</v>
      </c>
      <c r="F31" s="4">
        <v>23792.93</v>
      </c>
      <c r="G31" s="4">
        <v>0</v>
      </c>
      <c r="H31" s="4" t="s">
        <v>22</v>
      </c>
      <c r="I31" s="6">
        <v>10951.306499999999</v>
      </c>
      <c r="J31" s="4">
        <v>1270.99</v>
      </c>
      <c r="K31" s="4">
        <v>19.989999999999998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spans="1:21" ht="12" customHeight="1">
      <c r="A32" s="4">
        <v>2637</v>
      </c>
      <c r="B32" s="4">
        <v>19078</v>
      </c>
      <c r="C32" s="5">
        <f>DATE(2012,12,31)-1253</f>
        <v>40021</v>
      </c>
      <c r="D32" s="4" t="s">
        <v>78</v>
      </c>
      <c r="E32" s="4">
        <v>21</v>
      </c>
      <c r="F32" s="4">
        <v>256.12</v>
      </c>
      <c r="G32" s="4">
        <v>0.03</v>
      </c>
      <c r="H32" s="4" t="s">
        <v>22</v>
      </c>
      <c r="I32" s="6">
        <v>-18.190000000000001</v>
      </c>
      <c r="J32" s="4">
        <v>11.97</v>
      </c>
      <c r="K32" s="4">
        <v>4.9800000000000004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0.57999999999999996</v>
      </c>
      <c r="U32" s="5">
        <f t="shared" ref="U32:U35" si="10">C32+1</f>
        <v>40022</v>
      </c>
    </row>
    <row r="33" spans="1:21" ht="12" customHeight="1">
      <c r="A33" s="4">
        <v>2726</v>
      </c>
      <c r="B33" s="4">
        <v>19655</v>
      </c>
      <c r="C33" s="5">
        <f>DATE(2012,12,31)-1450</f>
        <v>39824</v>
      </c>
      <c r="D33" s="4" t="s">
        <v>30</v>
      </c>
      <c r="E33" s="4">
        <v>31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0"/>
        <v>39825</v>
      </c>
    </row>
    <row r="34" spans="1:21" ht="12" customHeight="1">
      <c r="A34" s="4">
        <v>2768</v>
      </c>
      <c r="B34" s="4">
        <v>20007</v>
      </c>
      <c r="C34" s="5">
        <f>DATE(2012,12,31)-1244</f>
        <v>40030</v>
      </c>
      <c r="D34" s="4" t="s">
        <v>45</v>
      </c>
      <c r="E34" s="4">
        <v>49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0"/>
        <v>40031</v>
      </c>
    </row>
    <row r="35" spans="1:21" ht="12" customHeight="1">
      <c r="A35" s="4">
        <v>2811</v>
      </c>
      <c r="B35" s="4">
        <v>20263</v>
      </c>
      <c r="C35" s="5">
        <f t="shared" ref="C35:C36" si="11">DATE(2012,12,31)-1143</f>
        <v>40131</v>
      </c>
      <c r="D35" s="4" t="s">
        <v>63</v>
      </c>
      <c r="E35" s="4">
        <v>8</v>
      </c>
      <c r="F35" s="4">
        <v>473.7</v>
      </c>
      <c r="G35" s="4">
        <v>0.05</v>
      </c>
      <c r="H35" s="4" t="s">
        <v>22</v>
      </c>
      <c r="I35" s="6">
        <v>72.513500000000008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0"/>
        <v>40132</v>
      </c>
    </row>
    <row r="36" spans="1:21" ht="12" customHeight="1">
      <c r="A36" s="4">
        <v>2812</v>
      </c>
      <c r="B36" s="4">
        <v>20263</v>
      </c>
      <c r="C36" s="5">
        <f t="shared" si="11"/>
        <v>40131</v>
      </c>
      <c r="D36" s="4" t="s">
        <v>63</v>
      </c>
      <c r="E36" s="4">
        <v>33</v>
      </c>
      <c r="F36" s="4">
        <v>553.5625</v>
      </c>
      <c r="G36" s="4">
        <v>0.08</v>
      </c>
      <c r="H36" s="4" t="s">
        <v>22</v>
      </c>
      <c r="I36" s="6">
        <v>-76.856999999999999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spans="1:21" ht="12" customHeight="1">
      <c r="A37" s="4">
        <v>2956</v>
      </c>
      <c r="B37" s="4">
        <v>21383</v>
      </c>
      <c r="C37" s="5">
        <f>DATE(2012,12,31)-1431</f>
        <v>39843</v>
      </c>
      <c r="D37" s="4" t="s">
        <v>21</v>
      </c>
      <c r="E37" s="4">
        <v>31</v>
      </c>
      <c r="F37" s="4">
        <v>16066.85</v>
      </c>
      <c r="G37" s="4">
        <v>7.0000000000000007E-2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spans="1:21" ht="12" customHeight="1">
      <c r="A38" s="4">
        <v>3006</v>
      </c>
      <c r="B38" s="4">
        <v>21636</v>
      </c>
      <c r="C38" s="5">
        <f>DATE(2012,12,31)-1239</f>
        <v>40035</v>
      </c>
      <c r="D38" s="4" t="s">
        <v>21</v>
      </c>
      <c r="E38" s="4">
        <v>35</v>
      </c>
      <c r="F38" s="4">
        <v>1665.0394999999999</v>
      </c>
      <c r="G38" s="4">
        <v>0.02</v>
      </c>
      <c r="H38" s="4" t="s">
        <v>22</v>
      </c>
      <c r="I38" s="6">
        <v>366.50700000000001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spans="1:21" ht="12" customHeight="1">
      <c r="A39" s="4">
        <v>3110</v>
      </c>
      <c r="B39" s="4">
        <v>22342</v>
      </c>
      <c r="C39" s="5">
        <f>DATE(2012,12,31)-1312</f>
        <v>39962</v>
      </c>
      <c r="D39" s="4" t="s">
        <v>21</v>
      </c>
      <c r="E39" s="4">
        <v>13</v>
      </c>
      <c r="F39" s="4">
        <v>241.70600000000002</v>
      </c>
      <c r="G39" s="4">
        <v>0</v>
      </c>
      <c r="H39" s="4" t="s">
        <v>22</v>
      </c>
      <c r="I39" s="6">
        <v>-92.961000000000013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spans="1:21" ht="12" customHeight="1">
      <c r="A40" s="4">
        <v>3284</v>
      </c>
      <c r="B40" s="4">
        <v>23488</v>
      </c>
      <c r="C40" s="5">
        <f>DATE(2012,12,31)-1455</f>
        <v>39819</v>
      </c>
      <c r="D40" s="4" t="s">
        <v>78</v>
      </c>
      <c r="E40" s="4">
        <v>30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2">C40+1</f>
        <v>39820</v>
      </c>
    </row>
    <row r="41" spans="1:21" ht="12" customHeight="1">
      <c r="A41" s="4">
        <v>3406</v>
      </c>
      <c r="B41" s="4">
        <v>24294</v>
      </c>
      <c r="C41" s="5">
        <f>DATE(2012,12,31)-1247</f>
        <v>40027</v>
      </c>
      <c r="D41" s="4" t="s">
        <v>45</v>
      </c>
      <c r="E41" s="4">
        <v>24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2"/>
        <v>40028</v>
      </c>
    </row>
    <row r="42" spans="1:21" ht="12" customHeight="1">
      <c r="A42" s="4">
        <v>3719</v>
      </c>
      <c r="B42" s="4">
        <v>26567</v>
      </c>
      <c r="C42" s="5">
        <f t="shared" ref="C42:C45" si="13">DATE(2012,12,31)-1214</f>
        <v>40060</v>
      </c>
      <c r="D42" s="4" t="s">
        <v>78</v>
      </c>
      <c r="E42" s="4">
        <v>8</v>
      </c>
      <c r="F42" s="4">
        <v>50.7</v>
      </c>
      <c r="G42" s="4">
        <v>0.08</v>
      </c>
      <c r="H42" s="4" t="s">
        <v>22</v>
      </c>
      <c r="I42" s="6">
        <v>-44.067999999999998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spans="1:21" ht="12" customHeight="1">
      <c r="A43" s="4">
        <v>3720</v>
      </c>
      <c r="B43" s="4">
        <v>26567</v>
      </c>
      <c r="C43" s="5">
        <f t="shared" si="13"/>
        <v>40060</v>
      </c>
      <c r="D43" s="4" t="s">
        <v>78</v>
      </c>
      <c r="E43" s="4">
        <v>10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8.4600000000000009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spans="1:21" ht="12" customHeight="1">
      <c r="A44" s="4">
        <v>3721</v>
      </c>
      <c r="B44" s="4">
        <v>26567</v>
      </c>
      <c r="C44" s="5">
        <f t="shared" si="13"/>
        <v>40060</v>
      </c>
      <c r="D44" s="4" t="s">
        <v>78</v>
      </c>
      <c r="E44" s="4">
        <v>22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4">C44+1</f>
        <v>40061</v>
      </c>
    </row>
    <row r="45" spans="1:21" ht="12" customHeight="1">
      <c r="A45" s="4">
        <v>3722</v>
      </c>
      <c r="B45" s="4">
        <v>26567</v>
      </c>
      <c r="C45" s="5">
        <f t="shared" si="13"/>
        <v>40060</v>
      </c>
      <c r="D45" s="4" t="s">
        <v>78</v>
      </c>
      <c r="E45" s="4">
        <v>48</v>
      </c>
      <c r="F45" s="4">
        <v>6109.817</v>
      </c>
      <c r="G45" s="4">
        <v>0.04</v>
      </c>
      <c r="H45" s="4" t="s">
        <v>22</v>
      </c>
      <c r="I45" s="6">
        <v>1374.9480000000001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4"/>
        <v>40061</v>
      </c>
    </row>
    <row r="46" spans="1:21" ht="12" customHeight="1">
      <c r="A46" s="4">
        <v>3760</v>
      </c>
      <c r="B46" s="4">
        <v>26854</v>
      </c>
      <c r="C46" s="5">
        <f>DATE(2012,12,31)-1289</f>
        <v>39985</v>
      </c>
      <c r="D46" s="4" t="s">
        <v>45</v>
      </c>
      <c r="E46" s="4">
        <v>1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4"/>
        <v>39986</v>
      </c>
    </row>
    <row r="47" spans="1:21" ht="12" customHeight="1">
      <c r="A47" s="4">
        <v>3806</v>
      </c>
      <c r="B47" s="4">
        <v>27111</v>
      </c>
      <c r="C47" s="5">
        <f t="shared" ref="C47:C49" si="15">DATE(2012,12,31)-1391</f>
        <v>39883</v>
      </c>
      <c r="D47" s="4" t="s">
        <v>30</v>
      </c>
      <c r="E47" s="4">
        <v>11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19.989999999999998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spans="1:21" ht="12" customHeight="1">
      <c r="A48" s="4">
        <v>3807</v>
      </c>
      <c r="B48" s="4">
        <v>27111</v>
      </c>
      <c r="C48" s="5">
        <f t="shared" si="15"/>
        <v>39883</v>
      </c>
      <c r="D48" s="4" t="s">
        <v>30</v>
      </c>
      <c r="E48" s="4">
        <v>18</v>
      </c>
      <c r="F48" s="4">
        <v>3497.05</v>
      </c>
      <c r="G48" s="4">
        <v>0</v>
      </c>
      <c r="H48" s="4" t="s">
        <v>22</v>
      </c>
      <c r="I48" s="6">
        <v>282.18</v>
      </c>
      <c r="J48" s="4">
        <v>193.17</v>
      </c>
      <c r="K48" s="4">
        <v>19.989999999999998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spans="1:21" ht="12" customHeight="1">
      <c r="A49" s="4">
        <v>3808</v>
      </c>
      <c r="B49" s="4">
        <v>27111</v>
      </c>
      <c r="C49" s="5">
        <f t="shared" si="15"/>
        <v>39883</v>
      </c>
      <c r="D49" s="4" t="s">
        <v>30</v>
      </c>
      <c r="E49" s="4">
        <v>44</v>
      </c>
      <c r="F49" s="4">
        <v>774.05250000000001</v>
      </c>
      <c r="G49" s="4">
        <v>0.08</v>
      </c>
      <c r="H49" s="4" t="s">
        <v>56</v>
      </c>
      <c r="I49" s="6">
        <v>-96.337999999999994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spans="1:21" ht="12" customHeight="1">
      <c r="A50" s="4">
        <v>3863</v>
      </c>
      <c r="B50" s="4">
        <v>27555</v>
      </c>
      <c r="C50" s="5">
        <f>DATE(2012,12,31)-1217</f>
        <v>40057</v>
      </c>
      <c r="D50" s="4" t="s">
        <v>78</v>
      </c>
      <c r="E50" s="4">
        <v>32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6">C50+2</f>
        <v>40059</v>
      </c>
    </row>
    <row r="51" spans="1:21" ht="12" customHeight="1">
      <c r="A51" s="4">
        <v>3947</v>
      </c>
      <c r="B51" s="4">
        <v>28135</v>
      </c>
      <c r="C51" s="5">
        <f t="shared" ref="C51:C52" si="17">DATE(2012,12,31)-1193</f>
        <v>40081</v>
      </c>
      <c r="D51" s="4" t="s">
        <v>78</v>
      </c>
      <c r="E51" s="4">
        <v>37</v>
      </c>
      <c r="F51" s="4">
        <v>1601.24</v>
      </c>
      <c r="G51" s="4">
        <v>0.08</v>
      </c>
      <c r="H51" s="4" t="s">
        <v>22</v>
      </c>
      <c r="I51" s="6">
        <v>520.69000000000005</v>
      </c>
      <c r="J51" s="4">
        <v>46.89</v>
      </c>
      <c r="K51" s="4">
        <v>5.0999999999999996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6"/>
        <v>40083</v>
      </c>
    </row>
    <row r="52" spans="1:21" ht="12" customHeight="1">
      <c r="A52" s="4">
        <v>3948</v>
      </c>
      <c r="B52" s="4">
        <v>28135</v>
      </c>
      <c r="C52" s="5">
        <f t="shared" si="17"/>
        <v>40081</v>
      </c>
      <c r="D52" s="4" t="s">
        <v>78</v>
      </c>
      <c r="E52" s="4">
        <v>40</v>
      </c>
      <c r="F52" s="4">
        <v>501.31</v>
      </c>
      <c r="G52" s="4">
        <v>0.05</v>
      </c>
      <c r="H52" s="4" t="s">
        <v>22</v>
      </c>
      <c r="I52" s="6">
        <v>38.229999999999997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spans="1:21" ht="12" customHeight="1">
      <c r="A53" s="4">
        <v>3992</v>
      </c>
      <c r="B53" s="4">
        <v>28486</v>
      </c>
      <c r="C53" s="5">
        <f>DATE(2012,12,31)-1223</f>
        <v>40051</v>
      </c>
      <c r="D53" s="4" t="s">
        <v>30</v>
      </c>
      <c r="E53" s="4">
        <v>2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0.56999999999999995</v>
      </c>
      <c r="U53" s="5">
        <f t="shared" ref="U53:U54" si="18">C53+1</f>
        <v>40052</v>
      </c>
    </row>
    <row r="54" spans="1:21" ht="12" customHeight="1">
      <c r="A54" s="4">
        <v>4017</v>
      </c>
      <c r="B54" s="4">
        <v>28675</v>
      </c>
      <c r="C54" s="5">
        <f>DATE(2012,12,31)-1180</f>
        <v>40094</v>
      </c>
      <c r="D54" s="4" t="s">
        <v>78</v>
      </c>
      <c r="E54" s="4">
        <v>15</v>
      </c>
      <c r="F54" s="4">
        <v>822.84249999999997</v>
      </c>
      <c r="G54" s="4">
        <v>0.1</v>
      </c>
      <c r="H54" s="4" t="s">
        <v>22</v>
      </c>
      <c r="I54" s="6">
        <v>4.3920000000000083</v>
      </c>
      <c r="J54" s="4">
        <v>65.989999999999995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0.55000000000000004</v>
      </c>
      <c r="U54" s="5">
        <f t="shared" si="18"/>
        <v>40095</v>
      </c>
    </row>
    <row r="55" spans="1:21" ht="12" customHeight="1">
      <c r="A55" s="4">
        <v>4118</v>
      </c>
      <c r="B55" s="4">
        <v>29287</v>
      </c>
      <c r="C55" s="5">
        <f t="shared" ref="C55:C56" si="19">DATE(2012,12,31)-1278</f>
        <v>39996</v>
      </c>
      <c r="D55" s="4" t="s">
        <v>30</v>
      </c>
      <c r="E55" s="4">
        <v>50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0">C55+2</f>
        <v>39998</v>
      </c>
    </row>
    <row r="56" spans="1:21" ht="12" customHeight="1">
      <c r="A56" s="4">
        <v>4119</v>
      </c>
      <c r="B56" s="4">
        <v>29287</v>
      </c>
      <c r="C56" s="5">
        <f t="shared" si="19"/>
        <v>39996</v>
      </c>
      <c r="D56" s="4" t="s">
        <v>30</v>
      </c>
      <c r="E56" s="4">
        <v>49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270.97000000000003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0.56000000000000005</v>
      </c>
      <c r="U56" s="5">
        <f t="shared" si="20"/>
        <v>39998</v>
      </c>
    </row>
    <row r="57" spans="1:21" ht="12" customHeight="1">
      <c r="A57" s="4">
        <v>4369</v>
      </c>
      <c r="B57" s="4">
        <v>31111</v>
      </c>
      <c r="C57" s="5">
        <f>DATE(2012,12,31)-1225</f>
        <v>40049</v>
      </c>
      <c r="D57" s="4" t="s">
        <v>45</v>
      </c>
      <c r="E57" s="4">
        <v>27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0"/>
        <v>40051</v>
      </c>
    </row>
    <row r="58" spans="1:21" ht="12" customHeight="1">
      <c r="A58" s="4">
        <v>4401</v>
      </c>
      <c r="B58" s="4">
        <v>31364</v>
      </c>
      <c r="C58" s="5">
        <f>DATE(2012,12,31)-1340</f>
        <v>39934</v>
      </c>
      <c r="D58" s="4" t="s">
        <v>45</v>
      </c>
      <c r="E58" s="4">
        <v>2</v>
      </c>
      <c r="F58" s="4">
        <v>789.01</v>
      </c>
      <c r="G58" s="4">
        <v>7.0000000000000007E-2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0.56999999999999995</v>
      </c>
      <c r="U58" s="5">
        <f>C58+0</f>
        <v>39934</v>
      </c>
    </row>
    <row r="59" spans="1:21" ht="12" customHeight="1">
      <c r="A59" s="4">
        <v>4459</v>
      </c>
      <c r="B59" s="4">
        <v>31781</v>
      </c>
      <c r="C59" s="5">
        <f t="shared" ref="C59:C60" si="21">DATE(2012,12,31)-1445</f>
        <v>39829</v>
      </c>
      <c r="D59" s="4" t="s">
        <v>63</v>
      </c>
      <c r="E59" s="4">
        <v>46</v>
      </c>
      <c r="F59" s="4">
        <v>249.02</v>
      </c>
      <c r="G59" s="4">
        <v>0.1</v>
      </c>
      <c r="H59" s="4" t="s">
        <v>22</v>
      </c>
      <c r="I59" s="6">
        <v>-282.61250000000001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2">C59+1</f>
        <v>39830</v>
      </c>
    </row>
    <row r="60" spans="1:21" ht="12" customHeight="1">
      <c r="A60" s="4">
        <v>4460</v>
      </c>
      <c r="B60" s="4">
        <v>31781</v>
      </c>
      <c r="C60" s="5">
        <f t="shared" si="21"/>
        <v>39829</v>
      </c>
      <c r="D60" s="4" t="s">
        <v>63</v>
      </c>
      <c r="E60" s="4">
        <v>41</v>
      </c>
      <c r="F60" s="4">
        <v>78.489999999999995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2"/>
        <v>39830</v>
      </c>
    </row>
    <row r="61" spans="1:21" ht="12" customHeight="1">
      <c r="A61" s="4">
        <v>4763</v>
      </c>
      <c r="B61" s="4">
        <v>33888</v>
      </c>
      <c r="C61" s="5">
        <f t="shared" ref="C61:C63" si="23">DATE(2012,12,31)-1229</f>
        <v>40045</v>
      </c>
      <c r="D61" s="4" t="s">
        <v>45</v>
      </c>
      <c r="E61" s="4">
        <v>31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spans="1:21" ht="12" customHeight="1">
      <c r="A62" s="4">
        <v>4764</v>
      </c>
      <c r="B62" s="4">
        <v>33888</v>
      </c>
      <c r="C62" s="5">
        <f t="shared" si="23"/>
        <v>40045</v>
      </c>
      <c r="D62" s="4" t="s">
        <v>45</v>
      </c>
      <c r="E62" s="4">
        <v>3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spans="1:21" ht="12" customHeight="1">
      <c r="A63" s="4">
        <v>4765</v>
      </c>
      <c r="B63" s="4">
        <v>33888</v>
      </c>
      <c r="C63" s="5">
        <f t="shared" si="23"/>
        <v>40045</v>
      </c>
      <c r="D63" s="4" t="s">
        <v>45</v>
      </c>
      <c r="E63" s="4">
        <v>47</v>
      </c>
      <c r="F63" s="4">
        <v>10377.219999999999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spans="1:21" ht="12" customHeight="1">
      <c r="A64" s="4">
        <v>4803</v>
      </c>
      <c r="B64" s="4">
        <v>34177</v>
      </c>
      <c r="C64" s="5">
        <f t="shared" ref="C64:C66" si="24">DATE(2012,12,31)-1234</f>
        <v>40040</v>
      </c>
      <c r="D64" s="4" t="s">
        <v>30</v>
      </c>
      <c r="E64" s="4">
        <v>13</v>
      </c>
      <c r="F64" s="4">
        <v>34.42</v>
      </c>
      <c r="G64" s="4">
        <v>0.02</v>
      </c>
      <c r="H64" s="4" t="s">
        <v>22</v>
      </c>
      <c r="I64" s="6">
        <v>9.4700000000000006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spans="1:21" ht="12" customHeight="1">
      <c r="A65" s="4">
        <v>4804</v>
      </c>
      <c r="B65" s="4">
        <v>34177</v>
      </c>
      <c r="C65" s="5">
        <f t="shared" si="24"/>
        <v>40040</v>
      </c>
      <c r="D65" s="4" t="s">
        <v>30</v>
      </c>
      <c r="E65" s="4">
        <v>26</v>
      </c>
      <c r="F65" s="4">
        <v>172.76</v>
      </c>
      <c r="G65" s="4">
        <v>0.1</v>
      </c>
      <c r="H65" s="4" t="s">
        <v>22</v>
      </c>
      <c r="I65" s="6">
        <v>73.180000000000007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5">C65+1</f>
        <v>40041</v>
      </c>
    </row>
    <row r="66" spans="1:21" ht="12" customHeight="1">
      <c r="A66" s="4">
        <v>4805</v>
      </c>
      <c r="B66" s="4">
        <v>34177</v>
      </c>
      <c r="C66" s="5">
        <f t="shared" si="24"/>
        <v>40040</v>
      </c>
      <c r="D66" s="4" t="s">
        <v>30</v>
      </c>
      <c r="E66" s="4">
        <v>50</v>
      </c>
      <c r="F66" s="4">
        <v>853.16200000000003</v>
      </c>
      <c r="G66" s="4">
        <v>0.1</v>
      </c>
      <c r="H66" s="4" t="s">
        <v>22</v>
      </c>
      <c r="I66" s="6">
        <v>-83.951999999999998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5"/>
        <v>40041</v>
      </c>
    </row>
    <row r="67" spans="1:21" ht="12" customHeight="1">
      <c r="A67" s="4">
        <v>4864</v>
      </c>
      <c r="B67" s="4">
        <v>34631</v>
      </c>
      <c r="C67" s="5">
        <f t="shared" ref="C67:C68" si="26">DATE(2012,12,31)-1165</f>
        <v>40109</v>
      </c>
      <c r="D67" s="4" t="s">
        <v>45</v>
      </c>
      <c r="E67" s="4">
        <v>5</v>
      </c>
      <c r="F67" s="4">
        <v>22.06</v>
      </c>
      <c r="G67" s="4">
        <v>0.06</v>
      </c>
      <c r="H67" s="4" t="s">
        <v>22</v>
      </c>
      <c r="I67" s="6">
        <v>-22.275500000000001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5"/>
        <v>40110</v>
      </c>
    </row>
    <row r="68" spans="1:21" ht="12" customHeight="1">
      <c r="A68" s="4">
        <v>4865</v>
      </c>
      <c r="B68" s="4">
        <v>34631</v>
      </c>
      <c r="C68" s="5">
        <f t="shared" si="26"/>
        <v>40109</v>
      </c>
      <c r="D68" s="4" t="s">
        <v>45</v>
      </c>
      <c r="E68" s="4">
        <v>19</v>
      </c>
      <c r="F68" s="4">
        <v>12616.2</v>
      </c>
      <c r="G68" s="4">
        <v>7.0000000000000007E-2</v>
      </c>
      <c r="H68" s="4" t="s">
        <v>22</v>
      </c>
      <c r="I68" s="6">
        <v>2808.2190000000001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spans="1:21" ht="12" customHeight="1">
      <c r="A69" s="4">
        <v>5031</v>
      </c>
      <c r="B69" s="4">
        <v>35847</v>
      </c>
      <c r="C69" s="5">
        <f>DATE(2012,12,31)-1431</f>
        <v>39843</v>
      </c>
      <c r="D69" s="4" t="s">
        <v>78</v>
      </c>
      <c r="E69" s="4">
        <v>23</v>
      </c>
      <c r="F69" s="4">
        <v>361.65</v>
      </c>
      <c r="G69" s="4">
        <v>0.08</v>
      </c>
      <c r="H69" s="4" t="s">
        <v>56</v>
      </c>
      <c r="I69" s="6">
        <v>-144.27000000000001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spans="1:21" ht="12" customHeight="1">
      <c r="A70" s="4">
        <v>5154</v>
      </c>
      <c r="B70" s="4">
        <v>36707</v>
      </c>
      <c r="C70" s="5">
        <f>DATE(2012,12,31)-1128</f>
        <v>40146</v>
      </c>
      <c r="D70" s="4" t="s">
        <v>63</v>
      </c>
      <c r="E70" s="4">
        <v>47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7">C70+1</f>
        <v>40147</v>
      </c>
    </row>
    <row r="71" spans="1:21" ht="12" customHeight="1">
      <c r="A71" s="4">
        <v>5312</v>
      </c>
      <c r="B71" s="4">
        <v>37793</v>
      </c>
      <c r="C71" s="5">
        <f>DATE(2012,12,31)-1149</f>
        <v>40125</v>
      </c>
      <c r="D71" s="4" t="s">
        <v>45</v>
      </c>
      <c r="E71" s="4">
        <v>16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0.56000000000000005</v>
      </c>
      <c r="U71" s="5">
        <f t="shared" si="27"/>
        <v>40126</v>
      </c>
    </row>
    <row r="72" spans="1:21" ht="12" customHeight="1">
      <c r="A72" s="4">
        <v>5628</v>
      </c>
      <c r="B72" s="4">
        <v>39846</v>
      </c>
      <c r="C72" s="5">
        <f>DATE(2012,12,31)-1403</f>
        <v>39871</v>
      </c>
      <c r="D72" s="4" t="s">
        <v>21</v>
      </c>
      <c r="E72" s="4">
        <v>14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4.9800000000000004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spans="1:21" ht="12" customHeight="1">
      <c r="A73" s="4">
        <v>5681</v>
      </c>
      <c r="B73" s="4">
        <v>40160</v>
      </c>
      <c r="C73" s="5">
        <f>DATE(2012,12,31)-1173</f>
        <v>40101</v>
      </c>
      <c r="D73" s="4" t="s">
        <v>78</v>
      </c>
      <c r="E73" s="4">
        <v>23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8">C73+1</f>
        <v>40102</v>
      </c>
    </row>
    <row r="74" spans="1:21" ht="12" customHeight="1">
      <c r="A74" s="4">
        <v>5719</v>
      </c>
      <c r="B74" s="4">
        <v>40518</v>
      </c>
      <c r="C74" s="5">
        <f>DATE(2012,12,31)-1389</f>
        <v>39885</v>
      </c>
      <c r="D74" s="4" t="s">
        <v>78</v>
      </c>
      <c r="E74" s="4">
        <v>3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8"/>
        <v>39886</v>
      </c>
    </row>
    <row r="75" spans="1:21" ht="12" customHeight="1">
      <c r="A75" s="4">
        <v>5764</v>
      </c>
      <c r="B75" s="4">
        <v>40902</v>
      </c>
      <c r="C75" s="5">
        <f>DATE(2012,12,31)-1273</f>
        <v>40001</v>
      </c>
      <c r="D75" s="4" t="s">
        <v>21</v>
      </c>
      <c r="E75" s="4">
        <v>25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spans="1:21" ht="12" customHeight="1">
      <c r="A76" s="4">
        <v>5802</v>
      </c>
      <c r="B76" s="4">
        <v>41153</v>
      </c>
      <c r="C76" s="5">
        <f>DATE(2012,12,31)-1400</f>
        <v>39874</v>
      </c>
      <c r="D76" s="4" t="s">
        <v>63</v>
      </c>
      <c r="E76" s="4">
        <v>29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spans="1:21" ht="12" customHeight="1">
      <c r="A77" s="4">
        <v>5877</v>
      </c>
      <c r="B77" s="4">
        <v>41696</v>
      </c>
      <c r="C77" s="5">
        <f>DATE(2012,12,31)-1267</f>
        <v>40007</v>
      </c>
      <c r="D77" s="4" t="s">
        <v>45</v>
      </c>
      <c r="E77" s="4">
        <v>45</v>
      </c>
      <c r="F77" s="4">
        <v>237.28</v>
      </c>
      <c r="G77" s="4">
        <v>0.03</v>
      </c>
      <c r="H77" s="4" t="s">
        <v>56</v>
      </c>
      <c r="I77" s="6">
        <v>-2088.6799999999998</v>
      </c>
      <c r="J77" s="4">
        <v>4.4800000000000004</v>
      </c>
      <c r="K77" s="4">
        <v>49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29">C77+2</f>
        <v>40009</v>
      </c>
    </row>
    <row r="78" spans="1:21" ht="12" customHeight="1">
      <c r="A78" s="4">
        <v>6067</v>
      </c>
      <c r="B78" s="4">
        <v>42981</v>
      </c>
      <c r="C78" s="5">
        <f>DATE(2012,12,31)-1311</f>
        <v>39963</v>
      </c>
      <c r="D78" s="4" t="s">
        <v>78</v>
      </c>
      <c r="E78" s="4">
        <v>4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19.989999999999998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29"/>
        <v>39965</v>
      </c>
    </row>
    <row r="79" spans="1:21" ht="12" customHeight="1">
      <c r="A79" s="4">
        <v>6119</v>
      </c>
      <c r="B79" s="4">
        <v>43330</v>
      </c>
      <c r="C79" s="5">
        <f>DATE(2012,12,31)-1344</f>
        <v>39930</v>
      </c>
      <c r="D79" s="4" t="s">
        <v>45</v>
      </c>
      <c r="E79" s="4">
        <v>40</v>
      </c>
      <c r="F79" s="4">
        <v>2205.7584999999999</v>
      </c>
      <c r="G79" s="4">
        <v>0.03</v>
      </c>
      <c r="H79" s="4" t="s">
        <v>22</v>
      </c>
      <c r="I79" s="6">
        <v>337.041</v>
      </c>
      <c r="J79" s="4">
        <v>65.989999999999995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0.57999999999999996</v>
      </c>
      <c r="U79" s="5">
        <f t="shared" ref="U79:U80" si="30">C79+1</f>
        <v>39931</v>
      </c>
    </row>
    <row r="80" spans="1:21" ht="12" customHeight="1">
      <c r="A80" s="4">
        <v>6319</v>
      </c>
      <c r="B80" s="4">
        <v>44708</v>
      </c>
      <c r="C80" s="5">
        <f>DATE(2012,12,31)-1253</f>
        <v>40021</v>
      </c>
      <c r="D80" s="4" t="s">
        <v>45</v>
      </c>
      <c r="E80" s="4">
        <v>15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0"/>
        <v>40022</v>
      </c>
    </row>
    <row r="81" spans="1:21" ht="12" customHeight="1">
      <c r="A81" s="4">
        <v>6324</v>
      </c>
      <c r="B81" s="4">
        <v>44772</v>
      </c>
      <c r="C81" s="5">
        <f>DATE(2012,12,31)-1371</f>
        <v>39903</v>
      </c>
      <c r="D81" s="4" t="s">
        <v>45</v>
      </c>
      <c r="E81" s="4">
        <v>1</v>
      </c>
      <c r="F81" s="4">
        <v>54.076999999999998</v>
      </c>
      <c r="G81" s="4">
        <v>7.0000000000000007E-2</v>
      </c>
      <c r="H81" s="4" t="s">
        <v>56</v>
      </c>
      <c r="I81" s="6">
        <v>-232.99100000000001</v>
      </c>
      <c r="J81" s="4">
        <v>55.99</v>
      </c>
      <c r="K81" s="4">
        <v>5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spans="1:21" ht="12" customHeight="1">
      <c r="A82" s="4">
        <v>6736</v>
      </c>
      <c r="B82" s="4">
        <v>47943</v>
      </c>
      <c r="C82" s="5">
        <f t="shared" ref="C82:C83" si="31">DATE(2012,12,31)-1143</f>
        <v>40131</v>
      </c>
      <c r="D82" s="4" t="s">
        <v>63</v>
      </c>
      <c r="E82" s="4">
        <v>12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spans="1:21" ht="12" customHeight="1">
      <c r="A83" s="4">
        <v>6737</v>
      </c>
      <c r="B83" s="4">
        <v>47943</v>
      </c>
      <c r="C83" s="5">
        <f t="shared" si="31"/>
        <v>40131</v>
      </c>
      <c r="D83" s="4" t="s">
        <v>63</v>
      </c>
      <c r="E83" s="4">
        <v>48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0.55000000000000004</v>
      </c>
      <c r="U83" s="5">
        <f>C83+1</f>
        <v>40132</v>
      </c>
    </row>
    <row r="84" spans="1:21" ht="12" customHeight="1">
      <c r="A84" s="4">
        <v>6783</v>
      </c>
      <c r="B84" s="4">
        <v>48295</v>
      </c>
      <c r="C84" s="5">
        <f>DATE(2012,12,31)-1134</f>
        <v>40140</v>
      </c>
      <c r="D84" s="4" t="s">
        <v>63</v>
      </c>
      <c r="E84" s="4">
        <v>48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spans="1:21" ht="12" customHeight="1">
      <c r="A85" s="4">
        <v>6894</v>
      </c>
      <c r="B85" s="4">
        <v>49154</v>
      </c>
      <c r="C85" s="5">
        <f>DATE(2012,12,31)-1396</f>
        <v>39878</v>
      </c>
      <c r="D85" s="4" t="s">
        <v>63</v>
      </c>
      <c r="E85" s="4">
        <v>26</v>
      </c>
      <c r="F85" s="4">
        <v>1523.5</v>
      </c>
      <c r="G85" s="4">
        <v>7.0000000000000007E-2</v>
      </c>
      <c r="H85" s="4" t="s">
        <v>22</v>
      </c>
      <c r="I85" s="6">
        <v>-807.89</v>
      </c>
      <c r="J85" s="4">
        <v>60.98</v>
      </c>
      <c r="K85" s="4">
        <v>49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2">C85+1</f>
        <v>39879</v>
      </c>
    </row>
    <row r="86" spans="1:21" ht="12" customHeight="1">
      <c r="A86" s="4">
        <v>7060</v>
      </c>
      <c r="B86" s="4">
        <v>50374</v>
      </c>
      <c r="C86" s="5">
        <f>DATE(2012,12,31)-1311</f>
        <v>39963</v>
      </c>
      <c r="D86" s="4" t="s">
        <v>45</v>
      </c>
      <c r="E86" s="4">
        <v>30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2"/>
        <v>39964</v>
      </c>
    </row>
    <row r="87" spans="1:21" ht="12" customHeight="1">
      <c r="A87" s="4">
        <v>7111</v>
      </c>
      <c r="B87" s="4">
        <v>50754</v>
      </c>
      <c r="C87" s="5">
        <f>DATE(2012,12,31)-1118</f>
        <v>40156</v>
      </c>
      <c r="D87" s="4" t="s">
        <v>45</v>
      </c>
      <c r="E87" s="4">
        <v>9</v>
      </c>
      <c r="F87" s="4">
        <v>64.030500000000004</v>
      </c>
      <c r="G87" s="4">
        <v>0.06</v>
      </c>
      <c r="H87" s="4" t="s">
        <v>22</v>
      </c>
      <c r="I87" s="6">
        <v>-58.344000000000001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2"/>
        <v>40157</v>
      </c>
    </row>
    <row r="88" spans="1:21" ht="12" customHeight="1">
      <c r="A88" s="4">
        <v>7352</v>
      </c>
      <c r="B88" s="4">
        <v>52386</v>
      </c>
      <c r="C88" s="5">
        <f>DATE(2012,12,31)-1456</f>
        <v>39818</v>
      </c>
      <c r="D88" s="4" t="s">
        <v>30</v>
      </c>
      <c r="E88" s="4">
        <v>6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3">C88+2</f>
        <v>39820</v>
      </c>
    </row>
    <row r="89" spans="1:21" ht="12" customHeight="1">
      <c r="A89" s="4">
        <v>7500</v>
      </c>
      <c r="B89" s="4">
        <v>53511</v>
      </c>
      <c r="C89" s="5">
        <f t="shared" ref="C89:C90" si="34">DATE(2012,12,31)-1410</f>
        <v>39864</v>
      </c>
      <c r="D89" s="4" t="s">
        <v>63</v>
      </c>
      <c r="E89" s="4">
        <v>41</v>
      </c>
      <c r="F89" s="4">
        <v>241.1</v>
      </c>
      <c r="G89" s="4">
        <v>7.0000000000000007E-2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3"/>
        <v>39866</v>
      </c>
    </row>
    <row r="90" spans="1:21" ht="12" customHeight="1">
      <c r="A90" s="4">
        <v>7501</v>
      </c>
      <c r="B90" s="4">
        <v>53511</v>
      </c>
      <c r="C90" s="5">
        <f t="shared" si="34"/>
        <v>39864</v>
      </c>
      <c r="D90" s="4" t="s">
        <v>63</v>
      </c>
      <c r="E90" s="4">
        <v>49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0.55000000000000004</v>
      </c>
      <c r="U90" s="5">
        <f>C90+1</f>
        <v>39865</v>
      </c>
    </row>
    <row r="91" spans="1:21" ht="12" customHeight="1">
      <c r="A91" s="4">
        <v>7530</v>
      </c>
      <c r="B91" s="4">
        <v>53797</v>
      </c>
      <c r="C91" s="5">
        <f>DATE(2012,12,31)-1187</f>
        <v>40087</v>
      </c>
      <c r="D91" s="4" t="s">
        <v>78</v>
      </c>
      <c r="E91" s="4">
        <v>10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spans="1:21" ht="12" customHeight="1">
      <c r="A92" s="4">
        <v>7628</v>
      </c>
      <c r="B92" s="4">
        <v>54567</v>
      </c>
      <c r="C92" s="5">
        <f t="shared" ref="C92:C93" si="35">DATE(2012,12,31)-1247</f>
        <v>40027</v>
      </c>
      <c r="D92" s="4" t="s">
        <v>63</v>
      </c>
      <c r="E92" s="4">
        <v>31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spans="1:21" ht="12" customHeight="1">
      <c r="A93" s="4">
        <v>7716</v>
      </c>
      <c r="B93" s="4">
        <v>55298</v>
      </c>
      <c r="C93" s="5">
        <f t="shared" si="35"/>
        <v>40027</v>
      </c>
      <c r="D93" s="4" t="s">
        <v>78</v>
      </c>
      <c r="E93" s="4">
        <v>1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0.56000000000000005</v>
      </c>
      <c r="U93" s="5">
        <f>C93+1</f>
        <v>40028</v>
      </c>
    </row>
    <row r="94" spans="1:21" ht="12" customHeight="1">
      <c r="A94" s="4">
        <v>7813</v>
      </c>
      <c r="B94" s="4">
        <v>55875</v>
      </c>
      <c r="C94" s="5">
        <f t="shared" ref="C94:C95" si="36">DATE(2012,12,31)-1132</f>
        <v>40142</v>
      </c>
      <c r="D94" s="4" t="s">
        <v>78</v>
      </c>
      <c r="E94" s="4">
        <v>50</v>
      </c>
      <c r="F94" s="4">
        <v>413.86</v>
      </c>
      <c r="G94" s="4">
        <v>0</v>
      </c>
      <c r="H94" s="4" t="s">
        <v>22</v>
      </c>
      <c r="I94" s="6">
        <v>39.29</v>
      </c>
      <c r="J94" s="4">
        <v>7.59</v>
      </c>
      <c r="K94" s="4">
        <v>4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spans="1:21" ht="12" customHeight="1">
      <c r="A95" s="4">
        <v>7814</v>
      </c>
      <c r="B95" s="4">
        <v>55875</v>
      </c>
      <c r="C95" s="5">
        <f t="shared" si="36"/>
        <v>40142</v>
      </c>
      <c r="D95" s="4" t="s">
        <v>78</v>
      </c>
      <c r="E95" s="4">
        <v>31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4.6900000000000004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7">C95+0</f>
        <v>40142</v>
      </c>
    </row>
    <row r="96" spans="1:21" ht="12" customHeight="1">
      <c r="A96" s="4">
        <v>8057</v>
      </c>
      <c r="B96" s="4">
        <v>57509</v>
      </c>
      <c r="C96" s="5">
        <f t="shared" ref="C96:C97" si="38">DATE(2012,12,31)-1409</f>
        <v>39865</v>
      </c>
      <c r="D96" s="4" t="s">
        <v>21</v>
      </c>
      <c r="E96" s="4">
        <v>39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7"/>
        <v>39865</v>
      </c>
    </row>
    <row r="97" spans="1:21" ht="12" customHeight="1">
      <c r="A97" s="4">
        <v>8058</v>
      </c>
      <c r="B97" s="4">
        <v>57509</v>
      </c>
      <c r="C97" s="5">
        <f t="shared" si="38"/>
        <v>39865</v>
      </c>
      <c r="D97" s="4" t="s">
        <v>21</v>
      </c>
      <c r="E97" s="4">
        <v>11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259.70999999999998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spans="1:21" ht="12" customHeight="1">
      <c r="A98" s="4">
        <v>8133</v>
      </c>
      <c r="B98" s="4">
        <v>58144</v>
      </c>
      <c r="C98" s="5">
        <f>DATE(2012,12,31)-1111</f>
        <v>40163</v>
      </c>
      <c r="D98" s="4" t="s">
        <v>21</v>
      </c>
      <c r="E98" s="4">
        <v>29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spans="1:21" ht="12" customHeight="1">
      <c r="A99" s="4">
        <v>8176</v>
      </c>
      <c r="B99" s="4">
        <v>58434</v>
      </c>
      <c r="C99" s="5">
        <f>DATE(2012,12,31)-1393</f>
        <v>39881</v>
      </c>
      <c r="D99" s="4" t="s">
        <v>30</v>
      </c>
      <c r="E99" s="4">
        <v>42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spans="1:21" ht="12" customHeight="1">
      <c r="A100" s="4">
        <v>8208</v>
      </c>
      <c r="B100" s="4">
        <v>58688</v>
      </c>
      <c r="C100" s="5">
        <f>DATE(2012,12,31)-1373</f>
        <v>39901</v>
      </c>
      <c r="D100" s="4" t="s">
        <v>45</v>
      </c>
      <c r="E100" s="4">
        <v>18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spans="1:21" ht="12" customHeight="1">
      <c r="A101" s="4">
        <v>8290</v>
      </c>
      <c r="B101" s="4">
        <v>59207</v>
      </c>
      <c r="C101" s="5">
        <f>DATE(2012,12,31)-1323</f>
        <v>39951</v>
      </c>
      <c r="D101" s="4" t="s">
        <v>78</v>
      </c>
      <c r="E101" s="4">
        <v>42</v>
      </c>
      <c r="F101" s="4">
        <v>9502.7360000000008</v>
      </c>
      <c r="G101" s="4">
        <v>0.02</v>
      </c>
      <c r="H101" s="4" t="s">
        <v>31</v>
      </c>
      <c r="I101" s="6">
        <v>-945.55799999999988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spans="1:21" ht="12" customHeight="1">
      <c r="A102" s="4">
        <v>105</v>
      </c>
      <c r="B102" s="4">
        <v>645</v>
      </c>
      <c r="C102" s="5">
        <f>DATE(2012,12,31)-1125</f>
        <v>40149</v>
      </c>
      <c r="D102" s="4" t="s">
        <v>30</v>
      </c>
      <c r="E102" s="4">
        <v>42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4.9800000000000004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spans="1:21" ht="12" customHeight="1">
      <c r="A103" s="4">
        <v>636</v>
      </c>
      <c r="B103" s="4">
        <v>4454</v>
      </c>
      <c r="C103" s="5">
        <f>DATE(2012,12,31)-1429</f>
        <v>39845</v>
      </c>
      <c r="D103" s="4" t="s">
        <v>21</v>
      </c>
      <c r="E103" s="4">
        <v>17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spans="1:21" ht="12" customHeight="1">
      <c r="A104" s="4">
        <v>762</v>
      </c>
      <c r="B104" s="4">
        <v>5446</v>
      </c>
      <c r="C104" s="5">
        <f>DATE(2012,12,31)-1290</f>
        <v>39984</v>
      </c>
      <c r="D104" s="4" t="s">
        <v>21</v>
      </c>
      <c r="E104" s="4">
        <v>42</v>
      </c>
      <c r="F104" s="4">
        <v>433.68</v>
      </c>
      <c r="G104" s="4">
        <v>7.0000000000000007E-2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spans="1:21" ht="12" customHeight="1">
      <c r="A105" s="4">
        <v>1225</v>
      </c>
      <c r="B105" s="4">
        <v>8994</v>
      </c>
      <c r="C105" s="5">
        <f>DATE(2012,12,31)-1364</f>
        <v>39910</v>
      </c>
      <c r="D105" s="4" t="s">
        <v>21</v>
      </c>
      <c r="E105" s="4">
        <v>36</v>
      </c>
      <c r="F105" s="4">
        <v>1423.35</v>
      </c>
      <c r="G105" s="4">
        <v>0.1</v>
      </c>
      <c r="H105" s="4" t="s">
        <v>22</v>
      </c>
      <c r="I105" s="6">
        <v>-580.32000000000005</v>
      </c>
      <c r="J105" s="4">
        <v>40.479999999999997</v>
      </c>
      <c r="K105" s="4">
        <v>19.989999999999998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spans="1:21" ht="12" customHeight="1">
      <c r="A106" s="4">
        <v>1501</v>
      </c>
      <c r="B106" s="4">
        <v>10851</v>
      </c>
      <c r="C106" s="5">
        <f>DATE(2012,12,31)-1365</f>
        <v>39909</v>
      </c>
      <c r="D106" s="4" t="s">
        <v>30</v>
      </c>
      <c r="E106" s="4">
        <v>50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spans="1:21" ht="12" customHeight="1">
      <c r="A107" s="4">
        <v>1810</v>
      </c>
      <c r="B107" s="4">
        <v>12934</v>
      </c>
      <c r="C107" s="5">
        <f t="shared" ref="C107:C108" si="39">DATE(2012,12,31)-1397</f>
        <v>39877</v>
      </c>
      <c r="D107" s="4" t="s">
        <v>45</v>
      </c>
      <c r="E107" s="4">
        <v>45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9.7799999999999994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0">C107+1</f>
        <v>39878</v>
      </c>
    </row>
    <row r="108" spans="1:21" ht="12" customHeight="1">
      <c r="A108" s="4">
        <v>1811</v>
      </c>
      <c r="B108" s="4">
        <v>12934</v>
      </c>
      <c r="C108" s="5">
        <f t="shared" si="39"/>
        <v>39877</v>
      </c>
      <c r="D108" s="4" t="s">
        <v>45</v>
      </c>
      <c r="E108" s="4">
        <v>27</v>
      </c>
      <c r="F108" s="4">
        <v>96.99</v>
      </c>
      <c r="G108" s="4">
        <v>0.02</v>
      </c>
      <c r="H108" s="4" t="s">
        <v>56</v>
      </c>
      <c r="I108" s="6">
        <v>-66.349999999999994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0.56000000000000005</v>
      </c>
      <c r="U108" s="5">
        <f t="shared" si="40"/>
        <v>39878</v>
      </c>
    </row>
    <row r="109" spans="1:21" ht="12" customHeight="1">
      <c r="A109" s="4">
        <v>1826</v>
      </c>
      <c r="B109" s="4">
        <v>13120</v>
      </c>
      <c r="C109" s="5">
        <f t="shared" ref="C109:C110" si="41">DATE(2012,12,31)-1113</f>
        <v>40161</v>
      </c>
      <c r="D109" s="4" t="s">
        <v>21</v>
      </c>
      <c r="E109" s="4">
        <v>46</v>
      </c>
      <c r="F109" s="4">
        <v>590.42999999999995</v>
      </c>
      <c r="G109" s="4">
        <v>0.09</v>
      </c>
      <c r="H109" s="4" t="s">
        <v>22</v>
      </c>
      <c r="I109" s="6">
        <v>82.594499999999996</v>
      </c>
      <c r="J109" s="4">
        <v>12.95</v>
      </c>
      <c r="K109" s="4">
        <v>4.9800000000000004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spans="1:21" ht="12" customHeight="1">
      <c r="A110" s="4">
        <v>1827</v>
      </c>
      <c r="B110" s="4">
        <v>13120</v>
      </c>
      <c r="C110" s="5">
        <f t="shared" si="41"/>
        <v>40161</v>
      </c>
      <c r="D110" s="4" t="s">
        <v>21</v>
      </c>
      <c r="E110" s="4">
        <v>8</v>
      </c>
      <c r="F110" s="4">
        <v>216.33</v>
      </c>
      <c r="G110" s="4">
        <v>0</v>
      </c>
      <c r="H110" s="4" t="s">
        <v>22</v>
      </c>
      <c r="I110" s="6">
        <v>-17.364999999999998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spans="1:21" ht="12" customHeight="1">
      <c r="A111" s="4">
        <v>1896</v>
      </c>
      <c r="B111" s="4">
        <v>13604</v>
      </c>
      <c r="C111" s="5">
        <f t="shared" ref="C111:C112" si="42">DATE(2012,12,31)-1428</f>
        <v>39846</v>
      </c>
      <c r="D111" s="4" t="s">
        <v>45</v>
      </c>
      <c r="E111" s="4">
        <v>38</v>
      </c>
      <c r="F111" s="4">
        <v>3152.75</v>
      </c>
      <c r="G111" s="4">
        <v>0.04</v>
      </c>
      <c r="H111" s="4" t="s">
        <v>22</v>
      </c>
      <c r="I111" s="6">
        <v>1166.4000000000001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spans="1:21" ht="12" customHeight="1">
      <c r="A112" s="4">
        <v>1897</v>
      </c>
      <c r="B112" s="4">
        <v>13604</v>
      </c>
      <c r="C112" s="5">
        <f t="shared" si="42"/>
        <v>39846</v>
      </c>
      <c r="D112" s="4" t="s">
        <v>45</v>
      </c>
      <c r="E112" s="4">
        <v>42</v>
      </c>
      <c r="F112" s="4">
        <v>3609.88</v>
      </c>
      <c r="G112" s="4">
        <v>7.0000000000000007E-2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spans="1:21" ht="12" customHeight="1">
      <c r="A113" s="4">
        <v>1947</v>
      </c>
      <c r="B113" s="4">
        <v>13927</v>
      </c>
      <c r="C113" s="5">
        <f>DATE(2012,12,31)-1223</f>
        <v>40051</v>
      </c>
      <c r="D113" s="4" t="s">
        <v>21</v>
      </c>
      <c r="E113" s="4">
        <v>26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spans="1:21" ht="12" customHeight="1">
      <c r="A114" s="4">
        <v>2124</v>
      </c>
      <c r="B114" s="4">
        <v>15139</v>
      </c>
      <c r="C114" s="5">
        <f t="shared" ref="C114:C115" si="43">DATE(2012,12,31)-1138</f>
        <v>40136</v>
      </c>
      <c r="D114" s="4" t="s">
        <v>30</v>
      </c>
      <c r="E114" s="4">
        <v>17</v>
      </c>
      <c r="F114" s="4">
        <v>5203.8999999999996</v>
      </c>
      <c r="G114" s="4">
        <v>7.0000000000000007E-2</v>
      </c>
      <c r="H114" s="4" t="s">
        <v>31</v>
      </c>
      <c r="I114" s="6">
        <v>636.20000000000005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0.56000000000000005</v>
      </c>
      <c r="U114" s="5">
        <f>C114+2</f>
        <v>40138</v>
      </c>
    </row>
    <row r="115" spans="1:21" ht="12" customHeight="1">
      <c r="A115" s="4">
        <v>2125</v>
      </c>
      <c r="B115" s="4">
        <v>15139</v>
      </c>
      <c r="C115" s="5">
        <f t="shared" si="43"/>
        <v>40136</v>
      </c>
      <c r="D115" s="4" t="s">
        <v>30</v>
      </c>
      <c r="E115" s="4">
        <v>33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spans="1:21" ht="12" customHeight="1">
      <c r="A116" s="4">
        <v>2278</v>
      </c>
      <c r="B116" s="4">
        <v>16419</v>
      </c>
      <c r="C116" s="5">
        <f>DATE(2012,12,31)-1245</f>
        <v>40029</v>
      </c>
      <c r="D116" s="4" t="s">
        <v>45</v>
      </c>
      <c r="E116" s="4">
        <v>43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spans="1:21" ht="12" customHeight="1">
      <c r="A117" s="4">
        <v>2391</v>
      </c>
      <c r="B117" s="4">
        <v>17315</v>
      </c>
      <c r="C117" s="5">
        <f>DATE(2012,12,31)-1349</f>
        <v>39925</v>
      </c>
      <c r="D117" s="4" t="s">
        <v>21</v>
      </c>
      <c r="E117" s="4">
        <v>29</v>
      </c>
      <c r="F117" s="4">
        <v>159.11000000000001</v>
      </c>
      <c r="G117" s="4">
        <v>7.0000000000000007E-2</v>
      </c>
      <c r="H117" s="4" t="s">
        <v>22</v>
      </c>
      <c r="I117" s="6">
        <v>64.010000000000005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spans="1:21" ht="12" customHeight="1">
      <c r="A118" s="4">
        <v>2600</v>
      </c>
      <c r="B118" s="4">
        <v>18788</v>
      </c>
      <c r="C118" s="5">
        <f>DATE(2012,12,31)-1186</f>
        <v>40088</v>
      </c>
      <c r="D118" s="4" t="s">
        <v>45</v>
      </c>
      <c r="E118" s="4">
        <v>27</v>
      </c>
      <c r="F118" s="4">
        <v>566.12</v>
      </c>
      <c r="G118" s="4">
        <v>0.03</v>
      </c>
      <c r="H118" s="4" t="s">
        <v>22</v>
      </c>
      <c r="I118" s="6">
        <v>-19.329999999999998</v>
      </c>
      <c r="J118" s="4">
        <v>19.989999999999998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4">C118+1</f>
        <v>40089</v>
      </c>
    </row>
    <row r="119" spans="1:21" ht="12" customHeight="1">
      <c r="A119" s="4">
        <v>2628</v>
      </c>
      <c r="B119" s="4">
        <v>19042</v>
      </c>
      <c r="C119" s="5">
        <f>DATE(2012,12,31)-1401</f>
        <v>39873</v>
      </c>
      <c r="D119" s="4" t="s">
        <v>78</v>
      </c>
      <c r="E119" s="4">
        <v>8</v>
      </c>
      <c r="F119" s="4">
        <v>327.61</v>
      </c>
      <c r="G119" s="4">
        <v>7.0000000000000007E-2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4"/>
        <v>39874</v>
      </c>
    </row>
    <row r="120" spans="1:21" ht="12" customHeight="1">
      <c r="A120" s="4">
        <v>2633</v>
      </c>
      <c r="B120" s="4">
        <v>19073</v>
      </c>
      <c r="C120" s="5">
        <f t="shared" ref="C120:C121" si="45">DATE(2012,12,31)-1286</f>
        <v>39988</v>
      </c>
      <c r="D120" s="4" t="s">
        <v>45</v>
      </c>
      <c r="E120" s="4">
        <v>16</v>
      </c>
      <c r="F120" s="4">
        <v>178.4</v>
      </c>
      <c r="G120" s="4">
        <v>0.04</v>
      </c>
      <c r="H120" s="4" t="s">
        <v>22</v>
      </c>
      <c r="I120" s="6">
        <v>20.079999999999998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0.56999999999999995</v>
      </c>
      <c r="U120" s="5">
        <f t="shared" si="44"/>
        <v>39989</v>
      </c>
    </row>
    <row r="121" spans="1:21" ht="12" customHeight="1">
      <c r="A121" s="4">
        <v>2634</v>
      </c>
      <c r="B121" s="4">
        <v>19073</v>
      </c>
      <c r="C121" s="5">
        <f t="shared" si="45"/>
        <v>39988</v>
      </c>
      <c r="D121" s="4" t="s">
        <v>45</v>
      </c>
      <c r="E121" s="4">
        <v>40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spans="1:21" ht="12" customHeight="1">
      <c r="A122" s="4">
        <v>3163</v>
      </c>
      <c r="B122" s="4">
        <v>22695</v>
      </c>
      <c r="C122" s="5">
        <f>DATE(2012,12,31)-1277</f>
        <v>39997</v>
      </c>
      <c r="D122" s="4" t="s">
        <v>21</v>
      </c>
      <c r="E122" s="4">
        <v>44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spans="1:21" ht="12" customHeight="1">
      <c r="A123" s="4">
        <v>3214</v>
      </c>
      <c r="B123" s="4">
        <v>23076</v>
      </c>
      <c r="C123" s="5">
        <f>DATE(2012,12,31)-1314</f>
        <v>39960</v>
      </c>
      <c r="D123" s="4" t="s">
        <v>78</v>
      </c>
      <c r="E123" s="4">
        <v>50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spans="1:21" ht="12" customHeight="1">
      <c r="A124" s="4">
        <v>3662</v>
      </c>
      <c r="B124" s="4">
        <v>26240</v>
      </c>
      <c r="C124" s="5">
        <f t="shared" ref="C124:C125" si="46">DATE(2012,12,31)-1108</f>
        <v>40166</v>
      </c>
      <c r="D124" s="4" t="s">
        <v>78</v>
      </c>
      <c r="E124" s="4">
        <v>38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39.479999999999997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spans="1:21" ht="12" customHeight="1">
      <c r="A125" s="4">
        <v>3663</v>
      </c>
      <c r="B125" s="4">
        <v>26240</v>
      </c>
      <c r="C125" s="5">
        <f t="shared" si="46"/>
        <v>40166</v>
      </c>
      <c r="D125" s="4" t="s">
        <v>78</v>
      </c>
      <c r="E125" s="4">
        <v>39</v>
      </c>
      <c r="F125" s="4">
        <v>145.68</v>
      </c>
      <c r="G125" s="4">
        <v>0.04</v>
      </c>
      <c r="H125" s="4" t="s">
        <v>22</v>
      </c>
      <c r="I125" s="6">
        <v>12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spans="1:21" ht="12" customHeight="1">
      <c r="A126" s="4">
        <v>4125</v>
      </c>
      <c r="B126" s="4">
        <v>29319</v>
      </c>
      <c r="C126" s="5">
        <f t="shared" ref="C126:C127" si="47">DATE(2012,12,31)-1437</f>
        <v>39837</v>
      </c>
      <c r="D126" s="4" t="s">
        <v>21</v>
      </c>
      <c r="E126" s="4">
        <v>30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8">C126+2</f>
        <v>39839</v>
      </c>
    </row>
    <row r="127" spans="1:21" ht="12" customHeight="1">
      <c r="A127" s="4">
        <v>4126</v>
      </c>
      <c r="B127" s="4">
        <v>29319</v>
      </c>
      <c r="C127" s="5">
        <f t="shared" si="47"/>
        <v>39837</v>
      </c>
      <c r="D127" s="4" t="s">
        <v>21</v>
      </c>
      <c r="E127" s="4">
        <v>21</v>
      </c>
      <c r="F127" s="4">
        <v>4429.6899999999996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8"/>
        <v>39839</v>
      </c>
    </row>
    <row r="128" spans="1:21" ht="12" customHeight="1">
      <c r="A128" s="4">
        <v>4528</v>
      </c>
      <c r="B128" s="4">
        <v>32199</v>
      </c>
      <c r="C128" s="5">
        <f t="shared" ref="C128:C130" si="49">DATE(2012,12,31)-1265</f>
        <v>40009</v>
      </c>
      <c r="D128" s="4" t="s">
        <v>30</v>
      </c>
      <c r="E128" s="4">
        <v>40</v>
      </c>
      <c r="F128" s="4">
        <v>196.5</v>
      </c>
      <c r="G128" s="4">
        <v>0.08</v>
      </c>
      <c r="H128" s="4" t="s">
        <v>22</v>
      </c>
      <c r="I128" s="6">
        <v>-99.762500000000003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0">C128+1</f>
        <v>40010</v>
      </c>
    </row>
    <row r="129" spans="1:21" ht="12" customHeight="1">
      <c r="A129" s="4">
        <v>4529</v>
      </c>
      <c r="B129" s="4">
        <v>32199</v>
      </c>
      <c r="C129" s="5">
        <f t="shared" si="49"/>
        <v>40009</v>
      </c>
      <c r="D129" s="4" t="s">
        <v>30</v>
      </c>
      <c r="E129" s="4">
        <v>1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0"/>
        <v>40010</v>
      </c>
    </row>
    <row r="130" spans="1:21" ht="12" customHeight="1">
      <c r="A130" s="4">
        <v>4530</v>
      </c>
      <c r="B130" s="4">
        <v>32199</v>
      </c>
      <c r="C130" s="5">
        <f t="shared" si="49"/>
        <v>40009</v>
      </c>
      <c r="D130" s="4" t="s">
        <v>30</v>
      </c>
      <c r="E130" s="4">
        <v>8</v>
      </c>
      <c r="F130" s="4">
        <v>46.97</v>
      </c>
      <c r="G130" s="4">
        <v>0.03</v>
      </c>
      <c r="H130" s="4" t="s">
        <v>22</v>
      </c>
      <c r="I130" s="6">
        <v>-9.9999999999997868E-3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0.55000000000000004</v>
      </c>
      <c r="U130" s="5">
        <f>C130+2</f>
        <v>40011</v>
      </c>
    </row>
    <row r="131" spans="1:21" ht="12" customHeight="1">
      <c r="A131" s="4">
        <v>4594</v>
      </c>
      <c r="B131" s="4">
        <v>32676</v>
      </c>
      <c r="C131" s="5">
        <f>DATE(2012,12,31)-1429</f>
        <v>39845</v>
      </c>
      <c r="D131" s="4" t="s">
        <v>78</v>
      </c>
      <c r="E131" s="4">
        <v>37</v>
      </c>
      <c r="F131" s="4">
        <v>1697.44</v>
      </c>
      <c r="G131" s="4">
        <v>0.06</v>
      </c>
      <c r="H131" s="4" t="s">
        <v>22</v>
      </c>
      <c r="I131" s="6">
        <v>523.42999999999995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0.55000000000000004</v>
      </c>
      <c r="U131" s="5">
        <f>C131+3</f>
        <v>39848</v>
      </c>
    </row>
    <row r="132" spans="1:21" ht="12" customHeight="1">
      <c r="A132" s="4">
        <v>4613</v>
      </c>
      <c r="B132" s="4">
        <v>32869</v>
      </c>
      <c r="C132" s="5">
        <f t="shared" ref="C132:C135" si="51">DATE(2012,12,31)-1375</f>
        <v>39899</v>
      </c>
      <c r="D132" s="4" t="s">
        <v>63</v>
      </c>
      <c r="E132" s="4">
        <v>41</v>
      </c>
      <c r="F132" s="4">
        <v>322.02999999999997</v>
      </c>
      <c r="G132" s="4">
        <v>0.06</v>
      </c>
      <c r="H132" s="4" t="s">
        <v>22</v>
      </c>
      <c r="I132" s="6">
        <v>-82.83</v>
      </c>
      <c r="J132" s="4">
        <v>8.1199999999999992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2">C132+1</f>
        <v>39900</v>
      </c>
    </row>
    <row r="133" spans="1:21" ht="12" customHeight="1">
      <c r="A133" s="4">
        <v>4614</v>
      </c>
      <c r="B133" s="4">
        <v>32869</v>
      </c>
      <c r="C133" s="5">
        <f t="shared" si="51"/>
        <v>39899</v>
      </c>
      <c r="D133" s="4" t="s">
        <v>63</v>
      </c>
      <c r="E133" s="4">
        <v>49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2"/>
        <v>39900</v>
      </c>
    </row>
    <row r="134" spans="1:21" ht="12" customHeight="1">
      <c r="A134" s="4">
        <v>4615</v>
      </c>
      <c r="B134" s="4">
        <v>32869</v>
      </c>
      <c r="C134" s="5">
        <f t="shared" si="51"/>
        <v>39899</v>
      </c>
      <c r="D134" s="4" t="s">
        <v>63</v>
      </c>
      <c r="E134" s="4">
        <v>2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2"/>
        <v>39900</v>
      </c>
    </row>
    <row r="135" spans="1:21" ht="12" customHeight="1">
      <c r="A135" s="4">
        <v>4616</v>
      </c>
      <c r="B135" s="4">
        <v>32869</v>
      </c>
      <c r="C135" s="5">
        <f t="shared" si="51"/>
        <v>39899</v>
      </c>
      <c r="D135" s="4" t="s">
        <v>63</v>
      </c>
      <c r="E135" s="4">
        <v>39</v>
      </c>
      <c r="F135" s="4">
        <v>5250.6624999999995</v>
      </c>
      <c r="G135" s="4">
        <v>0.1</v>
      </c>
      <c r="H135" s="4" t="s">
        <v>22</v>
      </c>
      <c r="I135" s="6">
        <v>930.98700000000008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0.56999999999999995</v>
      </c>
      <c r="U135" s="5">
        <f t="shared" si="52"/>
        <v>39900</v>
      </c>
    </row>
    <row r="136" spans="1:21" ht="12" customHeight="1">
      <c r="A136" s="4">
        <v>4823</v>
      </c>
      <c r="B136" s="4">
        <v>34275</v>
      </c>
      <c r="C136" s="5">
        <f>DATE(2012,12,31)-1279</f>
        <v>39995</v>
      </c>
      <c r="D136" s="4" t="s">
        <v>21</v>
      </c>
      <c r="E136" s="4">
        <v>27</v>
      </c>
      <c r="F136" s="4">
        <v>123.46</v>
      </c>
      <c r="G136" s="4">
        <v>7.0000000000000007E-2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spans="1:21" ht="12" customHeight="1">
      <c r="A137" s="4">
        <v>4901</v>
      </c>
      <c r="B137" s="4">
        <v>34880</v>
      </c>
      <c r="C137" s="5">
        <f>DATE(2012,12,31)-1202</f>
        <v>40072</v>
      </c>
      <c r="D137" s="4" t="s">
        <v>30</v>
      </c>
      <c r="E137" s="4">
        <v>44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spans="1:21" ht="12" customHeight="1">
      <c r="A138" s="4">
        <v>4996</v>
      </c>
      <c r="B138" s="4">
        <v>35558</v>
      </c>
      <c r="C138" s="5">
        <f>DATE(2012,12,31)-1203</f>
        <v>40071</v>
      </c>
      <c r="D138" s="4" t="s">
        <v>78</v>
      </c>
      <c r="E138" s="4">
        <v>2</v>
      </c>
      <c r="F138" s="4">
        <v>34.880000000000003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8.7799999999999994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3">C138+2</f>
        <v>40073</v>
      </c>
    </row>
    <row r="139" spans="1:21" ht="12" customHeight="1">
      <c r="A139" s="4">
        <v>5147</v>
      </c>
      <c r="B139" s="4">
        <v>36677</v>
      </c>
      <c r="C139" s="5">
        <f>DATE(2012,12,31)-1104</f>
        <v>40170</v>
      </c>
      <c r="D139" s="4" t="s">
        <v>21</v>
      </c>
      <c r="E139" s="4">
        <v>38</v>
      </c>
      <c r="F139" s="4">
        <v>23255.61</v>
      </c>
      <c r="G139" s="4">
        <v>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3"/>
        <v>40172</v>
      </c>
    </row>
    <row r="140" spans="1:21" ht="12" customHeight="1">
      <c r="A140" s="4">
        <v>5329</v>
      </c>
      <c r="B140" s="4">
        <v>37888</v>
      </c>
      <c r="C140" s="5">
        <f>DATE(2012,12,31)-1105</f>
        <v>40169</v>
      </c>
      <c r="D140" s="4" t="s">
        <v>78</v>
      </c>
      <c r="E140" s="4">
        <v>31</v>
      </c>
      <c r="F140" s="4">
        <v>639.19000000000005</v>
      </c>
      <c r="G140" s="4">
        <v>0.09</v>
      </c>
      <c r="H140" s="4" t="s">
        <v>22</v>
      </c>
      <c r="I140" s="6">
        <v>274.89850000000001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3"/>
        <v>40171</v>
      </c>
    </row>
    <row r="141" spans="1:21" ht="12" customHeight="1">
      <c r="A141" s="4">
        <v>5750</v>
      </c>
      <c r="B141" s="4">
        <v>40835</v>
      </c>
      <c r="C141" s="5">
        <f t="shared" ref="C141:C143" si="54">DATE(2012,12,31)-1133</f>
        <v>40141</v>
      </c>
      <c r="D141" s="4" t="s">
        <v>30</v>
      </c>
      <c r="E141" s="4">
        <v>26</v>
      </c>
      <c r="F141" s="4">
        <v>393.59</v>
      </c>
      <c r="G141" s="4">
        <v>0.06</v>
      </c>
      <c r="H141" s="4" t="s">
        <v>22</v>
      </c>
      <c r="I141" s="6">
        <v>-8.0845000000000002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3"/>
        <v>40143</v>
      </c>
    </row>
    <row r="142" spans="1:21" ht="12" customHeight="1">
      <c r="A142" s="4">
        <v>5751</v>
      </c>
      <c r="B142" s="4">
        <v>40835</v>
      </c>
      <c r="C142" s="5">
        <f t="shared" si="54"/>
        <v>40141</v>
      </c>
      <c r="D142" s="4" t="s">
        <v>30</v>
      </c>
      <c r="E142" s="4">
        <v>14</v>
      </c>
      <c r="F142" s="4">
        <v>551.17999999999995</v>
      </c>
      <c r="G142" s="4">
        <v>0.09</v>
      </c>
      <c r="H142" s="4" t="s">
        <v>22</v>
      </c>
      <c r="I142" s="6">
        <v>-326.97000000000003</v>
      </c>
      <c r="J142" s="4">
        <v>40.479999999999997</v>
      </c>
      <c r="K142" s="4">
        <v>19.989999999999998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3"/>
        <v>40143</v>
      </c>
    </row>
    <row r="143" spans="1:21" ht="12" customHeight="1">
      <c r="A143" s="4">
        <v>5752</v>
      </c>
      <c r="B143" s="4">
        <v>40835</v>
      </c>
      <c r="C143" s="5">
        <f t="shared" si="54"/>
        <v>40141</v>
      </c>
      <c r="D143" s="4" t="s">
        <v>30</v>
      </c>
      <c r="E143" s="4">
        <v>1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0.56999999999999995</v>
      </c>
      <c r="U143" s="5">
        <f>C143+1</f>
        <v>40142</v>
      </c>
    </row>
    <row r="144" spans="1:21" ht="12" customHeight="1">
      <c r="A144" s="4">
        <v>6270</v>
      </c>
      <c r="B144" s="4">
        <v>44387</v>
      </c>
      <c r="C144" s="5">
        <f t="shared" ref="C144:C145" si="55">DATE(2012,12,31)-1426</f>
        <v>39848</v>
      </c>
      <c r="D144" s="4" t="s">
        <v>21</v>
      </c>
      <c r="E144" s="4">
        <v>50</v>
      </c>
      <c r="F144" s="4">
        <v>1441.57</v>
      </c>
      <c r="G144" s="4">
        <v>7.0000000000000007E-2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spans="1:21" ht="12" customHeight="1">
      <c r="A145" s="4">
        <v>6271</v>
      </c>
      <c r="B145" s="4">
        <v>44387</v>
      </c>
      <c r="C145" s="5">
        <f t="shared" si="55"/>
        <v>39848</v>
      </c>
      <c r="D145" s="4" t="s">
        <v>21</v>
      </c>
      <c r="E145" s="4">
        <v>20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spans="1:21" ht="12" customHeight="1">
      <c r="A146" s="4">
        <v>6295</v>
      </c>
      <c r="B146" s="4">
        <v>44576</v>
      </c>
      <c r="C146" s="5">
        <f>DATE(2012,12,31)-1102</f>
        <v>40172</v>
      </c>
      <c r="D146" s="4" t="s">
        <v>45</v>
      </c>
      <c r="E146" s="4">
        <v>38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spans="1:21" ht="12" customHeight="1">
      <c r="A147" s="4">
        <v>6480</v>
      </c>
      <c r="B147" s="4">
        <v>46119</v>
      </c>
      <c r="C147" s="5">
        <f t="shared" ref="C147:C149" si="56">DATE(2012,12,31)-1415</f>
        <v>39859</v>
      </c>
      <c r="D147" s="4" t="s">
        <v>78</v>
      </c>
      <c r="E147" s="4">
        <v>23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7">C147+2</f>
        <v>39861</v>
      </c>
    </row>
    <row r="148" spans="1:21" ht="12" customHeight="1">
      <c r="A148" s="4">
        <v>6481</v>
      </c>
      <c r="B148" s="4">
        <v>46119</v>
      </c>
      <c r="C148" s="5">
        <f t="shared" si="56"/>
        <v>39859</v>
      </c>
      <c r="D148" s="4" t="s">
        <v>78</v>
      </c>
      <c r="E148" s="4">
        <v>20</v>
      </c>
      <c r="F148" s="4">
        <v>154.13</v>
      </c>
      <c r="G148" s="4">
        <v>7.0000000000000007E-2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7"/>
        <v>39861</v>
      </c>
    </row>
    <row r="149" spans="1:21" ht="12" customHeight="1">
      <c r="A149" s="4">
        <v>6482</v>
      </c>
      <c r="B149" s="4">
        <v>46119</v>
      </c>
      <c r="C149" s="5">
        <f t="shared" si="56"/>
        <v>39859</v>
      </c>
      <c r="D149" s="4" t="s">
        <v>78</v>
      </c>
      <c r="E149" s="4">
        <v>46</v>
      </c>
      <c r="F149" s="4">
        <v>18824.419999999998</v>
      </c>
      <c r="G149" s="4">
        <v>7.0000000000000007E-2</v>
      </c>
      <c r="H149" s="4" t="s">
        <v>31</v>
      </c>
      <c r="I149" s="6">
        <v>-575.35199999999998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spans="1:21" ht="12" customHeight="1">
      <c r="A150" s="4">
        <v>6574</v>
      </c>
      <c r="B150" s="4">
        <v>46756</v>
      </c>
      <c r="C150" s="5">
        <f>DATE(2012,12,31)-1177</f>
        <v>40097</v>
      </c>
      <c r="D150" s="4" t="s">
        <v>63</v>
      </c>
      <c r="E150" s="4">
        <v>3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8">C150+2</f>
        <v>40099</v>
      </c>
    </row>
    <row r="151" spans="1:21" ht="12" customHeight="1">
      <c r="A151" s="4">
        <v>6722</v>
      </c>
      <c r="B151" s="4">
        <v>47876</v>
      </c>
      <c r="C151" s="5">
        <f>DATE(2012,12,31)-1102</f>
        <v>40172</v>
      </c>
      <c r="D151" s="4" t="s">
        <v>30</v>
      </c>
      <c r="E151" s="4">
        <v>8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5.0999999999999996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8"/>
        <v>40174</v>
      </c>
    </row>
    <row r="152" spans="1:21" ht="12" customHeight="1">
      <c r="A152" s="4">
        <v>6772</v>
      </c>
      <c r="B152" s="4">
        <v>48199</v>
      </c>
      <c r="C152" s="5">
        <f>DATE(2012,12,31)-1443</f>
        <v>39831</v>
      </c>
      <c r="D152" s="4" t="s">
        <v>45</v>
      </c>
      <c r="E152" s="4">
        <v>47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spans="1:21" ht="12" customHeight="1">
      <c r="A153" s="4">
        <v>6899</v>
      </c>
      <c r="B153" s="4">
        <v>49216</v>
      </c>
      <c r="C153" s="5">
        <f t="shared" ref="C153:C155" si="59">DATE(2012,12,31)-1383</f>
        <v>39891</v>
      </c>
      <c r="D153" s="4" t="s">
        <v>30</v>
      </c>
      <c r="E153" s="4">
        <v>11</v>
      </c>
      <c r="F153" s="4">
        <v>259.69</v>
      </c>
      <c r="G153" s="4">
        <v>0.1</v>
      </c>
      <c r="H153" s="4" t="s">
        <v>22</v>
      </c>
      <c r="I153" s="6">
        <v>-45.816000000000003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0">C153+0</f>
        <v>39891</v>
      </c>
    </row>
    <row r="154" spans="1:21" ht="12" customHeight="1">
      <c r="A154" s="4">
        <v>6900</v>
      </c>
      <c r="B154" s="4">
        <v>49216</v>
      </c>
      <c r="C154" s="5">
        <f t="shared" si="59"/>
        <v>39891</v>
      </c>
      <c r="D154" s="4" t="s">
        <v>30</v>
      </c>
      <c r="E154" s="4">
        <v>9</v>
      </c>
      <c r="F154" s="4">
        <v>2503.86</v>
      </c>
      <c r="G154" s="4">
        <v>0.06</v>
      </c>
      <c r="H154" s="4" t="s">
        <v>31</v>
      </c>
      <c r="I154" s="6">
        <v>-172.47749999999999</v>
      </c>
      <c r="J154" s="4">
        <v>270.97000000000003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0.56000000000000005</v>
      </c>
      <c r="U154" s="5">
        <f t="shared" si="60"/>
        <v>39891</v>
      </c>
    </row>
    <row r="155" spans="1:21" ht="12" customHeight="1">
      <c r="A155" s="4">
        <v>6901</v>
      </c>
      <c r="B155" s="4">
        <v>49216</v>
      </c>
      <c r="C155" s="5">
        <f t="shared" si="59"/>
        <v>39891</v>
      </c>
      <c r="D155" s="4" t="s">
        <v>30</v>
      </c>
      <c r="E155" s="4">
        <v>29</v>
      </c>
      <c r="F155" s="4">
        <v>374.67</v>
      </c>
      <c r="G155" s="4">
        <v>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spans="1:21" ht="12" customHeight="1">
      <c r="A156" s="4">
        <v>7005</v>
      </c>
      <c r="B156" s="4">
        <v>49990</v>
      </c>
      <c r="C156" s="5">
        <f>DATE(2012,12,31)-1213</f>
        <v>40061</v>
      </c>
      <c r="D156" s="4" t="s">
        <v>45</v>
      </c>
      <c r="E156" s="4">
        <v>11</v>
      </c>
      <c r="F156" s="4">
        <v>5155.3500000000004</v>
      </c>
      <c r="G156" s="4">
        <v>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0.56000000000000005</v>
      </c>
      <c r="U156" s="5">
        <f>C156+0</f>
        <v>40061</v>
      </c>
    </row>
    <row r="157" spans="1:21" ht="12" customHeight="1">
      <c r="A157" s="4">
        <v>7018</v>
      </c>
      <c r="B157" s="4">
        <v>50081</v>
      </c>
      <c r="C157" s="5">
        <f>DATE(2012,12,31)-1154</f>
        <v>40120</v>
      </c>
      <c r="D157" s="4" t="s">
        <v>45</v>
      </c>
      <c r="E157" s="4">
        <v>7</v>
      </c>
      <c r="F157" s="4">
        <v>538.51</v>
      </c>
      <c r="G157" s="4">
        <v>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spans="1:21" ht="12" customHeight="1">
      <c r="A158" s="4">
        <v>7128</v>
      </c>
      <c r="B158" s="4">
        <v>50850</v>
      </c>
      <c r="C158" s="5">
        <f t="shared" ref="C158:C159" si="61">DATE(2012,12,31)-1335</f>
        <v>39939</v>
      </c>
      <c r="D158" s="4" t="s">
        <v>78</v>
      </c>
      <c r="E158" s="4">
        <v>37</v>
      </c>
      <c r="F158" s="4">
        <v>1599.54</v>
      </c>
      <c r="G158" s="4">
        <v>0</v>
      </c>
      <c r="H158" s="4" t="s">
        <v>22</v>
      </c>
      <c r="I158" s="6">
        <v>578.14449999999999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spans="1:21" ht="12" customHeight="1">
      <c r="A159" s="4">
        <v>7129</v>
      </c>
      <c r="B159" s="4">
        <v>50850</v>
      </c>
      <c r="C159" s="5">
        <f t="shared" si="61"/>
        <v>39939</v>
      </c>
      <c r="D159" s="4" t="s">
        <v>78</v>
      </c>
      <c r="E159" s="4">
        <v>2</v>
      </c>
      <c r="F159" s="4">
        <v>942.42</v>
      </c>
      <c r="G159" s="4">
        <v>0.02</v>
      </c>
      <c r="H159" s="4" t="s">
        <v>31</v>
      </c>
      <c r="I159" s="6">
        <v>-634.86540000000002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spans="1:21" ht="12" customHeight="1">
      <c r="A160" s="4">
        <v>7480</v>
      </c>
      <c r="B160" s="4">
        <v>53410</v>
      </c>
      <c r="C160" s="5">
        <f>DATE(2012,12,31)-1242</f>
        <v>40032</v>
      </c>
      <c r="D160" s="4" t="s">
        <v>78</v>
      </c>
      <c r="E160" s="4">
        <v>44</v>
      </c>
      <c r="F160" s="4">
        <v>642.79999999999995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2">C160+2</f>
        <v>40034</v>
      </c>
    </row>
    <row r="161" spans="1:21" ht="12" customHeight="1">
      <c r="A161" s="4">
        <v>7497</v>
      </c>
      <c r="B161" s="4">
        <v>53508</v>
      </c>
      <c r="C161" s="5">
        <f t="shared" ref="C161:C163" si="63">DATE(2012,12,31)-1147</f>
        <v>40127</v>
      </c>
      <c r="D161" s="4" t="s">
        <v>30</v>
      </c>
      <c r="E161" s="4">
        <v>13</v>
      </c>
      <c r="F161" s="4">
        <v>1072.22</v>
      </c>
      <c r="G161" s="4">
        <v>0.03</v>
      </c>
      <c r="H161" s="4" t="s">
        <v>22</v>
      </c>
      <c r="I161" s="6">
        <v>149.63999999999999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2"/>
        <v>40129</v>
      </c>
    </row>
    <row r="162" spans="1:21" ht="12" customHeight="1">
      <c r="A162" s="4">
        <v>7498</v>
      </c>
      <c r="B162" s="4">
        <v>53508</v>
      </c>
      <c r="C162" s="5">
        <f t="shared" si="63"/>
        <v>40127</v>
      </c>
      <c r="D162" s="4" t="s">
        <v>30</v>
      </c>
      <c r="E162" s="4">
        <v>25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2"/>
        <v>40129</v>
      </c>
    </row>
    <row r="163" spans="1:21" ht="12" customHeight="1">
      <c r="A163" s="4">
        <v>7499</v>
      </c>
      <c r="B163" s="4">
        <v>53508</v>
      </c>
      <c r="C163" s="5">
        <f t="shared" si="63"/>
        <v>40127</v>
      </c>
      <c r="D163" s="4" t="s">
        <v>30</v>
      </c>
      <c r="E163" s="4">
        <v>4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spans="1:21" ht="12" customHeight="1">
      <c r="A164" s="4">
        <v>7642</v>
      </c>
      <c r="B164" s="4">
        <v>54753</v>
      </c>
      <c r="C164" s="5">
        <f>DATE(2012,12,31)-1353</f>
        <v>39921</v>
      </c>
      <c r="D164" s="4" t="s">
        <v>63</v>
      </c>
      <c r="E164" s="4">
        <v>36</v>
      </c>
      <c r="F164" s="4">
        <v>4711.2440000000006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0.55000000000000004</v>
      </c>
      <c r="U164" s="5">
        <f t="shared" ref="U164:U165" si="64">C164+1</f>
        <v>39922</v>
      </c>
    </row>
    <row r="165" spans="1:21" ht="12" customHeight="1">
      <c r="A165" s="4">
        <v>7690</v>
      </c>
      <c r="B165" s="4">
        <v>55138</v>
      </c>
      <c r="C165" s="5">
        <f>DATE(2012,12,31)-1194</f>
        <v>40080</v>
      </c>
      <c r="D165" s="4" t="s">
        <v>30</v>
      </c>
      <c r="E165" s="4">
        <v>22</v>
      </c>
      <c r="F165" s="4">
        <v>1132.54</v>
      </c>
      <c r="G165" s="4">
        <v>0</v>
      </c>
      <c r="H165" s="4" t="s">
        <v>22</v>
      </c>
      <c r="I165" s="6">
        <v>-628.38</v>
      </c>
      <c r="J165" s="4">
        <v>48.91</v>
      </c>
      <c r="K165" s="4">
        <v>35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4"/>
        <v>40081</v>
      </c>
    </row>
    <row r="166" spans="1:21" ht="12" customHeight="1">
      <c r="A166" s="4">
        <v>7949</v>
      </c>
      <c r="B166" s="4">
        <v>56803</v>
      </c>
      <c r="C166" s="5">
        <f>DATE(2012,12,31)-1117</f>
        <v>40157</v>
      </c>
      <c r="D166" s="4" t="s">
        <v>45</v>
      </c>
      <c r="E166" s="4">
        <v>42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spans="1:21" ht="12" customHeight="1">
      <c r="A167" s="4">
        <v>8056</v>
      </c>
      <c r="B167" s="4">
        <v>57507</v>
      </c>
      <c r="C167" s="5">
        <f>DATE(2012,12,31)-1284</f>
        <v>39990</v>
      </c>
      <c r="D167" s="4" t="s">
        <v>78</v>
      </c>
      <c r="E167" s="4">
        <v>10</v>
      </c>
      <c r="F167" s="4">
        <v>155.44999999999999</v>
      </c>
      <c r="G167" s="4">
        <v>0.03</v>
      </c>
      <c r="H167" s="4" t="s">
        <v>22</v>
      </c>
      <c r="I167" s="6">
        <v>-19.676500000000001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spans="1:21" ht="12" customHeight="1">
      <c r="A168" s="4">
        <v>164</v>
      </c>
      <c r="B168" s="4">
        <v>1028</v>
      </c>
      <c r="C168" s="5">
        <f t="shared" ref="C168:C169" si="65">DATE(2012,12,31)-1456</f>
        <v>39818</v>
      </c>
      <c r="D168" s="4" t="s">
        <v>30</v>
      </c>
      <c r="E168" s="4">
        <v>6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spans="1:21" ht="12" customHeight="1">
      <c r="A169" s="4">
        <v>165</v>
      </c>
      <c r="B169" s="4">
        <v>1028</v>
      </c>
      <c r="C169" s="5">
        <f t="shared" si="65"/>
        <v>39818</v>
      </c>
      <c r="D169" s="4" t="s">
        <v>30</v>
      </c>
      <c r="E169" s="4">
        <v>11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6">C169+2</f>
        <v>39820</v>
      </c>
    </row>
    <row r="170" spans="1:21" ht="12" customHeight="1">
      <c r="A170" s="4">
        <v>199</v>
      </c>
      <c r="B170" s="4">
        <v>1314</v>
      </c>
      <c r="C170" s="5">
        <f>DATE(2012,12,31)-1329</f>
        <v>39945</v>
      </c>
      <c r="D170" s="4" t="s">
        <v>63</v>
      </c>
      <c r="E170" s="4">
        <v>4</v>
      </c>
      <c r="F170" s="4">
        <v>42.58</v>
      </c>
      <c r="G170" s="4">
        <v>0</v>
      </c>
      <c r="H170" s="4" t="s">
        <v>22</v>
      </c>
      <c r="I170" s="6">
        <v>-7.61</v>
      </c>
      <c r="J170" s="4">
        <v>9.27</v>
      </c>
      <c r="K170" s="4">
        <v>4.3899999999999997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6"/>
        <v>39947</v>
      </c>
    </row>
    <row r="171" spans="1:21" ht="12" customHeight="1">
      <c r="A171" s="4">
        <v>361</v>
      </c>
      <c r="B171" s="4">
        <v>2530</v>
      </c>
      <c r="C171" s="5">
        <f>DATE(2012,12,31)-1382</f>
        <v>39892</v>
      </c>
      <c r="D171" s="4" t="s">
        <v>63</v>
      </c>
      <c r="E171" s="4">
        <v>9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6"/>
        <v>39894</v>
      </c>
    </row>
    <row r="172" spans="1:21" ht="12" customHeight="1">
      <c r="A172" s="4">
        <v>895</v>
      </c>
      <c r="B172" s="4">
        <v>6434</v>
      </c>
      <c r="C172" s="5">
        <f>DATE(2012,12,31)-1303</f>
        <v>39971</v>
      </c>
      <c r="D172" s="4" t="s">
        <v>30</v>
      </c>
      <c r="E172" s="4">
        <v>13</v>
      </c>
      <c r="F172" s="4">
        <v>59.58</v>
      </c>
      <c r="G172" s="4">
        <v>7.0000000000000007E-2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spans="1:21" ht="12" customHeight="1">
      <c r="A173" s="4">
        <v>989</v>
      </c>
      <c r="B173" s="4">
        <v>7136</v>
      </c>
      <c r="C173" s="5">
        <f t="shared" ref="C173:C174" si="67">DATE(2012,12,31)-1380</f>
        <v>39894</v>
      </c>
      <c r="D173" s="4" t="s">
        <v>30</v>
      </c>
      <c r="E173" s="4">
        <v>17</v>
      </c>
      <c r="F173" s="4">
        <v>642.9</v>
      </c>
      <c r="G173" s="4">
        <v>7.0000000000000007E-2</v>
      </c>
      <c r="H173" s="4" t="s">
        <v>22</v>
      </c>
      <c r="I173" s="6">
        <v>88.72</v>
      </c>
      <c r="J173" s="4">
        <v>39.479999999999997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8">C173+2</f>
        <v>39896</v>
      </c>
    </row>
    <row r="174" spans="1:21" ht="12" customHeight="1">
      <c r="A174" s="4">
        <v>990</v>
      </c>
      <c r="B174" s="4">
        <v>7136</v>
      </c>
      <c r="C174" s="5">
        <f t="shared" si="67"/>
        <v>39894</v>
      </c>
      <c r="D174" s="4" t="s">
        <v>30</v>
      </c>
      <c r="E174" s="4">
        <v>9</v>
      </c>
      <c r="F174" s="4">
        <v>47.28</v>
      </c>
      <c r="G174" s="4">
        <v>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8"/>
        <v>39896</v>
      </c>
    </row>
    <row r="175" spans="1:21" ht="12" customHeight="1">
      <c r="A175" s="4">
        <v>1423</v>
      </c>
      <c r="B175" s="4">
        <v>10310</v>
      </c>
      <c r="C175" s="5">
        <f t="shared" ref="C175:C176" si="69">DATE(2012,12,31)-1425</f>
        <v>39849</v>
      </c>
      <c r="D175" s="4" t="s">
        <v>21</v>
      </c>
      <c r="E175" s="4">
        <v>48</v>
      </c>
      <c r="F175" s="4">
        <v>139.86000000000001</v>
      </c>
      <c r="G175" s="4">
        <v>7.0000000000000007E-2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0.55000000000000004</v>
      </c>
      <c r="U175" s="5">
        <f>C175+4</f>
        <v>39853</v>
      </c>
    </row>
    <row r="176" spans="1:21" ht="12" customHeight="1">
      <c r="A176" s="4">
        <v>1424</v>
      </c>
      <c r="B176" s="4">
        <v>10310</v>
      </c>
      <c r="C176" s="5">
        <f t="shared" si="69"/>
        <v>39849</v>
      </c>
      <c r="D176" s="4" t="s">
        <v>21</v>
      </c>
      <c r="E176" s="4">
        <v>6</v>
      </c>
      <c r="F176" s="4">
        <v>926.58500000000004</v>
      </c>
      <c r="G176" s="4">
        <v>0.1</v>
      </c>
      <c r="H176" s="4" t="s">
        <v>22</v>
      </c>
      <c r="I176" s="6">
        <v>-655.42399999999998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0.57999999999999996</v>
      </c>
      <c r="U176" s="5">
        <f>C176+7</f>
        <v>39856</v>
      </c>
    </row>
    <row r="177" spans="1:21" ht="12" customHeight="1">
      <c r="A177" s="4">
        <v>1486</v>
      </c>
      <c r="B177" s="4">
        <v>10692</v>
      </c>
      <c r="C177" s="5">
        <f t="shared" ref="C177:C179" si="70">DATE(2012,12,31)-1254</f>
        <v>40020</v>
      </c>
      <c r="D177" s="4" t="s">
        <v>21</v>
      </c>
      <c r="E177" s="4">
        <v>26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spans="1:21" ht="12" customHeight="1">
      <c r="A178" s="4">
        <v>1487</v>
      </c>
      <c r="B178" s="4">
        <v>10692</v>
      </c>
      <c r="C178" s="5">
        <f t="shared" si="70"/>
        <v>40020</v>
      </c>
      <c r="D178" s="4" t="s">
        <v>21</v>
      </c>
      <c r="E178" s="4">
        <v>48</v>
      </c>
      <c r="F178" s="4">
        <v>8101.9875000000002</v>
      </c>
      <c r="G178" s="4">
        <v>0.05</v>
      </c>
      <c r="H178" s="4" t="s">
        <v>22</v>
      </c>
      <c r="I178" s="6">
        <v>2369.8440000000001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spans="1:21" ht="12" customHeight="1">
      <c r="A179" s="4">
        <v>1488</v>
      </c>
      <c r="B179" s="4">
        <v>10692</v>
      </c>
      <c r="C179" s="5">
        <f t="shared" si="70"/>
        <v>40020</v>
      </c>
      <c r="D179" s="4" t="s">
        <v>21</v>
      </c>
      <c r="E179" s="4">
        <v>8</v>
      </c>
      <c r="F179" s="4">
        <v>1313.8109999999999</v>
      </c>
      <c r="G179" s="4">
        <v>7.0000000000000007E-2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0.57999999999999996</v>
      </c>
      <c r="U179" s="5">
        <f>C179+0</f>
        <v>40020</v>
      </c>
    </row>
    <row r="180" spans="1:21" ht="12" customHeight="1">
      <c r="A180" s="4">
        <v>1596</v>
      </c>
      <c r="B180" s="4">
        <v>11553</v>
      </c>
      <c r="C180" s="5">
        <f t="shared" ref="C180:C182" si="71">DATE(2012,12,31)-1353</f>
        <v>39921</v>
      </c>
      <c r="D180" s="4" t="s">
        <v>63</v>
      </c>
      <c r="E180" s="4">
        <v>28</v>
      </c>
      <c r="F180" s="4">
        <v>1350.34</v>
      </c>
      <c r="G180" s="4">
        <v>0.1</v>
      </c>
      <c r="H180" s="4" t="s">
        <v>56</v>
      </c>
      <c r="I180" s="6">
        <v>-517.16999999999996</v>
      </c>
      <c r="J180" s="4">
        <v>52.99</v>
      </c>
      <c r="K180" s="4">
        <v>19.989999999999998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spans="1:21" ht="12" customHeight="1">
      <c r="A181" s="4">
        <v>1597</v>
      </c>
      <c r="B181" s="4">
        <v>11553</v>
      </c>
      <c r="C181" s="5">
        <f t="shared" si="71"/>
        <v>39921</v>
      </c>
      <c r="D181" s="4" t="s">
        <v>63</v>
      </c>
      <c r="E181" s="4">
        <v>8</v>
      </c>
      <c r="F181" s="4">
        <v>861.26</v>
      </c>
      <c r="G181" s="4">
        <v>7.0000000000000007E-2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spans="1:21" ht="12" customHeight="1">
      <c r="A182" s="4">
        <v>1598</v>
      </c>
      <c r="B182" s="4">
        <v>11553</v>
      </c>
      <c r="C182" s="5">
        <f t="shared" si="71"/>
        <v>39921</v>
      </c>
      <c r="D182" s="4" t="s">
        <v>63</v>
      </c>
      <c r="E182" s="4">
        <v>20</v>
      </c>
      <c r="F182" s="4">
        <v>1531.4110000000001</v>
      </c>
      <c r="G182" s="4">
        <v>0.03</v>
      </c>
      <c r="H182" s="4" t="s">
        <v>22</v>
      </c>
      <c r="I182" s="6">
        <v>365.41800000000001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0.55000000000000004</v>
      </c>
      <c r="U182" s="5">
        <f>C182+2</f>
        <v>39923</v>
      </c>
    </row>
    <row r="183" spans="1:21" ht="12" customHeight="1">
      <c r="A183" s="4">
        <v>2513</v>
      </c>
      <c r="B183" s="4">
        <v>18247</v>
      </c>
      <c r="C183" s="5">
        <f>DATE(2012,12,31)-1152</f>
        <v>40122</v>
      </c>
      <c r="D183" s="4" t="s">
        <v>45</v>
      </c>
      <c r="E183" s="4">
        <v>20</v>
      </c>
      <c r="F183" s="4">
        <v>155.80000000000001</v>
      </c>
      <c r="G183" s="4">
        <v>0</v>
      </c>
      <c r="H183" s="4" t="s">
        <v>22</v>
      </c>
      <c r="I183" s="6">
        <v>27.22</v>
      </c>
      <c r="J183" s="4">
        <v>7.59</v>
      </c>
      <c r="K183" s="4">
        <v>4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2">C183+1</f>
        <v>40123</v>
      </c>
    </row>
    <row r="184" spans="1:21" ht="12" customHeight="1">
      <c r="A184" s="4">
        <v>2551</v>
      </c>
      <c r="B184" s="4">
        <v>18471</v>
      </c>
      <c r="C184" s="5">
        <f t="shared" ref="C184:C186" si="73">DATE(2012,12,31)-1411</f>
        <v>39863</v>
      </c>
      <c r="D184" s="4" t="s">
        <v>45</v>
      </c>
      <c r="E184" s="4">
        <v>37</v>
      </c>
      <c r="F184" s="4">
        <v>226.65</v>
      </c>
      <c r="G184" s="4">
        <v>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2"/>
        <v>39864</v>
      </c>
    </row>
    <row r="185" spans="1:21" ht="12" customHeight="1">
      <c r="A185" s="4">
        <v>2552</v>
      </c>
      <c r="B185" s="4">
        <v>18471</v>
      </c>
      <c r="C185" s="5">
        <f t="shared" si="73"/>
        <v>39863</v>
      </c>
      <c r="D185" s="4" t="s">
        <v>45</v>
      </c>
      <c r="E185" s="4">
        <v>4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0.55000000000000004</v>
      </c>
      <c r="U185" s="5">
        <f t="shared" si="72"/>
        <v>39864</v>
      </c>
    </row>
    <row r="186" spans="1:21" ht="12" customHeight="1">
      <c r="A186" s="4">
        <v>2553</v>
      </c>
      <c r="B186" s="4">
        <v>18471</v>
      </c>
      <c r="C186" s="5">
        <f t="shared" si="73"/>
        <v>39863</v>
      </c>
      <c r="D186" s="4" t="s">
        <v>45</v>
      </c>
      <c r="E186" s="4">
        <v>29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2"/>
        <v>39864</v>
      </c>
    </row>
    <row r="187" spans="1:21" ht="12" customHeight="1">
      <c r="A187" s="4">
        <v>2815</v>
      </c>
      <c r="B187" s="4">
        <v>20322</v>
      </c>
      <c r="C187" s="5">
        <f t="shared" ref="C187:C189" si="74">DATE(2012,12,31)-1282</f>
        <v>39992</v>
      </c>
      <c r="D187" s="4" t="s">
        <v>78</v>
      </c>
      <c r="E187" s="4">
        <v>46</v>
      </c>
      <c r="F187" s="4">
        <v>160.27000000000001</v>
      </c>
      <c r="G187" s="4">
        <v>0.06</v>
      </c>
      <c r="H187" s="4" t="s">
        <v>22</v>
      </c>
      <c r="I187" s="6">
        <v>-183.35599999999999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spans="1:21" ht="12" customHeight="1">
      <c r="A188" s="4">
        <v>2816</v>
      </c>
      <c r="B188" s="4">
        <v>20322</v>
      </c>
      <c r="C188" s="5">
        <f t="shared" si="74"/>
        <v>39992</v>
      </c>
      <c r="D188" s="4" t="s">
        <v>78</v>
      </c>
      <c r="E188" s="4">
        <v>46</v>
      </c>
      <c r="F188" s="4">
        <v>4601.0200000000004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35.840000000000003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5">C188+0</f>
        <v>39992</v>
      </c>
    </row>
    <row r="189" spans="1:21" ht="12" customHeight="1">
      <c r="A189" s="4">
        <v>2817</v>
      </c>
      <c r="B189" s="4">
        <v>20322</v>
      </c>
      <c r="C189" s="5">
        <f t="shared" si="74"/>
        <v>39992</v>
      </c>
      <c r="D189" s="4" t="s">
        <v>78</v>
      </c>
      <c r="E189" s="4">
        <v>15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5"/>
        <v>39992</v>
      </c>
    </row>
    <row r="190" spans="1:21" ht="12" customHeight="1">
      <c r="A190" s="4">
        <v>2830</v>
      </c>
      <c r="B190" s="4">
        <v>20422</v>
      </c>
      <c r="C190" s="5">
        <f>DATE(2012,12,31)-1435</f>
        <v>39839</v>
      </c>
      <c r="D190" s="4" t="s">
        <v>30</v>
      </c>
      <c r="E190" s="4">
        <v>30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spans="1:21" ht="12" customHeight="1">
      <c r="A191" s="4">
        <v>3382</v>
      </c>
      <c r="B191" s="4">
        <v>24132</v>
      </c>
      <c r="C191" s="5">
        <f t="shared" ref="C191:C196" si="76">DATE(2012,12,31)-1274</f>
        <v>40000</v>
      </c>
      <c r="D191" s="4" t="s">
        <v>21</v>
      </c>
      <c r="E191" s="4">
        <v>4</v>
      </c>
      <c r="F191" s="4">
        <v>31.01</v>
      </c>
      <c r="G191" s="4">
        <v>0.03</v>
      </c>
      <c r="H191" s="4" t="s">
        <v>22</v>
      </c>
      <c r="I191" s="6">
        <v>-4.4850000000000003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spans="1:21" ht="12" customHeight="1">
      <c r="A192" s="4">
        <v>3383</v>
      </c>
      <c r="B192" s="4">
        <v>24132</v>
      </c>
      <c r="C192" s="5">
        <f t="shared" si="76"/>
        <v>40000</v>
      </c>
      <c r="D192" s="4" t="s">
        <v>21</v>
      </c>
      <c r="E192" s="4">
        <v>46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spans="1:21" ht="12" customHeight="1">
      <c r="A193" s="4">
        <v>3384</v>
      </c>
      <c r="B193" s="4">
        <v>24132</v>
      </c>
      <c r="C193" s="5">
        <f t="shared" si="76"/>
        <v>40000</v>
      </c>
      <c r="D193" s="4" t="s">
        <v>21</v>
      </c>
      <c r="E193" s="4">
        <v>22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spans="1:21" ht="12" customHeight="1">
      <c r="A194" s="4">
        <v>3385</v>
      </c>
      <c r="B194" s="4">
        <v>24132</v>
      </c>
      <c r="C194" s="5">
        <f t="shared" si="76"/>
        <v>40000</v>
      </c>
      <c r="D194" s="4" t="s">
        <v>21</v>
      </c>
      <c r="E194" s="4">
        <v>31</v>
      </c>
      <c r="F194" s="4">
        <v>1252.8900000000001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spans="1:21" ht="12" customHeight="1">
      <c r="A195" s="4">
        <v>3386</v>
      </c>
      <c r="B195" s="4">
        <v>24132</v>
      </c>
      <c r="C195" s="5">
        <f t="shared" si="76"/>
        <v>40000</v>
      </c>
      <c r="D195" s="4" t="s">
        <v>21</v>
      </c>
      <c r="E195" s="4">
        <v>12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spans="1:21" ht="12" customHeight="1">
      <c r="A196" s="4">
        <v>3387</v>
      </c>
      <c r="B196" s="4">
        <v>24132</v>
      </c>
      <c r="C196" s="5">
        <f t="shared" si="76"/>
        <v>40000</v>
      </c>
      <c r="D196" s="4" t="s">
        <v>21</v>
      </c>
      <c r="E196" s="4">
        <v>3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spans="1:21" ht="12" customHeight="1">
      <c r="A197" s="4">
        <v>3573</v>
      </c>
      <c r="B197" s="4">
        <v>25475</v>
      </c>
      <c r="C197" s="5">
        <f>DATE(2012,12,31)-1367</f>
        <v>39907</v>
      </c>
      <c r="D197" s="4" t="s">
        <v>78</v>
      </c>
      <c r="E197" s="4">
        <v>49</v>
      </c>
      <c r="F197" s="4">
        <v>305.95999999999998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spans="1:21" ht="12" customHeight="1">
      <c r="A198" s="4">
        <v>4044</v>
      </c>
      <c r="B198" s="4">
        <v>28839</v>
      </c>
      <c r="C198" s="5">
        <f>DATE(2012,12,31)-1343</f>
        <v>39931</v>
      </c>
      <c r="D198" s="4" t="s">
        <v>21</v>
      </c>
      <c r="E198" s="4">
        <v>30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spans="1:21" ht="12" customHeight="1">
      <c r="A199" s="4">
        <v>4111</v>
      </c>
      <c r="B199" s="4">
        <v>29252</v>
      </c>
      <c r="C199" s="5">
        <f>DATE(2012,12,31)-1243</f>
        <v>40031</v>
      </c>
      <c r="D199" s="4" t="s">
        <v>21</v>
      </c>
      <c r="E199" s="4">
        <v>9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spans="1:21" ht="12" customHeight="1">
      <c r="A200" s="4">
        <v>4488</v>
      </c>
      <c r="B200" s="4">
        <v>31941</v>
      </c>
      <c r="C200" s="5">
        <f t="shared" ref="C200:C201" si="77">DATE(2012,12,31)-1384</f>
        <v>39890</v>
      </c>
      <c r="D200" s="4" t="s">
        <v>63</v>
      </c>
      <c r="E200" s="4">
        <v>32</v>
      </c>
      <c r="F200" s="4">
        <v>2564.4499999999998</v>
      </c>
      <c r="G200" s="4">
        <v>0.01</v>
      </c>
      <c r="H200" s="4" t="s">
        <v>56</v>
      </c>
      <c r="I200" s="6">
        <v>650.73</v>
      </c>
      <c r="J200" s="4">
        <v>78.650000000000006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spans="1:21" ht="12" customHeight="1">
      <c r="A201" s="4">
        <v>4489</v>
      </c>
      <c r="B201" s="4">
        <v>31941</v>
      </c>
      <c r="C201" s="5">
        <f t="shared" si="77"/>
        <v>39890</v>
      </c>
      <c r="D201" s="4" t="s">
        <v>63</v>
      </c>
      <c r="E201" s="4">
        <v>7</v>
      </c>
      <c r="F201" s="4">
        <v>53.55</v>
      </c>
      <c r="G201" s="4">
        <v>7.0000000000000007E-2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spans="1:21" ht="12" customHeight="1">
      <c r="A202" s="4">
        <v>4555</v>
      </c>
      <c r="B202" s="4">
        <v>32418</v>
      </c>
      <c r="C202" s="5">
        <f>DATE(2012,12,31)-1456</f>
        <v>39818</v>
      </c>
      <c r="D202" s="4" t="s">
        <v>45</v>
      </c>
      <c r="E202" s="4">
        <v>5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0.55000000000000004</v>
      </c>
      <c r="U202" s="5">
        <f t="shared" ref="U202:U203" si="78">C202+1</f>
        <v>39819</v>
      </c>
    </row>
    <row r="203" spans="1:21" ht="12" customHeight="1">
      <c r="A203" s="4">
        <v>5058</v>
      </c>
      <c r="B203" s="4">
        <v>36068</v>
      </c>
      <c r="C203" s="5">
        <f>DATE(2012,12,31)-1425</f>
        <v>39849</v>
      </c>
      <c r="D203" s="4" t="s">
        <v>78</v>
      </c>
      <c r="E203" s="4">
        <v>23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8"/>
        <v>39850</v>
      </c>
    </row>
    <row r="204" spans="1:21" ht="12" customHeight="1">
      <c r="A204" s="4">
        <v>5351</v>
      </c>
      <c r="B204" s="4">
        <v>38021</v>
      </c>
      <c r="C204" s="5">
        <f>DATE(2012,12,31)-1440</f>
        <v>39834</v>
      </c>
      <c r="D204" s="4" t="s">
        <v>63</v>
      </c>
      <c r="E204" s="4">
        <v>46</v>
      </c>
      <c r="F204" s="4">
        <v>1482.01</v>
      </c>
      <c r="G204" s="4">
        <v>0.02</v>
      </c>
      <c r="H204" s="4" t="s">
        <v>22</v>
      </c>
      <c r="I204" s="6">
        <v>709.32500000000005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79">C204+2</f>
        <v>39836</v>
      </c>
    </row>
    <row r="205" spans="1:21" ht="12" customHeight="1">
      <c r="A205" s="4">
        <v>5430</v>
      </c>
      <c r="B205" s="4">
        <v>38565</v>
      </c>
      <c r="C205" s="5">
        <f>DATE(2012,12,31)-1377</f>
        <v>39897</v>
      </c>
      <c r="D205" s="4" t="s">
        <v>78</v>
      </c>
      <c r="E205" s="4">
        <v>20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0.56999999999999995</v>
      </c>
      <c r="U205" s="5">
        <f t="shared" si="79"/>
        <v>39899</v>
      </c>
    </row>
    <row r="206" spans="1:21" ht="12" customHeight="1">
      <c r="A206" s="4">
        <v>6261</v>
      </c>
      <c r="B206" s="4">
        <v>44320</v>
      </c>
      <c r="C206" s="5">
        <f>DATE(2012,12,31)-1342</f>
        <v>39932</v>
      </c>
      <c r="D206" s="4" t="s">
        <v>63</v>
      </c>
      <c r="E206" s="4">
        <v>49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spans="1:21" ht="12" customHeight="1">
      <c r="A207" s="4">
        <v>6791</v>
      </c>
      <c r="B207" s="4">
        <v>48388</v>
      </c>
      <c r="C207" s="5">
        <f>DATE(2012,12,31)-1240</f>
        <v>40034</v>
      </c>
      <c r="D207" s="4" t="s">
        <v>30</v>
      </c>
      <c r="E207" s="4">
        <v>3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0">C207+2</f>
        <v>40036</v>
      </c>
    </row>
    <row r="208" spans="1:21" ht="12" customHeight="1">
      <c r="A208" s="4">
        <v>6882</v>
      </c>
      <c r="B208" s="4">
        <v>49059</v>
      </c>
      <c r="C208" s="5">
        <f t="shared" ref="C208:C209" si="81">DATE(2012,12,31)-1198</f>
        <v>40076</v>
      </c>
      <c r="D208" s="4" t="s">
        <v>63</v>
      </c>
      <c r="E208" s="4">
        <v>48</v>
      </c>
      <c r="F208" s="4">
        <v>128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0"/>
        <v>40078</v>
      </c>
    </row>
    <row r="209" spans="1:21" ht="12" customHeight="1">
      <c r="A209" s="4">
        <v>6883</v>
      </c>
      <c r="B209" s="4">
        <v>49059</v>
      </c>
      <c r="C209" s="5">
        <f t="shared" si="81"/>
        <v>40076</v>
      </c>
      <c r="D209" s="4" t="s">
        <v>63</v>
      </c>
      <c r="E209" s="4">
        <v>5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spans="1:21" ht="12" customHeight="1">
      <c r="A210" s="4">
        <v>7120</v>
      </c>
      <c r="B210" s="4">
        <v>50816</v>
      </c>
      <c r="C210" s="5">
        <f t="shared" ref="C210:C212" si="82">DATE(2012,12,31)-1375</f>
        <v>39899</v>
      </c>
      <c r="D210" s="4" t="s">
        <v>30</v>
      </c>
      <c r="E210" s="4">
        <v>25</v>
      </c>
      <c r="F210" s="4">
        <v>286.07</v>
      </c>
      <c r="G210" s="4">
        <v>7.0000000000000007E-2</v>
      </c>
      <c r="H210" s="4" t="s">
        <v>22</v>
      </c>
      <c r="I210" s="6">
        <v>-35.94</v>
      </c>
      <c r="J210" s="4">
        <v>11.97</v>
      </c>
      <c r="K210" s="4">
        <v>4.9800000000000004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0.57999999999999996</v>
      </c>
      <c r="U210" s="5">
        <f t="shared" ref="U210:U212" si="83">C210+2</f>
        <v>39901</v>
      </c>
    </row>
    <row r="211" spans="1:21" ht="12" customHeight="1">
      <c r="A211" s="4">
        <v>7121</v>
      </c>
      <c r="B211" s="4">
        <v>50816</v>
      </c>
      <c r="C211" s="5">
        <f t="shared" si="82"/>
        <v>39899</v>
      </c>
      <c r="D211" s="4" t="s">
        <v>30</v>
      </c>
      <c r="E211" s="4">
        <v>26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3"/>
        <v>39901</v>
      </c>
    </row>
    <row r="212" spans="1:21" ht="12" customHeight="1">
      <c r="A212" s="4">
        <v>7122</v>
      </c>
      <c r="B212" s="4">
        <v>50816</v>
      </c>
      <c r="C212" s="5">
        <f t="shared" si="82"/>
        <v>39899</v>
      </c>
      <c r="D212" s="4" t="s">
        <v>30</v>
      </c>
      <c r="E212" s="4">
        <v>6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3"/>
        <v>39901</v>
      </c>
    </row>
    <row r="213" spans="1:21" ht="12" customHeight="1">
      <c r="A213" s="4">
        <v>7456</v>
      </c>
      <c r="B213" s="4">
        <v>53190</v>
      </c>
      <c r="C213" s="5">
        <f t="shared" ref="C213:C214" si="84">DATE(2012,12,31)-1194</f>
        <v>40080</v>
      </c>
      <c r="D213" s="4" t="s">
        <v>63</v>
      </c>
      <c r="E213" s="4">
        <v>10</v>
      </c>
      <c r="F213" s="4">
        <v>268.18</v>
      </c>
      <c r="G213" s="4">
        <v>0.06</v>
      </c>
      <c r="H213" s="4" t="s">
        <v>22</v>
      </c>
      <c r="I213" s="6">
        <v>74.638500000000008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spans="1:21" ht="12" customHeight="1">
      <c r="A214" s="4">
        <v>7457</v>
      </c>
      <c r="B214" s="4">
        <v>53190</v>
      </c>
      <c r="C214" s="5">
        <f t="shared" si="84"/>
        <v>40080</v>
      </c>
      <c r="D214" s="4" t="s">
        <v>63</v>
      </c>
      <c r="E214" s="4">
        <v>9</v>
      </c>
      <c r="F214" s="4">
        <v>477.05399999999997</v>
      </c>
      <c r="G214" s="4">
        <v>0.1</v>
      </c>
      <c r="H214" s="4" t="s">
        <v>22</v>
      </c>
      <c r="I214" s="6">
        <v>-170.53300000000002</v>
      </c>
      <c r="J214" s="4">
        <v>65.989999999999995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spans="1:21" ht="12" customHeight="1">
      <c r="A215" s="4">
        <v>1168</v>
      </c>
      <c r="B215" s="4">
        <v>8545</v>
      </c>
      <c r="C215" s="5">
        <f t="shared" ref="C215:C216" si="85">DATE(2012,12,31)-1293</f>
        <v>39981</v>
      </c>
      <c r="D215" s="4" t="s">
        <v>21</v>
      </c>
      <c r="E215" s="4">
        <v>25</v>
      </c>
      <c r="F215" s="4">
        <v>113.75</v>
      </c>
      <c r="G215" s="4">
        <v>0</v>
      </c>
      <c r="H215" s="4" t="s">
        <v>22</v>
      </c>
      <c r="I215" s="6">
        <v>-77.337500000000006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6">C215+4</f>
        <v>39985</v>
      </c>
    </row>
    <row r="216" spans="1:21" ht="12" customHeight="1">
      <c r="A216" s="4">
        <v>1169</v>
      </c>
      <c r="B216" s="4">
        <v>8545</v>
      </c>
      <c r="C216" s="5">
        <f t="shared" si="85"/>
        <v>39981</v>
      </c>
      <c r="D216" s="4" t="s">
        <v>21</v>
      </c>
      <c r="E216" s="4">
        <v>24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130.97999999999999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6"/>
        <v>39985</v>
      </c>
    </row>
    <row r="217" spans="1:21" ht="12" customHeight="1">
      <c r="A217" s="4">
        <v>1381</v>
      </c>
      <c r="B217" s="4">
        <v>10048</v>
      </c>
      <c r="C217" s="5">
        <f t="shared" ref="C217:C218" si="87">DATE(2012,12,31)-1326</f>
        <v>39948</v>
      </c>
      <c r="D217" s="4" t="s">
        <v>45</v>
      </c>
      <c r="E217" s="4">
        <v>46</v>
      </c>
      <c r="F217" s="4">
        <v>3197.45</v>
      </c>
      <c r="G217" s="4">
        <v>0.08</v>
      </c>
      <c r="H217" s="4" t="s">
        <v>22</v>
      </c>
      <c r="I217" s="6">
        <v>97.159999999999926</v>
      </c>
      <c r="J217" s="4">
        <v>73.98</v>
      </c>
      <c r="K217" s="4">
        <v>4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spans="1:21" ht="12" customHeight="1">
      <c r="A218" s="4">
        <v>1382</v>
      </c>
      <c r="B218" s="4">
        <v>10048</v>
      </c>
      <c r="C218" s="5">
        <f t="shared" si="87"/>
        <v>39948</v>
      </c>
      <c r="D218" s="4" t="s">
        <v>45</v>
      </c>
      <c r="E218" s="4">
        <v>21</v>
      </c>
      <c r="F218" s="4">
        <v>78.569999999999993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spans="1:21" ht="12" customHeight="1">
      <c r="A219" s="4">
        <v>1481</v>
      </c>
      <c r="B219" s="4">
        <v>10661</v>
      </c>
      <c r="C219" s="5">
        <f>DATE(2012,12,31)-1438</f>
        <v>39836</v>
      </c>
      <c r="D219" s="4" t="s">
        <v>45</v>
      </c>
      <c r="E219" s="4">
        <v>18</v>
      </c>
      <c r="F219" s="4">
        <v>136.41</v>
      </c>
      <c r="G219" s="4">
        <v>0</v>
      </c>
      <c r="H219" s="4" t="s">
        <v>22</v>
      </c>
      <c r="I219" s="6">
        <v>-99.34</v>
      </c>
      <c r="J219" s="4">
        <v>6.84</v>
      </c>
      <c r="K219" s="4">
        <v>8.3699999999999992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0.57999999999999996</v>
      </c>
      <c r="U219" s="5">
        <f t="shared" ref="U219:U220" si="88">C219+1</f>
        <v>39837</v>
      </c>
    </row>
    <row r="220" spans="1:21" ht="12" customHeight="1">
      <c r="A220" s="4">
        <v>2049</v>
      </c>
      <c r="B220" s="4">
        <v>14627</v>
      </c>
      <c r="C220" s="5">
        <f>DATE(2012,12,31)-1426</f>
        <v>39848</v>
      </c>
      <c r="D220" s="4" t="s">
        <v>63</v>
      </c>
      <c r="E220" s="4">
        <v>47</v>
      </c>
      <c r="F220" s="4">
        <v>671.03</v>
      </c>
      <c r="G220" s="4">
        <v>7.0000000000000007E-2</v>
      </c>
      <c r="H220" s="4" t="s">
        <v>22</v>
      </c>
      <c r="I220" s="6">
        <v>67.864000000000004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8"/>
        <v>39849</v>
      </c>
    </row>
    <row r="221" spans="1:21" ht="12" customHeight="1">
      <c r="A221" s="4">
        <v>3085</v>
      </c>
      <c r="B221" s="4">
        <v>22119</v>
      </c>
      <c r="C221" s="5">
        <f>DATE(2012,12,31)-1256</f>
        <v>40018</v>
      </c>
      <c r="D221" s="4" t="s">
        <v>21</v>
      </c>
      <c r="E221" s="4">
        <v>20</v>
      </c>
      <c r="F221" s="4">
        <v>939.39</v>
      </c>
      <c r="G221" s="4">
        <v>7.0000000000000007E-2</v>
      </c>
      <c r="H221" s="4" t="s">
        <v>22</v>
      </c>
      <c r="I221" s="6">
        <v>-122.77</v>
      </c>
      <c r="J221" s="4">
        <v>49.43</v>
      </c>
      <c r="K221" s="4">
        <v>19.989999999999998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0.56999999999999995</v>
      </c>
      <c r="U221" s="5">
        <f>C221+5</f>
        <v>40023</v>
      </c>
    </row>
    <row r="222" spans="1:21" ht="12" customHeight="1">
      <c r="A222" s="4">
        <v>3474</v>
      </c>
      <c r="B222" s="4">
        <v>24737</v>
      </c>
      <c r="C222" s="5">
        <f t="shared" ref="C222:C223" si="89">DATE(2012,12,31)-1121</f>
        <v>40153</v>
      </c>
      <c r="D222" s="4" t="s">
        <v>30</v>
      </c>
      <c r="E222" s="4">
        <v>3</v>
      </c>
      <c r="F222" s="4">
        <v>549.91999999999996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spans="1:21" ht="12" customHeight="1">
      <c r="A223" s="4">
        <v>3475</v>
      </c>
      <c r="B223" s="4">
        <v>24737</v>
      </c>
      <c r="C223" s="5">
        <f t="shared" si="89"/>
        <v>40153</v>
      </c>
      <c r="D223" s="4" t="s">
        <v>30</v>
      </c>
      <c r="E223" s="4">
        <v>26</v>
      </c>
      <c r="F223" s="4">
        <v>182.09</v>
      </c>
      <c r="G223" s="4">
        <v>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spans="1:21" ht="12" customHeight="1">
      <c r="A224" s="4">
        <v>4200</v>
      </c>
      <c r="B224" s="4">
        <v>29857</v>
      </c>
      <c r="C224" s="5">
        <f t="shared" ref="C224:C228" si="90">DATE(2012,12,31)-1115</f>
        <v>40159</v>
      </c>
      <c r="D224" s="4" t="s">
        <v>63</v>
      </c>
      <c r="E224" s="4">
        <v>41</v>
      </c>
      <c r="F224" s="4">
        <v>5572.92</v>
      </c>
      <c r="G224" s="4">
        <v>7.0000000000000007E-2</v>
      </c>
      <c r="H224" s="4" t="s">
        <v>31</v>
      </c>
      <c r="I224" s="6">
        <v>-639.47</v>
      </c>
      <c r="J224" s="4">
        <v>140.97999999999999</v>
      </c>
      <c r="K224" s="4">
        <v>36.090000000000003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1">C224+2</f>
        <v>40161</v>
      </c>
    </row>
    <row r="225" spans="1:21" ht="12" customHeight="1">
      <c r="A225" s="4">
        <v>4970</v>
      </c>
      <c r="B225" s="4">
        <v>35364</v>
      </c>
      <c r="C225" s="5">
        <f t="shared" si="90"/>
        <v>40159</v>
      </c>
      <c r="D225" s="4" t="s">
        <v>78</v>
      </c>
      <c r="E225" s="4">
        <v>16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1"/>
        <v>40161</v>
      </c>
    </row>
    <row r="226" spans="1:21" ht="12" customHeight="1">
      <c r="A226" s="4">
        <v>4971</v>
      </c>
      <c r="B226" s="4">
        <v>35364</v>
      </c>
      <c r="C226" s="5">
        <f t="shared" si="90"/>
        <v>40159</v>
      </c>
      <c r="D226" s="4" t="s">
        <v>78</v>
      </c>
      <c r="E226" s="4">
        <v>29</v>
      </c>
      <c r="F226" s="4">
        <v>10338.93</v>
      </c>
      <c r="G226" s="4">
        <v>0.06</v>
      </c>
      <c r="H226" s="4" t="s">
        <v>31</v>
      </c>
      <c r="I226" s="6">
        <v>-871.51499999999999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1"/>
        <v>40161</v>
      </c>
    </row>
    <row r="227" spans="1:21" ht="12" customHeight="1">
      <c r="A227" s="4">
        <v>4972</v>
      </c>
      <c r="B227" s="4">
        <v>35364</v>
      </c>
      <c r="C227" s="5">
        <f t="shared" si="90"/>
        <v>40159</v>
      </c>
      <c r="D227" s="4" t="s">
        <v>78</v>
      </c>
      <c r="E227" s="4">
        <v>37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spans="1:21" ht="12" customHeight="1">
      <c r="A228" s="4">
        <v>4973</v>
      </c>
      <c r="B228" s="4">
        <v>35364</v>
      </c>
      <c r="C228" s="5">
        <f t="shared" si="90"/>
        <v>40159</v>
      </c>
      <c r="D228" s="4" t="s">
        <v>78</v>
      </c>
      <c r="E228" s="4">
        <v>8</v>
      </c>
      <c r="F228" s="4">
        <v>1265.2929999999999</v>
      </c>
      <c r="G228" s="4">
        <v>0.06</v>
      </c>
      <c r="H228" s="4" t="s">
        <v>22</v>
      </c>
      <c r="I228" s="6">
        <v>-554.44400000000007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spans="1:21" ht="12" customHeight="1">
      <c r="A229" s="4">
        <v>5238</v>
      </c>
      <c r="B229" s="4">
        <v>37281</v>
      </c>
      <c r="C229" s="5">
        <f>DATE(2012,12,31)-1221</f>
        <v>40053</v>
      </c>
      <c r="D229" s="4" t="s">
        <v>63</v>
      </c>
      <c r="E229" s="4">
        <v>25</v>
      </c>
      <c r="F229" s="4">
        <v>453.24549999999999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4.8099999999999996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0.57999999999999996</v>
      </c>
      <c r="U229" s="5">
        <f t="shared" ref="U229:U231" si="92">C229+1</f>
        <v>40054</v>
      </c>
    </row>
    <row r="230" spans="1:21" ht="12" customHeight="1">
      <c r="A230" s="4">
        <v>5551</v>
      </c>
      <c r="B230" s="4">
        <v>39301</v>
      </c>
      <c r="C230" s="5">
        <f>DATE(2012,12,31)-1380</f>
        <v>39894</v>
      </c>
      <c r="D230" s="4" t="s">
        <v>63</v>
      </c>
      <c r="E230" s="4">
        <v>16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152.47999999999999</v>
      </c>
      <c r="K230" s="4">
        <v>4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2"/>
        <v>39895</v>
      </c>
    </row>
    <row r="231" spans="1:21" ht="12" customHeight="1">
      <c r="A231" s="4">
        <v>5562</v>
      </c>
      <c r="B231" s="4">
        <v>39367</v>
      </c>
      <c r="C231" s="5">
        <f t="shared" ref="C231:C232" si="93">DATE(2012,12,31)-1243</f>
        <v>40031</v>
      </c>
      <c r="D231" s="4" t="s">
        <v>78</v>
      </c>
      <c r="E231" s="4">
        <v>45</v>
      </c>
      <c r="F231" s="4">
        <v>177.88</v>
      </c>
      <c r="G231" s="4">
        <v>7.0000000000000007E-2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2"/>
        <v>40032</v>
      </c>
    </row>
    <row r="232" spans="1:21" ht="12" customHeight="1">
      <c r="A232" s="4">
        <v>5563</v>
      </c>
      <c r="B232" s="4">
        <v>39367</v>
      </c>
      <c r="C232" s="5">
        <f t="shared" si="93"/>
        <v>40031</v>
      </c>
      <c r="D232" s="4" t="s">
        <v>78</v>
      </c>
      <c r="E232" s="4">
        <v>30</v>
      </c>
      <c r="F232" s="4">
        <v>139.59</v>
      </c>
      <c r="G232" s="4">
        <v>0</v>
      </c>
      <c r="H232" s="4" t="s">
        <v>22</v>
      </c>
      <c r="I232" s="6">
        <v>5.9</v>
      </c>
      <c r="J232" s="4">
        <v>4.4800000000000004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4">C232+2</f>
        <v>40033</v>
      </c>
    </row>
    <row r="233" spans="1:21" ht="12" customHeight="1">
      <c r="A233" s="4">
        <v>6243</v>
      </c>
      <c r="B233" s="4">
        <v>44231</v>
      </c>
      <c r="C233" s="5">
        <f t="shared" ref="C233:C235" si="95">DATE(2012,12,31)-1154</f>
        <v>40120</v>
      </c>
      <c r="D233" s="4" t="s">
        <v>45</v>
      </c>
      <c r="E233" s="4">
        <v>11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160.97999999999999</v>
      </c>
      <c r="K233" s="4">
        <v>30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4"/>
        <v>40122</v>
      </c>
    </row>
    <row r="234" spans="1:21" ht="12" customHeight="1">
      <c r="A234" s="4">
        <v>6244</v>
      </c>
      <c r="B234" s="4">
        <v>44231</v>
      </c>
      <c r="C234" s="5">
        <f t="shared" si="95"/>
        <v>40120</v>
      </c>
      <c r="D234" s="4" t="s">
        <v>45</v>
      </c>
      <c r="E234" s="4">
        <v>43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4"/>
        <v>40122</v>
      </c>
    </row>
    <row r="235" spans="1:21" ht="12" customHeight="1">
      <c r="A235" s="4">
        <v>6245</v>
      </c>
      <c r="B235" s="4">
        <v>44231</v>
      </c>
      <c r="C235" s="5">
        <f t="shared" si="95"/>
        <v>40120</v>
      </c>
      <c r="D235" s="4" t="s">
        <v>45</v>
      </c>
      <c r="E235" s="4">
        <v>24</v>
      </c>
      <c r="F235" s="4">
        <v>2343.076</v>
      </c>
      <c r="G235" s="4">
        <v>0.06</v>
      </c>
      <c r="H235" s="4" t="s">
        <v>22</v>
      </c>
      <c r="I235" s="6">
        <v>311.64299999999997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0.57999999999999996</v>
      </c>
      <c r="U235" s="5">
        <f>C235+1</f>
        <v>40121</v>
      </c>
    </row>
    <row r="236" spans="1:21" ht="12" customHeight="1">
      <c r="A236" s="4">
        <v>6415</v>
      </c>
      <c r="B236" s="4">
        <v>45573</v>
      </c>
      <c r="C236" s="5">
        <f>DATE(2012,12,31)-1237</f>
        <v>40037</v>
      </c>
      <c r="D236" s="4" t="s">
        <v>30</v>
      </c>
      <c r="E236" s="4">
        <v>5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spans="1:21" ht="12" customHeight="1">
      <c r="A237" s="4">
        <v>6926</v>
      </c>
      <c r="B237" s="4">
        <v>49412</v>
      </c>
      <c r="C237" s="5">
        <f>DATE(2012,12,31)-1395</f>
        <v>39879</v>
      </c>
      <c r="D237" s="4" t="s">
        <v>78</v>
      </c>
      <c r="E237" s="4">
        <v>20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spans="1:21" ht="12" customHeight="1">
      <c r="A238" s="4">
        <v>7051</v>
      </c>
      <c r="B238" s="4">
        <v>50310</v>
      </c>
      <c r="C238" s="5">
        <f t="shared" ref="C238:C240" si="96">DATE(2012,12,31)-1234</f>
        <v>40040</v>
      </c>
      <c r="D238" s="4" t="s">
        <v>63</v>
      </c>
      <c r="E238" s="4">
        <v>42</v>
      </c>
      <c r="F238" s="4">
        <v>1811.3</v>
      </c>
      <c r="G238" s="4">
        <v>7.0000000000000007E-2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0.56000000000000005</v>
      </c>
      <c r="U238" s="5">
        <f>C238+2</f>
        <v>40042</v>
      </c>
    </row>
    <row r="239" spans="1:21" ht="12" customHeight="1">
      <c r="A239" s="4">
        <v>7052</v>
      </c>
      <c r="B239" s="4">
        <v>50310</v>
      </c>
      <c r="C239" s="5">
        <f t="shared" si="96"/>
        <v>40040</v>
      </c>
      <c r="D239" s="4" t="s">
        <v>63</v>
      </c>
      <c r="E239" s="4">
        <v>43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spans="1:21" ht="12" customHeight="1">
      <c r="A240" s="4">
        <v>7053</v>
      </c>
      <c r="B240" s="4">
        <v>50310</v>
      </c>
      <c r="C240" s="5">
        <f t="shared" si="96"/>
        <v>40040</v>
      </c>
      <c r="D240" s="4" t="s">
        <v>63</v>
      </c>
      <c r="E240" s="4">
        <v>22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7">C240+2</f>
        <v>40042</v>
      </c>
    </row>
    <row r="241" spans="1:21" ht="12" customHeight="1">
      <c r="A241" s="4">
        <v>7158</v>
      </c>
      <c r="B241" s="4">
        <v>51072</v>
      </c>
      <c r="C241" s="5">
        <f>DATE(2012,12,31)-1186</f>
        <v>40088</v>
      </c>
      <c r="D241" s="4" t="s">
        <v>78</v>
      </c>
      <c r="E241" s="4">
        <v>43</v>
      </c>
      <c r="F241" s="4">
        <v>7036.11</v>
      </c>
      <c r="G241" s="4">
        <v>0</v>
      </c>
      <c r="H241" s="4" t="s">
        <v>22</v>
      </c>
      <c r="I241" s="6">
        <v>1268.6500000000001</v>
      </c>
      <c r="J241" s="4">
        <v>161.55000000000001</v>
      </c>
      <c r="K241" s="4">
        <v>19.989999999999998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7"/>
        <v>40090</v>
      </c>
    </row>
    <row r="242" spans="1:21" ht="12" customHeight="1">
      <c r="A242" s="4">
        <v>7298</v>
      </c>
      <c r="B242" s="4">
        <v>52035</v>
      </c>
      <c r="C242" s="5">
        <f>DATE(2012,12,31)-1130</f>
        <v>40144</v>
      </c>
      <c r="D242" s="4" t="s">
        <v>30</v>
      </c>
      <c r="E242" s="4">
        <v>29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8">C242+3</f>
        <v>40147</v>
      </c>
    </row>
    <row r="243" spans="1:21" ht="12" customHeight="1">
      <c r="A243" s="4">
        <v>7624</v>
      </c>
      <c r="B243" s="4">
        <v>54560</v>
      </c>
      <c r="C243" s="5">
        <f t="shared" ref="C243:C244" si="99">DATE(2012,12,31)-1264</f>
        <v>40010</v>
      </c>
      <c r="D243" s="4" t="s">
        <v>78</v>
      </c>
      <c r="E243" s="4">
        <v>22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8"/>
        <v>40013</v>
      </c>
    </row>
    <row r="244" spans="1:21" ht="12" customHeight="1">
      <c r="A244" s="4">
        <v>7625</v>
      </c>
      <c r="B244" s="4">
        <v>54560</v>
      </c>
      <c r="C244" s="5">
        <f t="shared" si="99"/>
        <v>40010</v>
      </c>
      <c r="D244" s="4" t="s">
        <v>78</v>
      </c>
      <c r="E244" s="4">
        <v>45</v>
      </c>
      <c r="F244" s="4">
        <v>2404.5990000000002</v>
      </c>
      <c r="G244" s="4">
        <v>0.08</v>
      </c>
      <c r="H244" s="4" t="s">
        <v>56</v>
      </c>
      <c r="I244" s="6">
        <v>496.89</v>
      </c>
      <c r="J244" s="4">
        <v>65.989999999999995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0.57999999999999996</v>
      </c>
      <c r="U244" s="5">
        <f>C244+2</f>
        <v>40012</v>
      </c>
    </row>
    <row r="245" spans="1:21" ht="12" customHeight="1">
      <c r="A245" s="4">
        <v>7662</v>
      </c>
      <c r="B245" s="4">
        <v>54947</v>
      </c>
      <c r="C245" s="5">
        <f t="shared" ref="C245:C246" si="100">DATE(2012,12,31)-1408</f>
        <v>39866</v>
      </c>
      <c r="D245" s="4" t="s">
        <v>45</v>
      </c>
      <c r="E245" s="4">
        <v>27</v>
      </c>
      <c r="F245" s="4">
        <v>132.36000000000001</v>
      </c>
      <c r="G245" s="4">
        <v>0.05</v>
      </c>
      <c r="H245" s="4" t="s">
        <v>22</v>
      </c>
      <c r="I245" s="6">
        <v>-98.35</v>
      </c>
      <c r="J245" s="4">
        <v>4.9800000000000004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spans="1:21" ht="12" customHeight="1">
      <c r="A246" s="4">
        <v>7663</v>
      </c>
      <c r="B246" s="4">
        <v>54947</v>
      </c>
      <c r="C246" s="5">
        <f t="shared" si="100"/>
        <v>39866</v>
      </c>
      <c r="D246" s="4" t="s">
        <v>45</v>
      </c>
      <c r="E246" s="4">
        <v>42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34.229999999999997</v>
      </c>
      <c r="K246" s="4">
        <v>5.0199999999999996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0.55000000000000004</v>
      </c>
      <c r="U246" s="5">
        <f t="shared" ref="U246:U250" si="101">C246+2</f>
        <v>39868</v>
      </c>
    </row>
    <row r="247" spans="1:21" ht="12" customHeight="1">
      <c r="A247" s="4">
        <v>151</v>
      </c>
      <c r="B247" s="4">
        <v>962</v>
      </c>
      <c r="C247" s="5">
        <f t="shared" ref="C247:C248" si="102">DATE(2012,12,31)-1336</f>
        <v>39938</v>
      </c>
      <c r="D247" s="4" t="s">
        <v>21</v>
      </c>
      <c r="E247" s="4">
        <v>33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19.989999999999998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1"/>
        <v>39940</v>
      </c>
    </row>
    <row r="248" spans="1:21" ht="12" customHeight="1">
      <c r="A248" s="4">
        <v>152</v>
      </c>
      <c r="B248" s="4">
        <v>962</v>
      </c>
      <c r="C248" s="5">
        <f t="shared" si="102"/>
        <v>39938</v>
      </c>
      <c r="D248" s="4" t="s">
        <v>21</v>
      </c>
      <c r="E248" s="4">
        <v>47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1"/>
        <v>39940</v>
      </c>
    </row>
    <row r="249" spans="1:21" ht="12" customHeight="1">
      <c r="A249" s="4">
        <v>259</v>
      </c>
      <c r="B249" s="4">
        <v>1799</v>
      </c>
      <c r="C249" s="5">
        <f t="shared" ref="C249:C250" si="103">DATE(2012,12,31)-1396</f>
        <v>39878</v>
      </c>
      <c r="D249" s="4" t="s">
        <v>45</v>
      </c>
      <c r="E249" s="4">
        <v>10</v>
      </c>
      <c r="F249" s="4">
        <v>1187.1199999999999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1"/>
        <v>39880</v>
      </c>
    </row>
    <row r="250" spans="1:21" ht="12" customHeight="1">
      <c r="A250" s="4">
        <v>260</v>
      </c>
      <c r="B250" s="4">
        <v>1799</v>
      </c>
      <c r="C250" s="5">
        <f t="shared" si="103"/>
        <v>39878</v>
      </c>
      <c r="D250" s="4" t="s">
        <v>45</v>
      </c>
      <c r="E250" s="4">
        <v>16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1"/>
        <v>39880</v>
      </c>
    </row>
    <row r="251" spans="1:21" ht="12" customHeight="1">
      <c r="A251" s="4">
        <v>795</v>
      </c>
      <c r="B251" s="4">
        <v>5698</v>
      </c>
      <c r="C251" s="5">
        <f t="shared" ref="C251:C252" si="104">DATE(2012,12,31)-1321</f>
        <v>39953</v>
      </c>
      <c r="D251" s="4" t="s">
        <v>63</v>
      </c>
      <c r="E251" s="4">
        <v>15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0.57999999999999996</v>
      </c>
      <c r="U251" s="5">
        <f t="shared" ref="U251:U252" si="105">C251+1</f>
        <v>39954</v>
      </c>
    </row>
    <row r="252" spans="1:21" ht="12" customHeight="1">
      <c r="A252" s="4">
        <v>796</v>
      </c>
      <c r="B252" s="4">
        <v>5698</v>
      </c>
      <c r="C252" s="5">
        <f t="shared" si="104"/>
        <v>39953</v>
      </c>
      <c r="D252" s="4" t="s">
        <v>63</v>
      </c>
      <c r="E252" s="4">
        <v>7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5"/>
        <v>39954</v>
      </c>
    </row>
    <row r="253" spans="1:21" ht="12" customHeight="1">
      <c r="A253" s="4">
        <v>855</v>
      </c>
      <c r="B253" s="4">
        <v>6144</v>
      </c>
      <c r="C253" s="5">
        <f t="shared" ref="C253:C254" si="106">DATE(2012,12,31)-1289</f>
        <v>39985</v>
      </c>
      <c r="D253" s="4" t="s">
        <v>78</v>
      </c>
      <c r="E253" s="4">
        <v>24</v>
      </c>
      <c r="F253" s="4">
        <v>67.349999999999994</v>
      </c>
      <c r="G253" s="4">
        <v>7.0000000000000007E-2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spans="1:21" ht="12" customHeight="1">
      <c r="A254" s="4">
        <v>856</v>
      </c>
      <c r="B254" s="4">
        <v>6144</v>
      </c>
      <c r="C254" s="5">
        <f t="shared" si="106"/>
        <v>39985</v>
      </c>
      <c r="D254" s="4" t="s">
        <v>78</v>
      </c>
      <c r="E254" s="4">
        <v>4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spans="1:21" ht="12" customHeight="1">
      <c r="A255" s="4">
        <v>1123</v>
      </c>
      <c r="B255" s="4">
        <v>8229</v>
      </c>
      <c r="C255" s="5">
        <f t="shared" ref="C255:C256" si="107">DATE(2012,12,31)-1120</f>
        <v>40154</v>
      </c>
      <c r="D255" s="4" t="s">
        <v>63</v>
      </c>
      <c r="E255" s="4">
        <v>7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0.56000000000000005</v>
      </c>
      <c r="U255" s="5">
        <f t="shared" ref="U255:U257" si="108">C255+2</f>
        <v>40156</v>
      </c>
    </row>
    <row r="256" spans="1:21" ht="12" customHeight="1">
      <c r="A256" s="4">
        <v>1124</v>
      </c>
      <c r="B256" s="4">
        <v>8229</v>
      </c>
      <c r="C256" s="5">
        <f t="shared" si="107"/>
        <v>40154</v>
      </c>
      <c r="D256" s="4" t="s">
        <v>63</v>
      </c>
      <c r="E256" s="4">
        <v>50</v>
      </c>
      <c r="F256" s="4">
        <v>241.01</v>
      </c>
      <c r="G256" s="4">
        <v>0</v>
      </c>
      <c r="H256" s="4" t="s">
        <v>22</v>
      </c>
      <c r="I256" s="6">
        <v>-4.6900000000000004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8"/>
        <v>40156</v>
      </c>
    </row>
    <row r="257" spans="1:21" ht="12" customHeight="1">
      <c r="A257" s="4">
        <v>1134</v>
      </c>
      <c r="B257" s="4">
        <v>8290</v>
      </c>
      <c r="C257" s="5">
        <f>DATE(2012,12,31)-1118</f>
        <v>40156</v>
      </c>
      <c r="D257" s="4" t="s">
        <v>78</v>
      </c>
      <c r="E257" s="4">
        <v>32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8"/>
        <v>40158</v>
      </c>
    </row>
    <row r="258" spans="1:21" ht="12" customHeight="1">
      <c r="A258" s="4">
        <v>1567</v>
      </c>
      <c r="B258" s="4">
        <v>11332</v>
      </c>
      <c r="C258" s="5">
        <f t="shared" ref="C258:C259" si="109">DATE(2012,12,31)-1141</f>
        <v>40133</v>
      </c>
      <c r="D258" s="4" t="s">
        <v>21</v>
      </c>
      <c r="E258" s="4">
        <v>6</v>
      </c>
      <c r="F258" s="4">
        <v>184.33100000000002</v>
      </c>
      <c r="G258" s="4">
        <v>7.0000000000000007E-2</v>
      </c>
      <c r="H258" s="4" t="s">
        <v>22</v>
      </c>
      <c r="I258" s="6">
        <v>-89.198999999999998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spans="1:21" ht="12" customHeight="1">
      <c r="A259" s="4">
        <v>1568</v>
      </c>
      <c r="B259" s="4">
        <v>11332</v>
      </c>
      <c r="C259" s="5">
        <f t="shared" si="109"/>
        <v>40133</v>
      </c>
      <c r="D259" s="4" t="s">
        <v>21</v>
      </c>
      <c r="E259" s="4">
        <v>23</v>
      </c>
      <c r="F259" s="4">
        <v>1223.3795</v>
      </c>
      <c r="G259" s="4">
        <v>0.08</v>
      </c>
      <c r="H259" s="4" t="s">
        <v>56</v>
      </c>
      <c r="I259" s="6">
        <v>83.564999999999998</v>
      </c>
      <c r="J259" s="4">
        <v>65.989999999999995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0.57999999999999996</v>
      </c>
      <c r="U259" s="5">
        <f>C259+7</f>
        <v>40140</v>
      </c>
    </row>
    <row r="260" spans="1:21" ht="12" customHeight="1">
      <c r="A260" s="4">
        <v>1575</v>
      </c>
      <c r="B260" s="4">
        <v>11392</v>
      </c>
      <c r="C260" s="5">
        <f>DATE(2012,12,31)-1213</f>
        <v>40061</v>
      </c>
      <c r="D260" s="4" t="s">
        <v>21</v>
      </c>
      <c r="E260" s="4">
        <v>28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spans="1:21" ht="12" customHeight="1">
      <c r="A261" s="4">
        <v>1860</v>
      </c>
      <c r="B261" s="4">
        <v>13380</v>
      </c>
      <c r="C261" s="5">
        <f>DATE(2012,12,31)-1265</f>
        <v>40009</v>
      </c>
      <c r="D261" s="4" t="s">
        <v>78</v>
      </c>
      <c r="E261" s="4">
        <v>24</v>
      </c>
      <c r="F261" s="4">
        <v>66.12</v>
      </c>
      <c r="G261" s="4">
        <v>0.09</v>
      </c>
      <c r="H261" s="4" t="s">
        <v>22</v>
      </c>
      <c r="I261" s="6">
        <v>4.8499999999999996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0.56000000000000005</v>
      </c>
      <c r="U261" s="5">
        <f>C261+0</f>
        <v>40009</v>
      </c>
    </row>
    <row r="262" spans="1:21" ht="12" customHeight="1">
      <c r="A262" s="4">
        <v>1898</v>
      </c>
      <c r="B262" s="4">
        <v>13606</v>
      </c>
      <c r="C262" s="5">
        <f>DATE(2012,12,31)-1345</f>
        <v>39929</v>
      </c>
      <c r="D262" s="4" t="s">
        <v>45</v>
      </c>
      <c r="E262" s="4">
        <v>34</v>
      </c>
      <c r="F262" s="4">
        <v>109.86</v>
      </c>
      <c r="G262" s="4">
        <v>7.0000000000000007E-2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spans="1:21" ht="12" customHeight="1">
      <c r="A263" s="4">
        <v>2006</v>
      </c>
      <c r="B263" s="4">
        <v>14276</v>
      </c>
      <c r="C263" s="5">
        <f>DATE(2012,12,31)-1292</f>
        <v>39982</v>
      </c>
      <c r="D263" s="4" t="s">
        <v>63</v>
      </c>
      <c r="E263" s="4">
        <v>11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spans="1:21" ht="12" customHeight="1">
      <c r="A264" s="4">
        <v>2498</v>
      </c>
      <c r="B264" s="4">
        <v>18179</v>
      </c>
      <c r="C264" s="5">
        <f t="shared" ref="C264:C266" si="110">DATE(2012,12,31)-1248</f>
        <v>40026</v>
      </c>
      <c r="D264" s="4" t="s">
        <v>45</v>
      </c>
      <c r="E264" s="4">
        <v>50</v>
      </c>
      <c r="F264" s="4">
        <v>3075.83</v>
      </c>
      <c r="G264" s="4">
        <v>0.03</v>
      </c>
      <c r="H264" s="4" t="s">
        <v>22</v>
      </c>
      <c r="I264" s="6">
        <v>1207.9100000000001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spans="1:21" ht="12" customHeight="1">
      <c r="A265" s="4">
        <v>2499</v>
      </c>
      <c r="B265" s="4">
        <v>18179</v>
      </c>
      <c r="C265" s="5">
        <f t="shared" si="110"/>
        <v>40026</v>
      </c>
      <c r="D265" s="4" t="s">
        <v>45</v>
      </c>
      <c r="E265" s="4">
        <v>24</v>
      </c>
      <c r="F265" s="4">
        <v>73.37</v>
      </c>
      <c r="G265" s="4">
        <v>0.04</v>
      </c>
      <c r="H265" s="4" t="s">
        <v>22</v>
      </c>
      <c r="I265" s="6">
        <v>16.100000000000001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spans="1:21" ht="12" customHeight="1">
      <c r="A266" s="4">
        <v>2500</v>
      </c>
      <c r="B266" s="4">
        <v>18179</v>
      </c>
      <c r="C266" s="5">
        <f t="shared" si="110"/>
        <v>40026</v>
      </c>
      <c r="D266" s="4" t="s">
        <v>45</v>
      </c>
      <c r="E266" s="4">
        <v>50</v>
      </c>
      <c r="F266" s="4">
        <v>527.6</v>
      </c>
      <c r="G266" s="4">
        <v>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1">C266+2</f>
        <v>40028</v>
      </c>
    </row>
    <row r="267" spans="1:21" ht="12" customHeight="1">
      <c r="A267" s="4">
        <v>2824</v>
      </c>
      <c r="B267" s="4">
        <v>20389</v>
      </c>
      <c r="C267" s="5">
        <f t="shared" ref="C267:C269" si="112">DATE(2012,12,31)-1238</f>
        <v>40036</v>
      </c>
      <c r="D267" s="4" t="s">
        <v>30</v>
      </c>
      <c r="E267" s="4">
        <v>31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1"/>
        <v>40038</v>
      </c>
    </row>
    <row r="268" spans="1:21" ht="12" customHeight="1">
      <c r="A268" s="4">
        <v>2825</v>
      </c>
      <c r="B268" s="4">
        <v>20389</v>
      </c>
      <c r="C268" s="5">
        <f t="shared" si="112"/>
        <v>40036</v>
      </c>
      <c r="D268" s="4" t="s">
        <v>30</v>
      </c>
      <c r="E268" s="4">
        <v>24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1"/>
        <v>40038</v>
      </c>
    </row>
    <row r="269" spans="1:21" ht="12" customHeight="1">
      <c r="A269" s="4">
        <v>2826</v>
      </c>
      <c r="B269" s="4">
        <v>20389</v>
      </c>
      <c r="C269" s="5">
        <f t="shared" si="112"/>
        <v>40036</v>
      </c>
      <c r="D269" s="4" t="s">
        <v>30</v>
      </c>
      <c r="E269" s="4">
        <v>30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1"/>
        <v>40038</v>
      </c>
    </row>
    <row r="270" spans="1:21" ht="12" customHeight="1">
      <c r="A270" s="4">
        <v>2829</v>
      </c>
      <c r="B270" s="4">
        <v>20422</v>
      </c>
      <c r="C270" s="5">
        <f>DATE(2012,12,31)-1435</f>
        <v>39839</v>
      </c>
      <c r="D270" s="4" t="s">
        <v>30</v>
      </c>
      <c r="E270" s="4">
        <v>5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1"/>
        <v>39841</v>
      </c>
    </row>
    <row r="271" spans="1:21" ht="12" customHeight="1">
      <c r="A271" s="4">
        <v>2890</v>
      </c>
      <c r="B271" s="4">
        <v>20838</v>
      </c>
      <c r="C271" s="5">
        <f t="shared" ref="C271:C272" si="113">DATE(2012,12,31)-1361</f>
        <v>39913</v>
      </c>
      <c r="D271" s="4" t="s">
        <v>45</v>
      </c>
      <c r="E271" s="4">
        <v>5</v>
      </c>
      <c r="F271" s="4">
        <v>20.170000000000002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0.56000000000000005</v>
      </c>
      <c r="U271" s="5">
        <f t="shared" ref="U271:U272" si="114">C271+1</f>
        <v>39914</v>
      </c>
    </row>
    <row r="272" spans="1:21" ht="12" customHeight="1">
      <c r="A272" s="4">
        <v>2891</v>
      </c>
      <c r="B272" s="4">
        <v>20838</v>
      </c>
      <c r="C272" s="5">
        <f t="shared" si="113"/>
        <v>39913</v>
      </c>
      <c r="D272" s="4" t="s">
        <v>45</v>
      </c>
      <c r="E272" s="4">
        <v>21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0.56999999999999995</v>
      </c>
      <c r="U272" s="5">
        <f t="shared" si="114"/>
        <v>39914</v>
      </c>
    </row>
    <row r="273" spans="1:21" ht="12" customHeight="1">
      <c r="A273" s="4">
        <v>2986</v>
      </c>
      <c r="B273" s="4">
        <v>21572</v>
      </c>
      <c r="C273" s="5">
        <f>DATE(2012,12,31)-1417</f>
        <v>39857</v>
      </c>
      <c r="D273" s="4" t="s">
        <v>78</v>
      </c>
      <c r="E273" s="4">
        <v>42</v>
      </c>
      <c r="F273" s="4">
        <v>8549.0400000000009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5">C273+2</f>
        <v>39859</v>
      </c>
    </row>
    <row r="274" spans="1:21" ht="12" customHeight="1">
      <c r="A274" s="4">
        <v>3498</v>
      </c>
      <c r="B274" s="4">
        <v>24933</v>
      </c>
      <c r="C274" s="5">
        <f t="shared" ref="C274:C275" si="116">DATE(2012,12,31)-1254</f>
        <v>40020</v>
      </c>
      <c r="D274" s="4" t="s">
        <v>21</v>
      </c>
      <c r="E274" s="4">
        <v>32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5"/>
        <v>40022</v>
      </c>
    </row>
    <row r="275" spans="1:21" ht="12" customHeight="1">
      <c r="A275" s="4">
        <v>3499</v>
      </c>
      <c r="B275" s="4">
        <v>24933</v>
      </c>
      <c r="C275" s="5">
        <f t="shared" si="116"/>
        <v>40020</v>
      </c>
      <c r="D275" s="4" t="s">
        <v>21</v>
      </c>
      <c r="E275" s="4">
        <v>14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5"/>
        <v>40022</v>
      </c>
    </row>
    <row r="276" spans="1:21" ht="12" customHeight="1">
      <c r="A276" s="4">
        <v>3514</v>
      </c>
      <c r="B276" s="4">
        <v>25031</v>
      </c>
      <c r="C276" s="5">
        <f t="shared" ref="C276:C277" si="117">DATE(2012,12,31)-1226</f>
        <v>40048</v>
      </c>
      <c r="D276" s="4" t="s">
        <v>30</v>
      </c>
      <c r="E276" s="4">
        <v>24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5"/>
        <v>40050</v>
      </c>
    </row>
    <row r="277" spans="1:21" ht="12" customHeight="1">
      <c r="A277" s="4">
        <v>3515</v>
      </c>
      <c r="B277" s="4">
        <v>25031</v>
      </c>
      <c r="C277" s="5">
        <f t="shared" si="117"/>
        <v>40048</v>
      </c>
      <c r="D277" s="4" t="s">
        <v>30</v>
      </c>
      <c r="E277" s="4">
        <v>20</v>
      </c>
      <c r="F277" s="4">
        <v>100.11</v>
      </c>
      <c r="G277" s="4">
        <v>7.0000000000000007E-2</v>
      </c>
      <c r="H277" s="4" t="s">
        <v>22</v>
      </c>
      <c r="I277" s="6">
        <v>-41.7</v>
      </c>
      <c r="J277" s="4">
        <v>4.9800000000000004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spans="1:21" ht="12" customHeight="1">
      <c r="A278" s="4">
        <v>3684</v>
      </c>
      <c r="B278" s="4">
        <v>26342</v>
      </c>
      <c r="C278" s="5">
        <f t="shared" ref="C278:C280" si="118">DATE(2012,12,31)-1170</f>
        <v>40104</v>
      </c>
      <c r="D278" s="4" t="s">
        <v>21</v>
      </c>
      <c r="E278" s="4">
        <v>24</v>
      </c>
      <c r="F278" s="4">
        <v>265.35000000000002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spans="1:21" ht="12" customHeight="1">
      <c r="A279" s="4">
        <v>3685</v>
      </c>
      <c r="B279" s="4">
        <v>26342</v>
      </c>
      <c r="C279" s="5">
        <f t="shared" si="118"/>
        <v>40104</v>
      </c>
      <c r="D279" s="4" t="s">
        <v>21</v>
      </c>
      <c r="E279" s="4">
        <v>41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spans="1:21" ht="12" customHeight="1">
      <c r="A280" s="4">
        <v>3686</v>
      </c>
      <c r="B280" s="4">
        <v>26342</v>
      </c>
      <c r="C280" s="5">
        <f t="shared" si="118"/>
        <v>40104</v>
      </c>
      <c r="D280" s="4" t="s">
        <v>21</v>
      </c>
      <c r="E280" s="4">
        <v>3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spans="1:21" ht="12" customHeight="1">
      <c r="A281" s="4">
        <v>3690</v>
      </c>
      <c r="B281" s="4">
        <v>26372</v>
      </c>
      <c r="C281" s="5">
        <f>DATE(2012,12,31)-1268</f>
        <v>40006</v>
      </c>
      <c r="D281" s="4" t="s">
        <v>21</v>
      </c>
      <c r="E281" s="4">
        <v>1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spans="1:21" ht="12" customHeight="1">
      <c r="A282" s="4">
        <v>3834</v>
      </c>
      <c r="B282" s="4">
        <v>27330</v>
      </c>
      <c r="C282" s="5">
        <f t="shared" ref="C282:C283" si="119">DATE(2012,12,31)-1202</f>
        <v>40072</v>
      </c>
      <c r="D282" s="4" t="s">
        <v>21</v>
      </c>
      <c r="E282" s="4">
        <v>8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spans="1:21" ht="12" customHeight="1">
      <c r="A283" s="4">
        <v>3835</v>
      </c>
      <c r="B283" s="4">
        <v>27330</v>
      </c>
      <c r="C283" s="5">
        <f t="shared" si="119"/>
        <v>40072</v>
      </c>
      <c r="D283" s="4" t="s">
        <v>21</v>
      </c>
      <c r="E283" s="4">
        <v>30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0.56000000000000005</v>
      </c>
      <c r="U283" s="5">
        <f>C283+9</f>
        <v>40081</v>
      </c>
    </row>
    <row r="284" spans="1:21" ht="12" customHeight="1">
      <c r="A284" s="4">
        <v>3956</v>
      </c>
      <c r="B284" s="4">
        <v>28225</v>
      </c>
      <c r="C284" s="5">
        <f>DATE(2012,12,31)-1439</f>
        <v>39835</v>
      </c>
      <c r="D284" s="4" t="s">
        <v>78</v>
      </c>
      <c r="E284" s="4">
        <v>9</v>
      </c>
      <c r="F284" s="4">
        <v>206.04</v>
      </c>
      <c r="G284" s="4">
        <v>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spans="1:21" ht="12" customHeight="1">
      <c r="A285" s="4">
        <v>3975</v>
      </c>
      <c r="B285" s="4">
        <v>28389</v>
      </c>
      <c r="C285" s="5">
        <f t="shared" ref="C285:C287" si="120">DATE(2012,12,31)-1154</f>
        <v>40120</v>
      </c>
      <c r="D285" s="4" t="s">
        <v>30</v>
      </c>
      <c r="E285" s="4">
        <v>22</v>
      </c>
      <c r="F285" s="4">
        <v>668.39</v>
      </c>
      <c r="G285" s="4">
        <v>7.0000000000000007E-2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1">C285+1</f>
        <v>40121</v>
      </c>
    </row>
    <row r="286" spans="1:21" ht="12" customHeight="1">
      <c r="A286" s="4">
        <v>3976</v>
      </c>
      <c r="B286" s="4">
        <v>28389</v>
      </c>
      <c r="C286" s="5">
        <f t="shared" si="120"/>
        <v>40120</v>
      </c>
      <c r="D286" s="4" t="s">
        <v>30</v>
      </c>
      <c r="E286" s="4">
        <v>16</v>
      </c>
      <c r="F286" s="4">
        <v>4657.3500000000004</v>
      </c>
      <c r="G286" s="4">
        <v>0.05</v>
      </c>
      <c r="H286" s="4" t="s">
        <v>31</v>
      </c>
      <c r="I286" s="6">
        <v>322.66000000000003</v>
      </c>
      <c r="J286" s="4">
        <v>297.48</v>
      </c>
      <c r="K286" s="4">
        <v>18.059999999999999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1"/>
        <v>40121</v>
      </c>
    </row>
    <row r="287" spans="1:21" ht="12" customHeight="1">
      <c r="A287" s="4">
        <v>3977</v>
      </c>
      <c r="B287" s="4">
        <v>28389</v>
      </c>
      <c r="C287" s="5">
        <f t="shared" si="120"/>
        <v>40120</v>
      </c>
      <c r="D287" s="4" t="s">
        <v>30</v>
      </c>
      <c r="E287" s="4">
        <v>7</v>
      </c>
      <c r="F287" s="4">
        <v>2097.94</v>
      </c>
      <c r="G287" s="4">
        <v>7.0000000000000007E-2</v>
      </c>
      <c r="H287" s="4" t="s">
        <v>31</v>
      </c>
      <c r="I287" s="6">
        <v>-404.04599999999999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spans="1:21" ht="12" customHeight="1">
      <c r="A288" s="4">
        <v>4407</v>
      </c>
      <c r="B288" s="4">
        <v>31426</v>
      </c>
      <c r="C288" s="5">
        <f>DATE(2012,12,31)-1244</f>
        <v>40030</v>
      </c>
      <c r="D288" s="4" t="s">
        <v>21</v>
      </c>
      <c r="E288" s="4">
        <v>40</v>
      </c>
      <c r="F288" s="4">
        <v>4054.0579999999995</v>
      </c>
      <c r="G288" s="4">
        <v>0.09</v>
      </c>
      <c r="H288" s="4" t="s">
        <v>22</v>
      </c>
      <c r="I288" s="6">
        <v>914.19299999999998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spans="1:21" ht="12" customHeight="1">
      <c r="A289" s="4">
        <v>4576</v>
      </c>
      <c r="B289" s="4">
        <v>32582</v>
      </c>
      <c r="C289" s="5">
        <f>DATE(2012,12,31)-1285</f>
        <v>39989</v>
      </c>
      <c r="D289" s="4" t="s">
        <v>45</v>
      </c>
      <c r="E289" s="4">
        <v>27</v>
      </c>
      <c r="F289" s="4">
        <v>2780.88</v>
      </c>
      <c r="G289" s="4">
        <v>7.0000000000000007E-2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spans="1:21" ht="12" customHeight="1">
      <c r="A290" s="4">
        <v>4580</v>
      </c>
      <c r="B290" s="4">
        <v>32611</v>
      </c>
      <c r="C290" s="5">
        <f t="shared" ref="C290:C293" si="122">DATE(2012,12,31)-1222</f>
        <v>40052</v>
      </c>
      <c r="D290" s="4" t="s">
        <v>63</v>
      </c>
      <c r="E290" s="4">
        <v>16</v>
      </c>
      <c r="F290" s="4">
        <v>33.76</v>
      </c>
      <c r="G290" s="4">
        <v>0.04</v>
      </c>
      <c r="H290" s="4" t="s">
        <v>22</v>
      </c>
      <c r="I290" s="6">
        <v>-7.1529999999999996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spans="1:21" ht="12" customHeight="1">
      <c r="A291" s="4">
        <v>4581</v>
      </c>
      <c r="B291" s="4">
        <v>32611</v>
      </c>
      <c r="C291" s="5">
        <f t="shared" si="122"/>
        <v>40052</v>
      </c>
      <c r="D291" s="4" t="s">
        <v>63</v>
      </c>
      <c r="E291" s="4">
        <v>19</v>
      </c>
      <c r="F291" s="4">
        <v>3537.39</v>
      </c>
      <c r="G291" s="4">
        <v>0</v>
      </c>
      <c r="H291" s="4" t="s">
        <v>31</v>
      </c>
      <c r="I291" s="6">
        <v>232.78</v>
      </c>
      <c r="J291" s="4">
        <v>180.98</v>
      </c>
      <c r="K291" s="4">
        <v>30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3">C291+1</f>
        <v>40053</v>
      </c>
    </row>
    <row r="292" spans="1:21" ht="12" customHeight="1">
      <c r="A292" s="4">
        <v>4582</v>
      </c>
      <c r="B292" s="4">
        <v>32611</v>
      </c>
      <c r="C292" s="5">
        <f t="shared" si="122"/>
        <v>40052</v>
      </c>
      <c r="D292" s="4" t="s">
        <v>63</v>
      </c>
      <c r="E292" s="4">
        <v>18</v>
      </c>
      <c r="F292" s="4">
        <v>986.24</v>
      </c>
      <c r="G292" s="4">
        <v>0.02</v>
      </c>
      <c r="H292" s="4" t="s">
        <v>56</v>
      </c>
      <c r="I292" s="6">
        <v>68.900000000000006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3"/>
        <v>40053</v>
      </c>
    </row>
    <row r="293" spans="1:21" ht="12" customHeight="1">
      <c r="A293" s="4">
        <v>4583</v>
      </c>
      <c r="B293" s="4">
        <v>32611</v>
      </c>
      <c r="C293" s="5">
        <f t="shared" si="122"/>
        <v>40052</v>
      </c>
      <c r="D293" s="4" t="s">
        <v>63</v>
      </c>
      <c r="E293" s="4">
        <v>15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4.9800000000000004</v>
      </c>
      <c r="K293" s="4">
        <v>5.0199999999999996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spans="1:21" ht="12" customHeight="1">
      <c r="A294" s="4">
        <v>4745</v>
      </c>
      <c r="B294" s="4">
        <v>33732</v>
      </c>
      <c r="C294" s="5">
        <f>DATE(2012,12,31)-1221</f>
        <v>40053</v>
      </c>
      <c r="D294" s="4" t="s">
        <v>45</v>
      </c>
      <c r="E294" s="4">
        <v>33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0.55000000000000004</v>
      </c>
      <c r="U294" s="5">
        <f>C294+1</f>
        <v>40054</v>
      </c>
    </row>
    <row r="295" spans="1:21" ht="12" customHeight="1">
      <c r="A295" s="4">
        <v>4843</v>
      </c>
      <c r="B295" s="4">
        <v>34435</v>
      </c>
      <c r="C295" s="5">
        <f>DATE(2012,12,31)-1244</f>
        <v>40030</v>
      </c>
      <c r="D295" s="4" t="s">
        <v>21</v>
      </c>
      <c r="E295" s="4">
        <v>42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4">C295+2</f>
        <v>40032</v>
      </c>
    </row>
    <row r="296" spans="1:21" ht="12" customHeight="1">
      <c r="A296" s="4">
        <v>5180</v>
      </c>
      <c r="B296" s="4">
        <v>36834</v>
      </c>
      <c r="C296" s="5">
        <f>DATE(2012,12,31)-1103</f>
        <v>40171</v>
      </c>
      <c r="D296" s="4" t="s">
        <v>21</v>
      </c>
      <c r="E296" s="4">
        <v>11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4"/>
        <v>40173</v>
      </c>
    </row>
    <row r="297" spans="1:21" ht="12" customHeight="1">
      <c r="A297" s="4">
        <v>5297</v>
      </c>
      <c r="B297" s="4">
        <v>37729</v>
      </c>
      <c r="C297" s="5">
        <f>DATE(2012,12,31)-1446</f>
        <v>39828</v>
      </c>
      <c r="D297" s="4" t="s">
        <v>45</v>
      </c>
      <c r="E297" s="4">
        <v>48</v>
      </c>
      <c r="F297" s="4">
        <v>447.89</v>
      </c>
      <c r="G297" s="4">
        <v>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spans="1:21" ht="12" customHeight="1">
      <c r="A298" s="4">
        <v>5775</v>
      </c>
      <c r="B298" s="4">
        <v>40965</v>
      </c>
      <c r="C298" s="5">
        <f>DATE(2012,12,31)-1137</f>
        <v>40137</v>
      </c>
      <c r="D298" s="4" t="s">
        <v>63</v>
      </c>
      <c r="E298" s="4">
        <v>29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spans="1:21" ht="12" customHeight="1">
      <c r="A299" s="4">
        <v>5836</v>
      </c>
      <c r="B299" s="4">
        <v>41412</v>
      </c>
      <c r="C299" s="5">
        <f>DATE(2012,12,31)-1201</f>
        <v>40073</v>
      </c>
      <c r="D299" s="4" t="s">
        <v>45</v>
      </c>
      <c r="E299" s="4">
        <v>47</v>
      </c>
      <c r="F299" s="4">
        <v>263.81</v>
      </c>
      <c r="G299" s="4">
        <v>0.03</v>
      </c>
      <c r="H299" s="4" t="s">
        <v>22</v>
      </c>
      <c r="I299" s="6">
        <v>-237.54400000000001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spans="1:21" ht="12" customHeight="1">
      <c r="A300" s="4">
        <v>5969</v>
      </c>
      <c r="B300" s="4">
        <v>42339</v>
      </c>
      <c r="C300" s="5">
        <f>DATE(2012,12,31)-1418</f>
        <v>39856</v>
      </c>
      <c r="D300" s="4" t="s">
        <v>78</v>
      </c>
      <c r="E300" s="4">
        <v>31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spans="1:21" ht="12" customHeight="1">
      <c r="A301" s="4">
        <v>5971</v>
      </c>
      <c r="B301" s="4">
        <v>42342</v>
      </c>
      <c r="C301" s="5">
        <f>DATE(2012,12,31)-1214</f>
        <v>40060</v>
      </c>
      <c r="D301" s="4" t="s">
        <v>45</v>
      </c>
      <c r="E301" s="4">
        <v>25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5">C301+1</f>
        <v>40061</v>
      </c>
    </row>
    <row r="302" spans="1:21" ht="12" customHeight="1">
      <c r="A302" s="4">
        <v>6080</v>
      </c>
      <c r="B302" s="4">
        <v>43079</v>
      </c>
      <c r="C302" s="5">
        <f>DATE(2012,12,31)-1259</f>
        <v>40015</v>
      </c>
      <c r="D302" s="4" t="s">
        <v>63</v>
      </c>
      <c r="E302" s="4">
        <v>40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5"/>
        <v>40016</v>
      </c>
    </row>
    <row r="303" spans="1:21" ht="12" customHeight="1">
      <c r="A303" s="4">
        <v>6091</v>
      </c>
      <c r="B303" s="4">
        <v>43140</v>
      </c>
      <c r="C303" s="5">
        <f>DATE(2012,12,31)-1384</f>
        <v>39890</v>
      </c>
      <c r="D303" s="4" t="s">
        <v>78</v>
      </c>
      <c r="E303" s="4">
        <v>23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spans="1:21" ht="12" customHeight="1">
      <c r="A304" s="4">
        <v>6432</v>
      </c>
      <c r="B304" s="4">
        <v>45731</v>
      </c>
      <c r="C304" s="5">
        <f t="shared" ref="C304:C305" si="126">DATE(2012,12,31)-1239</f>
        <v>40035</v>
      </c>
      <c r="D304" s="4" t="s">
        <v>78</v>
      </c>
      <c r="E304" s="4">
        <v>19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spans="1:21" ht="12" customHeight="1">
      <c r="A305" s="4">
        <v>6433</v>
      </c>
      <c r="B305" s="4">
        <v>45731</v>
      </c>
      <c r="C305" s="5">
        <f t="shared" si="126"/>
        <v>40035</v>
      </c>
      <c r="D305" s="4" t="s">
        <v>78</v>
      </c>
      <c r="E305" s="4">
        <v>35</v>
      </c>
      <c r="F305" s="4">
        <v>2506.2674999999999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spans="1:21" ht="12" customHeight="1">
      <c r="A306" s="4">
        <v>6621</v>
      </c>
      <c r="B306" s="4">
        <v>47108</v>
      </c>
      <c r="C306" s="5">
        <f t="shared" ref="C306:C309" si="127">DATE(2012,12,31)-1173</f>
        <v>40101</v>
      </c>
      <c r="D306" s="4" t="s">
        <v>45</v>
      </c>
      <c r="E306" s="4">
        <v>19</v>
      </c>
      <c r="F306" s="4">
        <v>359.68</v>
      </c>
      <c r="G306" s="4">
        <v>7.0000000000000007E-2</v>
      </c>
      <c r="H306" s="4" t="s">
        <v>22</v>
      </c>
      <c r="I306" s="6">
        <v>187.15</v>
      </c>
      <c r="J306" s="4">
        <v>18.649999999999999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spans="1:21" ht="12" customHeight="1">
      <c r="A307" s="4">
        <v>6622</v>
      </c>
      <c r="B307" s="4">
        <v>47108</v>
      </c>
      <c r="C307" s="5">
        <f t="shared" si="127"/>
        <v>40101</v>
      </c>
      <c r="D307" s="4" t="s">
        <v>45</v>
      </c>
      <c r="E307" s="4">
        <v>7</v>
      </c>
      <c r="F307" s="4">
        <v>131.55000000000001</v>
      </c>
      <c r="G307" s="4">
        <v>0.06</v>
      </c>
      <c r="H307" s="4" t="s">
        <v>22</v>
      </c>
      <c r="I307" s="6">
        <v>-43.743600000000001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spans="1:21" ht="12" customHeight="1">
      <c r="A308" s="4">
        <v>6623</v>
      </c>
      <c r="B308" s="4">
        <v>47108</v>
      </c>
      <c r="C308" s="5">
        <f t="shared" si="127"/>
        <v>40101</v>
      </c>
      <c r="D308" s="4" t="s">
        <v>45</v>
      </c>
      <c r="E308" s="4">
        <v>26</v>
      </c>
      <c r="F308" s="4">
        <v>258.11</v>
      </c>
      <c r="G308" s="4">
        <v>0.1</v>
      </c>
      <c r="H308" s="4" t="s">
        <v>56</v>
      </c>
      <c r="I308" s="6">
        <v>9.9499999999999993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spans="1:21" ht="12" customHeight="1">
      <c r="A309" s="4">
        <v>6624</v>
      </c>
      <c r="B309" s="4">
        <v>47108</v>
      </c>
      <c r="C309" s="5">
        <f t="shared" si="127"/>
        <v>40101</v>
      </c>
      <c r="D309" s="4" t="s">
        <v>45</v>
      </c>
      <c r="E309" s="4">
        <v>9</v>
      </c>
      <c r="F309" s="4">
        <v>1288.5150000000001</v>
      </c>
      <c r="G309" s="4">
        <v>0.08</v>
      </c>
      <c r="H309" s="4" t="s">
        <v>56</v>
      </c>
      <c r="I309" s="6">
        <v>-382.56900000000002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0.56999999999999995</v>
      </c>
      <c r="U309" s="5">
        <f>C309+1</f>
        <v>40102</v>
      </c>
    </row>
    <row r="310" spans="1:21" ht="12" customHeight="1">
      <c r="A310" s="4">
        <v>6676</v>
      </c>
      <c r="B310" s="4">
        <v>47520</v>
      </c>
      <c r="C310" s="5">
        <f t="shared" ref="C310:C312" si="128">DATE(2012,12,31)-1181</f>
        <v>40093</v>
      </c>
      <c r="D310" s="4" t="s">
        <v>45</v>
      </c>
      <c r="E310" s="4">
        <v>36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29">C310+2</f>
        <v>40095</v>
      </c>
    </row>
    <row r="311" spans="1:21" ht="12" customHeight="1">
      <c r="A311" s="4">
        <v>6677</v>
      </c>
      <c r="B311" s="4">
        <v>47520</v>
      </c>
      <c r="C311" s="5">
        <f t="shared" si="128"/>
        <v>40093</v>
      </c>
      <c r="D311" s="4" t="s">
        <v>45</v>
      </c>
      <c r="E311" s="4">
        <v>13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0.56000000000000005</v>
      </c>
      <c r="U311" s="5">
        <f t="shared" si="129"/>
        <v>40095</v>
      </c>
    </row>
    <row r="312" spans="1:21" ht="12" customHeight="1">
      <c r="A312" s="4">
        <v>6678</v>
      </c>
      <c r="B312" s="4">
        <v>47520</v>
      </c>
      <c r="C312" s="5">
        <f t="shared" si="128"/>
        <v>40093</v>
      </c>
      <c r="D312" s="4" t="s">
        <v>45</v>
      </c>
      <c r="E312" s="4">
        <v>47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29"/>
        <v>40095</v>
      </c>
    </row>
    <row r="313" spans="1:21" ht="12" customHeight="1">
      <c r="A313" s="4">
        <v>6699</v>
      </c>
      <c r="B313" s="4">
        <v>47713</v>
      </c>
      <c r="C313" s="5">
        <f>DATE(2012,12,31)-1277</f>
        <v>39997</v>
      </c>
      <c r="D313" s="4" t="s">
        <v>30</v>
      </c>
      <c r="E313" s="4">
        <v>34</v>
      </c>
      <c r="F313" s="4">
        <v>3419.1505000000002</v>
      </c>
      <c r="G313" s="4">
        <v>0</v>
      </c>
      <c r="H313" s="4" t="s">
        <v>22</v>
      </c>
      <c r="I313" s="6">
        <v>858.58199999999999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0.57999999999999996</v>
      </c>
      <c r="U313" s="5">
        <f>C313+0</f>
        <v>39997</v>
      </c>
    </row>
    <row r="314" spans="1:21" ht="12" customHeight="1">
      <c r="A314" s="4">
        <v>6885</v>
      </c>
      <c r="B314" s="4">
        <v>49088</v>
      </c>
      <c r="C314" s="5">
        <f t="shared" ref="C314:C316" si="130">DATE(2012,12,31)-1195</f>
        <v>40079</v>
      </c>
      <c r="D314" s="4" t="s">
        <v>78</v>
      </c>
      <c r="E314" s="4">
        <v>16</v>
      </c>
      <c r="F314" s="4">
        <v>130.11000000000001</v>
      </c>
      <c r="G314" s="4">
        <v>0.03</v>
      </c>
      <c r="H314" s="4" t="s">
        <v>22</v>
      </c>
      <c r="I314" s="6">
        <v>-47.69</v>
      </c>
      <c r="J314" s="4">
        <v>8.1199999999999992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1">C314+1</f>
        <v>40080</v>
      </c>
    </row>
    <row r="315" spans="1:21" ht="12" customHeight="1">
      <c r="A315" s="4">
        <v>6886</v>
      </c>
      <c r="B315" s="4">
        <v>49088</v>
      </c>
      <c r="C315" s="5">
        <f t="shared" si="130"/>
        <v>40079</v>
      </c>
      <c r="D315" s="4" t="s">
        <v>78</v>
      </c>
      <c r="E315" s="4">
        <v>15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1"/>
        <v>40080</v>
      </c>
    </row>
    <row r="316" spans="1:21" ht="12" customHeight="1">
      <c r="A316" s="4">
        <v>6887</v>
      </c>
      <c r="B316" s="4">
        <v>49088</v>
      </c>
      <c r="C316" s="5">
        <f t="shared" si="130"/>
        <v>40079</v>
      </c>
      <c r="D316" s="4" t="s">
        <v>78</v>
      </c>
      <c r="E316" s="4">
        <v>31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2">C316+2</f>
        <v>40081</v>
      </c>
    </row>
    <row r="317" spans="1:21" ht="12" customHeight="1">
      <c r="A317" s="4">
        <v>7057</v>
      </c>
      <c r="B317" s="4">
        <v>50338</v>
      </c>
      <c r="C317" s="5">
        <f>DATE(2012,12,31)-1379</f>
        <v>39895</v>
      </c>
      <c r="D317" s="4" t="s">
        <v>45</v>
      </c>
      <c r="E317" s="4">
        <v>36</v>
      </c>
      <c r="F317" s="4">
        <v>551.44000000000005</v>
      </c>
      <c r="G317" s="4">
        <v>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2"/>
        <v>39897</v>
      </c>
    </row>
    <row r="318" spans="1:21" ht="12" customHeight="1">
      <c r="A318" s="4">
        <v>7539</v>
      </c>
      <c r="B318" s="4">
        <v>53894</v>
      </c>
      <c r="C318" s="5">
        <f t="shared" ref="C318:C320" si="133">DATE(2012,12,31)-1273</f>
        <v>40001</v>
      </c>
      <c r="D318" s="4" t="s">
        <v>78</v>
      </c>
      <c r="E318" s="4">
        <v>47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4">C318+1</f>
        <v>40002</v>
      </c>
    </row>
    <row r="319" spans="1:21" ht="12" customHeight="1">
      <c r="A319" s="4">
        <v>7540</v>
      </c>
      <c r="B319" s="4">
        <v>53894</v>
      </c>
      <c r="C319" s="5">
        <f t="shared" si="133"/>
        <v>40001</v>
      </c>
      <c r="D319" s="4" t="s">
        <v>78</v>
      </c>
      <c r="E319" s="4">
        <v>37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4"/>
        <v>40002</v>
      </c>
    </row>
    <row r="320" spans="1:21" ht="12" customHeight="1">
      <c r="A320" s="4">
        <v>7541</v>
      </c>
      <c r="B320" s="4">
        <v>53894</v>
      </c>
      <c r="C320" s="5">
        <f t="shared" si="133"/>
        <v>40001</v>
      </c>
      <c r="D320" s="4" t="s">
        <v>78</v>
      </c>
      <c r="E320" s="4">
        <v>29</v>
      </c>
      <c r="F320" s="4">
        <v>5159.3725000000004</v>
      </c>
      <c r="G320" s="4">
        <v>0.02</v>
      </c>
      <c r="H320" s="4" t="s">
        <v>56</v>
      </c>
      <c r="I320" s="6">
        <v>1252.4760000000001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spans="1:21" ht="12" customHeight="1">
      <c r="A321" s="4">
        <v>7544</v>
      </c>
      <c r="B321" s="4">
        <v>53953</v>
      </c>
      <c r="C321" s="5">
        <f>DATE(2012,12,31)-1375</f>
        <v>39899</v>
      </c>
      <c r="D321" s="4" t="s">
        <v>45</v>
      </c>
      <c r="E321" s="4">
        <v>36</v>
      </c>
      <c r="F321" s="4">
        <v>307.64999999999998</v>
      </c>
      <c r="G321" s="4">
        <v>7.0000000000000007E-2</v>
      </c>
      <c r="H321" s="4" t="s">
        <v>22</v>
      </c>
      <c r="I321" s="6">
        <v>91.73</v>
      </c>
      <c r="J321" s="4">
        <v>8.9499999999999993</v>
      </c>
      <c r="K321" s="4">
        <v>2.0099999999999998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5">C321+1</f>
        <v>39900</v>
      </c>
    </row>
    <row r="322" spans="1:21" ht="12" customHeight="1">
      <c r="A322" s="4">
        <v>7731</v>
      </c>
      <c r="B322" s="4">
        <v>55367</v>
      </c>
      <c r="C322" s="5">
        <f t="shared" ref="C322:C323" si="136">DATE(2012,12,31)-1451</f>
        <v>39823</v>
      </c>
      <c r="D322" s="4" t="s">
        <v>78</v>
      </c>
      <c r="E322" s="4">
        <v>31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0.56000000000000005</v>
      </c>
      <c r="U322" s="5">
        <f t="shared" si="135"/>
        <v>39824</v>
      </c>
    </row>
    <row r="323" spans="1:21" ht="12" customHeight="1">
      <c r="A323" s="4">
        <v>7732</v>
      </c>
      <c r="B323" s="4">
        <v>55367</v>
      </c>
      <c r="C323" s="5">
        <f t="shared" si="136"/>
        <v>39823</v>
      </c>
      <c r="D323" s="4" t="s">
        <v>78</v>
      </c>
      <c r="E323" s="4">
        <v>48</v>
      </c>
      <c r="F323" s="4">
        <v>571.16999999999996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0.55000000000000004</v>
      </c>
      <c r="U323" s="5">
        <f t="shared" ref="U323:U325" si="137">C323+2</f>
        <v>39825</v>
      </c>
    </row>
    <row r="324" spans="1:21" ht="12" customHeight="1">
      <c r="A324" s="4">
        <v>7962</v>
      </c>
      <c r="B324" s="4">
        <v>56901</v>
      </c>
      <c r="C324" s="5">
        <f>DATE(2012,12,31)-1207</f>
        <v>40067</v>
      </c>
      <c r="D324" s="4" t="s">
        <v>78</v>
      </c>
      <c r="E324" s="4">
        <v>36</v>
      </c>
      <c r="F324" s="4">
        <v>100.68</v>
      </c>
      <c r="G324" s="4">
        <v>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0.57999999999999996</v>
      </c>
      <c r="U324" s="5">
        <f t="shared" si="137"/>
        <v>40069</v>
      </c>
    </row>
    <row r="325" spans="1:21" ht="12" customHeight="1">
      <c r="A325" s="4">
        <v>198</v>
      </c>
      <c r="B325" s="4">
        <v>1313</v>
      </c>
      <c r="C325" s="5">
        <f>DATE(2012,12,31)-1206</f>
        <v>40068</v>
      </c>
      <c r="D325" s="4" t="s">
        <v>78</v>
      </c>
      <c r="E325" s="4">
        <v>34</v>
      </c>
      <c r="F325" s="4">
        <v>840.07</v>
      </c>
      <c r="G325" s="4">
        <v>0</v>
      </c>
      <c r="H325" s="4" t="s">
        <v>22</v>
      </c>
      <c r="I325" s="6">
        <v>-83.75</v>
      </c>
      <c r="J325" s="4">
        <v>22.84</v>
      </c>
      <c r="K325" s="4">
        <v>16.920000000000002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7"/>
        <v>40070</v>
      </c>
    </row>
    <row r="326" spans="1:21" ht="12" customHeight="1">
      <c r="A326" s="4">
        <v>773</v>
      </c>
      <c r="B326" s="4">
        <v>5511</v>
      </c>
      <c r="C326" s="5">
        <f t="shared" ref="C326:C327" si="138">DATE(2012,12,31)-1129</f>
        <v>40145</v>
      </c>
      <c r="D326" s="4" t="s">
        <v>78</v>
      </c>
      <c r="E326" s="4">
        <v>46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39">C326+1</f>
        <v>40146</v>
      </c>
    </row>
    <row r="327" spans="1:21" ht="12" customHeight="1">
      <c r="A327" s="4">
        <v>774</v>
      </c>
      <c r="B327" s="4">
        <v>5511</v>
      </c>
      <c r="C327" s="5">
        <f t="shared" si="138"/>
        <v>40145</v>
      </c>
      <c r="D327" s="4" t="s">
        <v>78</v>
      </c>
      <c r="E327" s="4">
        <v>32</v>
      </c>
      <c r="F327" s="4">
        <v>1829.3869999999997</v>
      </c>
      <c r="G327" s="4">
        <v>0.02</v>
      </c>
      <c r="H327" s="4" t="s">
        <v>22</v>
      </c>
      <c r="I327" s="6">
        <v>482.44499999999999</v>
      </c>
      <c r="J327" s="4">
        <v>65.989999999999995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0.55000000000000004</v>
      </c>
      <c r="U327" s="5">
        <f t="shared" si="139"/>
        <v>40146</v>
      </c>
    </row>
    <row r="328" spans="1:21" ht="12" customHeight="1">
      <c r="A328" s="4">
        <v>1127</v>
      </c>
      <c r="B328" s="4">
        <v>8257</v>
      </c>
      <c r="C328" s="5">
        <f t="shared" ref="C328:C330" si="140">DATE(2012,12,31)-1380</f>
        <v>39894</v>
      </c>
      <c r="D328" s="4" t="s">
        <v>21</v>
      </c>
      <c r="E328" s="4">
        <v>5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0.56999999999999995</v>
      </c>
      <c r="U328" s="5">
        <f>C328+0</f>
        <v>39894</v>
      </c>
    </row>
    <row r="329" spans="1:21" ht="12" customHeight="1">
      <c r="A329" s="4">
        <v>1128</v>
      </c>
      <c r="B329" s="4">
        <v>8257</v>
      </c>
      <c r="C329" s="5">
        <f t="shared" si="140"/>
        <v>39894</v>
      </c>
      <c r="D329" s="4" t="s">
        <v>21</v>
      </c>
      <c r="E329" s="4">
        <v>18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spans="1:21" ht="12" customHeight="1">
      <c r="A330" s="4">
        <v>1129</v>
      </c>
      <c r="B330" s="4">
        <v>8257</v>
      </c>
      <c r="C330" s="5">
        <f t="shared" si="140"/>
        <v>39894</v>
      </c>
      <c r="D330" s="4" t="s">
        <v>21</v>
      </c>
      <c r="E330" s="4">
        <v>5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0.57999999999999996</v>
      </c>
      <c r="U330" s="5">
        <f>C330+7</f>
        <v>39901</v>
      </c>
    </row>
    <row r="331" spans="1:21" ht="12" customHeight="1">
      <c r="A331" s="4">
        <v>1243</v>
      </c>
      <c r="B331" s="4">
        <v>9057</v>
      </c>
      <c r="C331" s="5">
        <f>DATE(2012,12,31)-1153</f>
        <v>40121</v>
      </c>
      <c r="D331" s="4" t="s">
        <v>78</v>
      </c>
      <c r="E331" s="4">
        <v>20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spans="1:21" ht="12" customHeight="1">
      <c r="A332" s="4">
        <v>1279</v>
      </c>
      <c r="B332" s="4">
        <v>9285</v>
      </c>
      <c r="C332" s="5">
        <f>DATE(2012,12,31)-1459</f>
        <v>39815</v>
      </c>
      <c r="D332" s="4" t="s">
        <v>78</v>
      </c>
      <c r="E332" s="4">
        <v>3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spans="1:21" ht="12" customHeight="1">
      <c r="A333" s="4">
        <v>1364</v>
      </c>
      <c r="B333" s="4">
        <v>9923</v>
      </c>
      <c r="C333" s="5">
        <f t="shared" ref="C333:C334" si="141">DATE(2012,12,31)-1183</f>
        <v>40091</v>
      </c>
      <c r="D333" s="4" t="s">
        <v>30</v>
      </c>
      <c r="E333" s="4">
        <v>27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spans="1:21" ht="12" customHeight="1">
      <c r="A334" s="4">
        <v>1365</v>
      </c>
      <c r="B334" s="4">
        <v>9923</v>
      </c>
      <c r="C334" s="5">
        <f t="shared" si="141"/>
        <v>40091</v>
      </c>
      <c r="D334" s="4" t="s">
        <v>30</v>
      </c>
      <c r="E334" s="4">
        <v>14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spans="1:21" ht="12" customHeight="1">
      <c r="A335" s="4">
        <v>1694</v>
      </c>
      <c r="B335" s="4">
        <v>12228</v>
      </c>
      <c r="C335" s="5">
        <f t="shared" ref="C335:C336" si="142">DATE(2012,12,31)-1285</f>
        <v>39989</v>
      </c>
      <c r="D335" s="4" t="s">
        <v>45</v>
      </c>
      <c r="E335" s="4">
        <v>1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130.97999999999999</v>
      </c>
      <c r="K335" s="4">
        <v>30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spans="1:21" ht="12" customHeight="1">
      <c r="A336" s="4">
        <v>1695</v>
      </c>
      <c r="B336" s="4">
        <v>12228</v>
      </c>
      <c r="C336" s="5">
        <f t="shared" si="142"/>
        <v>39989</v>
      </c>
      <c r="D336" s="4" t="s">
        <v>45</v>
      </c>
      <c r="E336" s="4">
        <v>30</v>
      </c>
      <c r="F336" s="4">
        <v>5015.0510000000004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spans="1:21" ht="12" customHeight="1">
      <c r="A337" s="4">
        <v>1723</v>
      </c>
      <c r="B337" s="4">
        <v>12389</v>
      </c>
      <c r="C337" s="5">
        <f t="shared" ref="C337:C338" si="143">DATE(2012,12,31)-1245</f>
        <v>40029</v>
      </c>
      <c r="D337" s="4" t="s">
        <v>63</v>
      </c>
      <c r="E337" s="4">
        <v>34</v>
      </c>
      <c r="F337" s="4">
        <v>2560.59</v>
      </c>
      <c r="G337" s="4">
        <v>7.0000000000000007E-2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spans="1:21" ht="12" customHeight="1">
      <c r="A338" s="4">
        <v>1724</v>
      </c>
      <c r="B338" s="4">
        <v>12389</v>
      </c>
      <c r="C338" s="5">
        <f t="shared" si="143"/>
        <v>40029</v>
      </c>
      <c r="D338" s="4" t="s">
        <v>63</v>
      </c>
      <c r="E338" s="4">
        <v>16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0.56999999999999995</v>
      </c>
      <c r="U338" s="5">
        <f>C338+1</f>
        <v>40030</v>
      </c>
    </row>
    <row r="339" spans="1:21" ht="12" customHeight="1">
      <c r="A339" s="4">
        <v>1909</v>
      </c>
      <c r="B339" s="4">
        <v>13636</v>
      </c>
      <c r="C339" s="5">
        <f>DATE(2012,12,31)-1439</f>
        <v>39835</v>
      </c>
      <c r="D339" s="4" t="s">
        <v>21</v>
      </c>
      <c r="E339" s="4">
        <v>32</v>
      </c>
      <c r="F339" s="4">
        <v>28180.080000000002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spans="1:21" ht="12" customHeight="1">
      <c r="A340" s="4">
        <v>2234</v>
      </c>
      <c r="B340" s="4">
        <v>16133</v>
      </c>
      <c r="C340" s="5">
        <f>DATE(2012,12,31)-1193</f>
        <v>40081</v>
      </c>
      <c r="D340" s="4" t="s">
        <v>78</v>
      </c>
      <c r="E340" s="4">
        <v>1</v>
      </c>
      <c r="F340" s="4">
        <v>27.96</v>
      </c>
      <c r="G340" s="4">
        <v>0.17</v>
      </c>
      <c r="H340" s="4" t="s">
        <v>22</v>
      </c>
      <c r="I340" s="6">
        <v>-9.1300000000000008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0.57999999999999996</v>
      </c>
      <c r="U340" s="5">
        <f>C340+2</f>
        <v>40083</v>
      </c>
    </row>
    <row r="341" spans="1:21" ht="12" customHeight="1">
      <c r="A341" s="4">
        <v>2304</v>
      </c>
      <c r="B341" s="4">
        <v>16612</v>
      </c>
      <c r="C341" s="5">
        <f t="shared" ref="C341:C342" si="144">DATE(2012,12,31)-1417</f>
        <v>39857</v>
      </c>
      <c r="D341" s="4" t="s">
        <v>30</v>
      </c>
      <c r="E341" s="4">
        <v>45</v>
      </c>
      <c r="F341" s="4">
        <v>3699.22</v>
      </c>
      <c r="G341" s="4">
        <v>0.05</v>
      </c>
      <c r="H341" s="4" t="s">
        <v>31</v>
      </c>
      <c r="I341" s="6">
        <v>565.17999999999995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spans="1:21" ht="12" customHeight="1">
      <c r="A342" s="4">
        <v>2305</v>
      </c>
      <c r="B342" s="4">
        <v>16612</v>
      </c>
      <c r="C342" s="5">
        <f t="shared" si="144"/>
        <v>39857</v>
      </c>
      <c r="D342" s="4" t="s">
        <v>30</v>
      </c>
      <c r="E342" s="4">
        <v>6</v>
      </c>
      <c r="F342" s="4">
        <v>48.93</v>
      </c>
      <c r="G342" s="4">
        <v>0</v>
      </c>
      <c r="H342" s="4" t="s">
        <v>22</v>
      </c>
      <c r="I342" s="6">
        <v>-38.72</v>
      </c>
      <c r="J342" s="4">
        <v>6.48</v>
      </c>
      <c r="K342" s="4">
        <v>10.050000000000001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5">C342+2</f>
        <v>39859</v>
      </c>
    </row>
    <row r="343" spans="1:21" ht="12" customHeight="1">
      <c r="A343" s="4">
        <v>2594</v>
      </c>
      <c r="B343" s="4">
        <v>18754</v>
      </c>
      <c r="C343" s="5">
        <f t="shared" ref="C343:C344" si="146">DATE(2012,12,31)-1193</f>
        <v>40081</v>
      </c>
      <c r="D343" s="4" t="s">
        <v>45</v>
      </c>
      <c r="E343" s="4">
        <v>8</v>
      </c>
      <c r="F343" s="4">
        <v>1217.6199999999999</v>
      </c>
      <c r="G343" s="4">
        <v>0.03</v>
      </c>
      <c r="H343" s="4" t="s">
        <v>31</v>
      </c>
      <c r="I343" s="6">
        <v>-221.5</v>
      </c>
      <c r="J343" s="4">
        <v>140.97999999999999</v>
      </c>
      <c r="K343" s="4">
        <v>36.090000000000003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5"/>
        <v>40083</v>
      </c>
    </row>
    <row r="344" spans="1:21" ht="12" customHeight="1">
      <c r="A344" s="4">
        <v>2595</v>
      </c>
      <c r="B344" s="4">
        <v>18754</v>
      </c>
      <c r="C344" s="5">
        <f t="shared" si="146"/>
        <v>40081</v>
      </c>
      <c r="D344" s="4" t="s">
        <v>45</v>
      </c>
      <c r="E344" s="4">
        <v>32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65.989999999999995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0.56000000000000005</v>
      </c>
      <c r="U344" s="5">
        <f>C344+1</f>
        <v>40082</v>
      </c>
    </row>
    <row r="345" spans="1:21" ht="12" customHeight="1">
      <c r="A345" s="4">
        <v>3027</v>
      </c>
      <c r="B345" s="4">
        <v>21766</v>
      </c>
      <c r="C345" s="5">
        <f t="shared" ref="C345:C346" si="147">DATE(2012,12,31)-1309</f>
        <v>39965</v>
      </c>
      <c r="D345" s="4" t="s">
        <v>30</v>
      </c>
      <c r="E345" s="4">
        <v>41</v>
      </c>
      <c r="F345" s="4">
        <v>5178.17</v>
      </c>
      <c r="G345" s="4">
        <v>0.03</v>
      </c>
      <c r="H345" s="4" t="s">
        <v>31</v>
      </c>
      <c r="I345" s="6">
        <v>531.69000000000005</v>
      </c>
      <c r="J345" s="4">
        <v>120.98</v>
      </c>
      <c r="K345" s="4">
        <v>30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8">C345+2</f>
        <v>39967</v>
      </c>
    </row>
    <row r="346" spans="1:21" ht="12" customHeight="1">
      <c r="A346" s="4">
        <v>3028</v>
      </c>
      <c r="B346" s="4">
        <v>21766</v>
      </c>
      <c r="C346" s="5">
        <f t="shared" si="147"/>
        <v>39965</v>
      </c>
      <c r="D346" s="4" t="s">
        <v>30</v>
      </c>
      <c r="E346" s="4">
        <v>32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8"/>
        <v>39967</v>
      </c>
    </row>
    <row r="347" spans="1:21" ht="12" customHeight="1">
      <c r="A347" s="4">
        <v>3190</v>
      </c>
      <c r="B347" s="4">
        <v>22885</v>
      </c>
      <c r="C347" s="5">
        <f>DATE(2012,12,31)-1134</f>
        <v>40140</v>
      </c>
      <c r="D347" s="4" t="s">
        <v>63</v>
      </c>
      <c r="E347" s="4">
        <v>4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8"/>
        <v>40142</v>
      </c>
    </row>
    <row r="348" spans="1:21" ht="12" customHeight="1">
      <c r="A348" s="4">
        <v>3200</v>
      </c>
      <c r="B348" s="4">
        <v>22947</v>
      </c>
      <c r="C348" s="5">
        <f>DATE(2012,12,31)-1109</f>
        <v>40165</v>
      </c>
      <c r="D348" s="4" t="s">
        <v>21</v>
      </c>
      <c r="E348" s="4">
        <v>19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0.55000000000000004</v>
      </c>
      <c r="U348" s="5">
        <f>C348+7</f>
        <v>40172</v>
      </c>
    </row>
    <row r="349" spans="1:21" ht="12" customHeight="1">
      <c r="A349" s="4">
        <v>3334</v>
      </c>
      <c r="B349" s="4">
        <v>23844</v>
      </c>
      <c r="C349" s="5">
        <f t="shared" ref="C349:C351" si="149">DATE(2012,12,31)-1274</f>
        <v>40000</v>
      </c>
      <c r="D349" s="4" t="s">
        <v>45</v>
      </c>
      <c r="E349" s="4">
        <v>40</v>
      </c>
      <c r="F349" s="4">
        <v>1861.36</v>
      </c>
      <c r="G349" s="4">
        <v>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0.56000000000000005</v>
      </c>
      <c r="U349" s="5">
        <f t="shared" ref="U349:U350" si="150">C349+2</f>
        <v>40002</v>
      </c>
    </row>
    <row r="350" spans="1:21" ht="12" customHeight="1">
      <c r="A350" s="4">
        <v>3335</v>
      </c>
      <c r="B350" s="4">
        <v>23844</v>
      </c>
      <c r="C350" s="5">
        <f t="shared" si="149"/>
        <v>40000</v>
      </c>
      <c r="D350" s="4" t="s">
        <v>45</v>
      </c>
      <c r="E350" s="4">
        <v>42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0"/>
        <v>40002</v>
      </c>
    </row>
    <row r="351" spans="1:21" ht="12" customHeight="1">
      <c r="A351" s="4">
        <v>3336</v>
      </c>
      <c r="B351" s="4">
        <v>23844</v>
      </c>
      <c r="C351" s="5">
        <f t="shared" si="149"/>
        <v>40000</v>
      </c>
      <c r="D351" s="4" t="s">
        <v>45</v>
      </c>
      <c r="E351" s="4">
        <v>11</v>
      </c>
      <c r="F351" s="4">
        <v>33.020000000000003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spans="1:21" ht="12" customHeight="1">
      <c r="A352" s="4">
        <v>3554</v>
      </c>
      <c r="B352" s="4">
        <v>25347</v>
      </c>
      <c r="C352" s="5">
        <f>DATE(2012,12,31)-1298</f>
        <v>39976</v>
      </c>
      <c r="D352" s="4" t="s">
        <v>21</v>
      </c>
      <c r="E352" s="4">
        <v>28</v>
      </c>
      <c r="F352" s="4">
        <v>967.27</v>
      </c>
      <c r="G352" s="4">
        <v>7.0000000000000007E-2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spans="1:21" ht="12" customHeight="1">
      <c r="A353" s="4">
        <v>3988</v>
      </c>
      <c r="B353" s="4">
        <v>28480</v>
      </c>
      <c r="C353" s="5">
        <f>DATE(2012,12,31)-1387</f>
        <v>39887</v>
      </c>
      <c r="D353" s="4" t="s">
        <v>63</v>
      </c>
      <c r="E353" s="4">
        <v>17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0.56000000000000005</v>
      </c>
      <c r="U353" s="5">
        <f t="shared" ref="U353:U354" si="151">C353+1</f>
        <v>39888</v>
      </c>
    </row>
    <row r="354" spans="1:21" ht="12" customHeight="1">
      <c r="A354" s="4">
        <v>4213</v>
      </c>
      <c r="B354" s="4">
        <v>29956</v>
      </c>
      <c r="C354" s="5">
        <f>DATE(2012,12,31)-1235</f>
        <v>40039</v>
      </c>
      <c r="D354" s="4" t="s">
        <v>78</v>
      </c>
      <c r="E354" s="4">
        <v>48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0.56999999999999995</v>
      </c>
      <c r="U354" s="5">
        <f t="shared" si="151"/>
        <v>40040</v>
      </c>
    </row>
    <row r="355" spans="1:21" ht="12" customHeight="1">
      <c r="A355" s="4">
        <v>4259</v>
      </c>
      <c r="B355" s="4">
        <v>30341</v>
      </c>
      <c r="C355" s="5">
        <f t="shared" ref="C355:C357" si="152">DATE(2012,12,31)-1430</f>
        <v>39844</v>
      </c>
      <c r="D355" s="4" t="s">
        <v>21</v>
      </c>
      <c r="E355" s="4">
        <v>42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160.97999999999999</v>
      </c>
      <c r="K355" s="4">
        <v>30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3">C355+0</f>
        <v>39844</v>
      </c>
    </row>
    <row r="356" spans="1:21" ht="12" customHeight="1">
      <c r="A356" s="4">
        <v>4260</v>
      </c>
      <c r="B356" s="4">
        <v>30341</v>
      </c>
      <c r="C356" s="5">
        <f t="shared" si="152"/>
        <v>39844</v>
      </c>
      <c r="D356" s="4" t="s">
        <v>21</v>
      </c>
      <c r="E356" s="4">
        <v>41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3"/>
        <v>39844</v>
      </c>
    </row>
    <row r="357" spans="1:21" ht="12" customHeight="1">
      <c r="A357" s="4">
        <v>4261</v>
      </c>
      <c r="B357" s="4">
        <v>30341</v>
      </c>
      <c r="C357" s="5">
        <f t="shared" si="152"/>
        <v>39844</v>
      </c>
      <c r="D357" s="4" t="s">
        <v>21</v>
      </c>
      <c r="E357" s="4">
        <v>30</v>
      </c>
      <c r="F357" s="4">
        <v>150.19999999999999</v>
      </c>
      <c r="G357" s="4">
        <v>0</v>
      </c>
      <c r="H357" s="4" t="s">
        <v>22</v>
      </c>
      <c r="I357" s="6">
        <v>62.46</v>
      </c>
      <c r="J357" s="4">
        <v>4.9800000000000004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spans="1:21" ht="12" customHeight="1">
      <c r="A358" s="4">
        <v>4278</v>
      </c>
      <c r="B358" s="4">
        <v>30467</v>
      </c>
      <c r="C358" s="5">
        <f>DATE(2012,12,31)-1234</f>
        <v>40040</v>
      </c>
      <c r="D358" s="4" t="s">
        <v>78</v>
      </c>
      <c r="E358" s="4">
        <v>5</v>
      </c>
      <c r="F358" s="4">
        <v>2019.65</v>
      </c>
      <c r="G358" s="4">
        <v>0.05</v>
      </c>
      <c r="H358" s="4" t="s">
        <v>22</v>
      </c>
      <c r="I358" s="6">
        <v>289.87549999999999</v>
      </c>
      <c r="J358" s="4">
        <v>420.98</v>
      </c>
      <c r="K358" s="4">
        <v>19.989999999999998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spans="1:21" ht="12" customHeight="1">
      <c r="A359" s="4">
        <v>4321</v>
      </c>
      <c r="B359" s="4">
        <v>30785</v>
      </c>
      <c r="C359" s="5">
        <f t="shared" ref="C359:C360" si="154">DATE(2012,12,31)-1277</f>
        <v>39997</v>
      </c>
      <c r="D359" s="4" t="s">
        <v>30</v>
      </c>
      <c r="E359" s="4">
        <v>7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spans="1:21" ht="12" customHeight="1">
      <c r="A360" s="4">
        <v>4322</v>
      </c>
      <c r="B360" s="4">
        <v>30785</v>
      </c>
      <c r="C360" s="5">
        <f t="shared" si="154"/>
        <v>39997</v>
      </c>
      <c r="D360" s="4" t="s">
        <v>30</v>
      </c>
      <c r="E360" s="4">
        <v>38</v>
      </c>
      <c r="F360" s="4">
        <v>373.07</v>
      </c>
      <c r="G360" s="4">
        <v>7.0000000000000007E-2</v>
      </c>
      <c r="H360" s="4" t="s">
        <v>22</v>
      </c>
      <c r="I360" s="6">
        <v>149.53</v>
      </c>
      <c r="J360" s="4">
        <v>9.93</v>
      </c>
      <c r="K360" s="4">
        <v>1.0900000000000001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spans="1:21" ht="12" customHeight="1">
      <c r="A361" s="4">
        <v>4374</v>
      </c>
      <c r="B361" s="4">
        <v>31171</v>
      </c>
      <c r="C361" s="5">
        <f>DATE(2012,12,31)-1363</f>
        <v>39911</v>
      </c>
      <c r="D361" s="4" t="s">
        <v>45</v>
      </c>
      <c r="E361" s="4">
        <v>37</v>
      </c>
      <c r="F361" s="4">
        <v>161.02000000000001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spans="1:21" ht="12" customHeight="1">
      <c r="A362" s="4">
        <v>4425</v>
      </c>
      <c r="B362" s="4">
        <v>31553</v>
      </c>
      <c r="C362" s="5">
        <f>DATE(2012,12,31)-1451</f>
        <v>39823</v>
      </c>
      <c r="D362" s="4" t="s">
        <v>78</v>
      </c>
      <c r="E362" s="4">
        <v>32</v>
      </c>
      <c r="F362" s="4">
        <v>4906.8500000000004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19.989999999999998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5">C362+2</f>
        <v>39825</v>
      </c>
    </row>
    <row r="363" spans="1:21" ht="12" customHeight="1">
      <c r="A363" s="4">
        <v>4595</v>
      </c>
      <c r="B363" s="4">
        <v>32706</v>
      </c>
      <c r="C363" s="5">
        <f>DATE(2012,12,31)-1276</f>
        <v>39998</v>
      </c>
      <c r="D363" s="4" t="s">
        <v>78</v>
      </c>
      <c r="E363" s="4">
        <v>5</v>
      </c>
      <c r="F363" s="4">
        <v>2017.5</v>
      </c>
      <c r="G363" s="4">
        <v>0.03</v>
      </c>
      <c r="H363" s="4" t="s">
        <v>31</v>
      </c>
      <c r="I363" s="6">
        <v>-663.51419999999996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0.56000000000000005</v>
      </c>
      <c r="U363" s="5">
        <f t="shared" si="155"/>
        <v>40000</v>
      </c>
    </row>
    <row r="364" spans="1:21" ht="12" customHeight="1">
      <c r="A364" s="4">
        <v>5471</v>
      </c>
      <c r="B364" s="4">
        <v>38882</v>
      </c>
      <c r="C364" s="5">
        <f>DATE(2012,12,31)-1113</f>
        <v>40161</v>
      </c>
      <c r="D364" s="4" t="s">
        <v>78</v>
      </c>
      <c r="E364" s="4">
        <v>37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6">C364+1</f>
        <v>40162</v>
      </c>
    </row>
    <row r="365" spans="1:21" ht="12" customHeight="1">
      <c r="A365" s="4">
        <v>5627</v>
      </c>
      <c r="B365" s="4">
        <v>39845</v>
      </c>
      <c r="C365" s="5">
        <f>DATE(2012,12,31)-1212</f>
        <v>40062</v>
      </c>
      <c r="D365" s="4" t="s">
        <v>78</v>
      </c>
      <c r="E365" s="4">
        <v>44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6"/>
        <v>40063</v>
      </c>
    </row>
    <row r="366" spans="1:21" ht="12" customHeight="1">
      <c r="A366" s="4">
        <v>5919</v>
      </c>
      <c r="B366" s="4">
        <v>41988</v>
      </c>
      <c r="C366" s="5">
        <f t="shared" ref="C366:C368" si="157">DATE(2012,12,31)-1426</f>
        <v>39848</v>
      </c>
      <c r="D366" s="4" t="s">
        <v>21</v>
      </c>
      <c r="E366" s="4">
        <v>33</v>
      </c>
      <c r="F366" s="4">
        <v>4610.3500000000004</v>
      </c>
      <c r="G366" s="4">
        <v>0.08</v>
      </c>
      <c r="H366" s="4" t="s">
        <v>31</v>
      </c>
      <c r="I366" s="6">
        <v>751.58</v>
      </c>
      <c r="J366" s="4">
        <v>145.44999999999999</v>
      </c>
      <c r="K366" s="4">
        <v>17.850000000000001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0.56000000000000005</v>
      </c>
      <c r="U366" s="5">
        <f>C366+0</f>
        <v>39848</v>
      </c>
    </row>
    <row r="367" spans="1:21" ht="12" customHeight="1">
      <c r="A367" s="4">
        <v>5920</v>
      </c>
      <c r="B367" s="4">
        <v>41988</v>
      </c>
      <c r="C367" s="5">
        <f t="shared" si="157"/>
        <v>39848</v>
      </c>
      <c r="D367" s="4" t="s">
        <v>21</v>
      </c>
      <c r="E367" s="4">
        <v>18</v>
      </c>
      <c r="F367" s="4">
        <v>610.07000000000005</v>
      </c>
      <c r="G367" s="4">
        <v>7.0000000000000007E-2</v>
      </c>
      <c r="H367" s="4" t="s">
        <v>31</v>
      </c>
      <c r="I367" s="6">
        <v>-157.56</v>
      </c>
      <c r="J367" s="4">
        <v>33.94</v>
      </c>
      <c r="K367" s="4">
        <v>19.190000000000001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0.57999999999999996</v>
      </c>
      <c r="U367" s="5">
        <f t="shared" ref="U367:U368" si="158">C367+4</f>
        <v>39852</v>
      </c>
    </row>
    <row r="368" spans="1:21" ht="12" customHeight="1">
      <c r="A368" s="4">
        <v>5921</v>
      </c>
      <c r="B368" s="4">
        <v>41988</v>
      </c>
      <c r="C368" s="5">
        <f t="shared" si="157"/>
        <v>39848</v>
      </c>
      <c r="D368" s="4" t="s">
        <v>21</v>
      </c>
      <c r="E368" s="4">
        <v>14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0.56999999999999995</v>
      </c>
      <c r="U368" s="5">
        <f t="shared" si="158"/>
        <v>39852</v>
      </c>
    </row>
    <row r="369" spans="1:21" ht="12" customHeight="1">
      <c r="A369" s="4">
        <v>6434</v>
      </c>
      <c r="B369" s="4">
        <v>45731</v>
      </c>
      <c r="C369" s="5">
        <f>DATE(2012,12,31)-1239</f>
        <v>40035</v>
      </c>
      <c r="D369" s="4" t="s">
        <v>78</v>
      </c>
      <c r="E369" s="4">
        <v>44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spans="1:21" ht="12" customHeight="1">
      <c r="A370" s="4">
        <v>6762</v>
      </c>
      <c r="B370" s="4">
        <v>48167</v>
      </c>
      <c r="C370" s="5">
        <f t="shared" ref="C370:C372" si="159">DATE(2012,12,31)-1212</f>
        <v>40062</v>
      </c>
      <c r="D370" s="4" t="s">
        <v>78</v>
      </c>
      <c r="E370" s="4">
        <v>43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spans="1:21" ht="12" customHeight="1">
      <c r="A371" s="4">
        <v>6763</v>
      </c>
      <c r="B371" s="4">
        <v>48167</v>
      </c>
      <c r="C371" s="5">
        <f t="shared" si="159"/>
        <v>40062</v>
      </c>
      <c r="D371" s="4" t="s">
        <v>78</v>
      </c>
      <c r="E371" s="4">
        <v>45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8.8800000000000008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0">C371+1</f>
        <v>40063</v>
      </c>
    </row>
    <row r="372" spans="1:21" ht="12" customHeight="1">
      <c r="A372" s="4">
        <v>6764</v>
      </c>
      <c r="B372" s="4">
        <v>48167</v>
      </c>
      <c r="C372" s="5">
        <f t="shared" si="159"/>
        <v>40062</v>
      </c>
      <c r="D372" s="4" t="s">
        <v>78</v>
      </c>
      <c r="E372" s="4">
        <v>27</v>
      </c>
      <c r="F372" s="4">
        <v>8817.7099999999991</v>
      </c>
      <c r="G372" s="4">
        <v>0.09</v>
      </c>
      <c r="H372" s="4" t="s">
        <v>31</v>
      </c>
      <c r="I372" s="6">
        <v>-2946.0509999999999</v>
      </c>
      <c r="J372" s="4">
        <v>349.45</v>
      </c>
      <c r="K372" s="4">
        <v>60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0"/>
        <v>40063</v>
      </c>
    </row>
    <row r="373" spans="1:21" ht="12" customHeight="1">
      <c r="A373" s="4">
        <v>6774</v>
      </c>
      <c r="B373" s="4">
        <v>48230</v>
      </c>
      <c r="C373" s="5">
        <f t="shared" ref="C373:C374" si="161">DATE(2012,12,31)-1405</f>
        <v>39869</v>
      </c>
      <c r="D373" s="4" t="s">
        <v>45</v>
      </c>
      <c r="E373" s="4">
        <v>39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8.5500000000000007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2">C373+2</f>
        <v>39871</v>
      </c>
    </row>
    <row r="374" spans="1:21" ht="12" customHeight="1">
      <c r="A374" s="4">
        <v>6775</v>
      </c>
      <c r="B374" s="4">
        <v>48230</v>
      </c>
      <c r="C374" s="5">
        <f t="shared" si="161"/>
        <v>39869</v>
      </c>
      <c r="D374" s="4" t="s">
        <v>45</v>
      </c>
      <c r="E374" s="4">
        <v>31</v>
      </c>
      <c r="F374" s="4">
        <v>2645.8</v>
      </c>
      <c r="G374" s="4">
        <v>0</v>
      </c>
      <c r="H374" s="4" t="s">
        <v>22</v>
      </c>
      <c r="I374" s="6">
        <v>-684.78</v>
      </c>
      <c r="J374" s="4">
        <v>80.98</v>
      </c>
      <c r="K374" s="4">
        <v>35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2"/>
        <v>39871</v>
      </c>
    </row>
    <row r="375" spans="1:21" ht="12" customHeight="1">
      <c r="A375" s="4">
        <v>6844</v>
      </c>
      <c r="B375" s="4">
        <v>48772</v>
      </c>
      <c r="C375" s="5">
        <f t="shared" ref="C375:C379" si="163">DATE(2012,12,31)-1329</f>
        <v>39945</v>
      </c>
      <c r="D375" s="4" t="s">
        <v>63</v>
      </c>
      <c r="E375" s="4">
        <v>44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19.989999999999998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2"/>
        <v>39947</v>
      </c>
    </row>
    <row r="376" spans="1:21" ht="12" customHeight="1">
      <c r="A376" s="4">
        <v>6845</v>
      </c>
      <c r="B376" s="4">
        <v>48772</v>
      </c>
      <c r="C376" s="5">
        <f t="shared" si="163"/>
        <v>39945</v>
      </c>
      <c r="D376" s="4" t="s">
        <v>63</v>
      </c>
      <c r="E376" s="4">
        <v>11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4">C376+1</f>
        <v>39946</v>
      </c>
    </row>
    <row r="377" spans="1:21" ht="12" customHeight="1">
      <c r="A377" s="4">
        <v>6846</v>
      </c>
      <c r="B377" s="4">
        <v>48772</v>
      </c>
      <c r="C377" s="5">
        <f t="shared" si="163"/>
        <v>39945</v>
      </c>
      <c r="D377" s="4" t="s">
        <v>63</v>
      </c>
      <c r="E377" s="4">
        <v>18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0.56000000000000005</v>
      </c>
      <c r="U377" s="5">
        <f t="shared" si="164"/>
        <v>39946</v>
      </c>
    </row>
    <row r="378" spans="1:21" ht="12" customHeight="1">
      <c r="A378" s="4">
        <v>6847</v>
      </c>
      <c r="B378" s="4">
        <v>48772</v>
      </c>
      <c r="C378" s="5">
        <f t="shared" si="163"/>
        <v>39945</v>
      </c>
      <c r="D378" s="4" t="s">
        <v>63</v>
      </c>
      <c r="E378" s="4">
        <v>12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0.56000000000000005</v>
      </c>
      <c r="U378" s="5">
        <f t="shared" si="164"/>
        <v>39946</v>
      </c>
    </row>
    <row r="379" spans="1:21" ht="12" customHeight="1">
      <c r="A379" s="4">
        <v>6848</v>
      </c>
      <c r="B379" s="4">
        <v>48772</v>
      </c>
      <c r="C379" s="5">
        <f t="shared" si="163"/>
        <v>39945</v>
      </c>
      <c r="D379" s="4" t="s">
        <v>63</v>
      </c>
      <c r="E379" s="4">
        <v>10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4"/>
        <v>39946</v>
      </c>
    </row>
    <row r="380" spans="1:21" ht="12" customHeight="1">
      <c r="A380" s="4">
        <v>6867</v>
      </c>
      <c r="B380" s="4">
        <v>48931</v>
      </c>
      <c r="C380" s="5">
        <f t="shared" ref="C380:C382" si="165">DATE(2012,12,31)-1293</f>
        <v>39981</v>
      </c>
      <c r="D380" s="4" t="s">
        <v>21</v>
      </c>
      <c r="E380" s="4">
        <v>33</v>
      </c>
      <c r="F380" s="4">
        <v>750.66</v>
      </c>
      <c r="G380" s="4">
        <v>0</v>
      </c>
      <c r="H380" s="4" t="s">
        <v>22</v>
      </c>
      <c r="I380" s="6">
        <v>120.05</v>
      </c>
      <c r="J380" s="4">
        <v>20.95</v>
      </c>
      <c r="K380" s="4">
        <v>4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spans="1:21" ht="12" customHeight="1">
      <c r="A381" s="4">
        <v>6868</v>
      </c>
      <c r="B381" s="4">
        <v>48931</v>
      </c>
      <c r="C381" s="5">
        <f t="shared" si="165"/>
        <v>39981</v>
      </c>
      <c r="D381" s="4" t="s">
        <v>21</v>
      </c>
      <c r="E381" s="4">
        <v>8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spans="1:21" ht="12" customHeight="1">
      <c r="A382" s="4">
        <v>6869</v>
      </c>
      <c r="B382" s="4">
        <v>48931</v>
      </c>
      <c r="C382" s="5">
        <f t="shared" si="165"/>
        <v>39981</v>
      </c>
      <c r="D382" s="4" t="s">
        <v>21</v>
      </c>
      <c r="E382" s="4">
        <v>42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19.989999999999998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0.55000000000000004</v>
      </c>
      <c r="U382" s="5">
        <f>C382+5</f>
        <v>39986</v>
      </c>
    </row>
    <row r="383" spans="1:21" ht="12" customHeight="1">
      <c r="A383" s="4">
        <v>6908</v>
      </c>
      <c r="B383" s="4">
        <v>49283</v>
      </c>
      <c r="C383" s="5">
        <f>DATE(2012,12,31)-1116</f>
        <v>40158</v>
      </c>
      <c r="D383" s="4" t="s">
        <v>30</v>
      </c>
      <c r="E383" s="4">
        <v>25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6">C383+1</f>
        <v>40159</v>
      </c>
    </row>
    <row r="384" spans="1:21" ht="12" customHeight="1">
      <c r="A384" s="4">
        <v>6927</v>
      </c>
      <c r="B384" s="4">
        <v>49441</v>
      </c>
      <c r="C384" s="5">
        <f>DATE(2012,12,31)-1191</f>
        <v>40083</v>
      </c>
      <c r="D384" s="4" t="s">
        <v>63</v>
      </c>
      <c r="E384" s="4">
        <v>49</v>
      </c>
      <c r="F384" s="4">
        <v>1981.26</v>
      </c>
      <c r="G384" s="4">
        <v>7.0000000000000007E-2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6"/>
        <v>40084</v>
      </c>
    </row>
    <row r="385" spans="1:21" ht="12" customHeight="1">
      <c r="A385" s="4">
        <v>7290</v>
      </c>
      <c r="B385" s="4">
        <v>51975</v>
      </c>
      <c r="C385" s="5">
        <f>DATE(2012,12,31)-1109</f>
        <v>40165</v>
      </c>
      <c r="D385" s="4" t="s">
        <v>21</v>
      </c>
      <c r="E385" s="4">
        <v>12</v>
      </c>
      <c r="F385" s="4">
        <v>1064.7864999999999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0.57999999999999996</v>
      </c>
      <c r="U385" s="5">
        <f>C385+4</f>
        <v>40169</v>
      </c>
    </row>
    <row r="386" spans="1:21" ht="12" customHeight="1">
      <c r="A386" s="4">
        <v>7366</v>
      </c>
      <c r="B386" s="4">
        <v>52487</v>
      </c>
      <c r="C386" s="5">
        <f>DATE(2012,12,31)-1309</f>
        <v>39965</v>
      </c>
      <c r="D386" s="4" t="s">
        <v>78</v>
      </c>
      <c r="E386" s="4">
        <v>17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spans="1:21" ht="12" customHeight="1">
      <c r="A387" s="4">
        <v>7535</v>
      </c>
      <c r="B387" s="4">
        <v>53891</v>
      </c>
      <c r="C387" s="5">
        <f>DATE(2012,12,31)-1439</f>
        <v>39835</v>
      </c>
      <c r="D387" s="4" t="s">
        <v>30</v>
      </c>
      <c r="E387" s="4">
        <v>36</v>
      </c>
      <c r="F387" s="4">
        <v>562.79999999999995</v>
      </c>
      <c r="G387" s="4">
        <v>0.02</v>
      </c>
      <c r="H387" s="4" t="s">
        <v>22</v>
      </c>
      <c r="I387" s="6">
        <v>-17.445499999999999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spans="1:21" ht="12" customHeight="1">
      <c r="A388" s="4">
        <v>7742</v>
      </c>
      <c r="B388" s="4">
        <v>55429</v>
      </c>
      <c r="C388" s="5">
        <f>DATE(2012,12,31)-1281</f>
        <v>39993</v>
      </c>
      <c r="D388" s="4" t="s">
        <v>30</v>
      </c>
      <c r="E388" s="4">
        <v>43</v>
      </c>
      <c r="F388" s="4">
        <v>260.58999999999997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spans="1:21" ht="12" customHeight="1">
      <c r="A389" s="4">
        <v>8155</v>
      </c>
      <c r="B389" s="4">
        <v>58310</v>
      </c>
      <c r="C389" s="5">
        <f>DATE(2012,12,31)-1407</f>
        <v>39867</v>
      </c>
      <c r="D389" s="4" t="s">
        <v>78</v>
      </c>
      <c r="E389" s="4">
        <v>22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0.56999999999999995</v>
      </c>
      <c r="U389" s="5">
        <f>C389+1</f>
        <v>39868</v>
      </c>
    </row>
    <row r="390" spans="1:21" ht="12" customHeight="1">
      <c r="A390" s="4">
        <v>142</v>
      </c>
      <c r="B390" s="4">
        <v>902</v>
      </c>
      <c r="C390" s="5">
        <f>DATE(2012,12,31)-1254</f>
        <v>40020</v>
      </c>
      <c r="D390" s="4" t="s">
        <v>45</v>
      </c>
      <c r="E390" s="4">
        <v>10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0.55000000000000004</v>
      </c>
      <c r="U390" s="5">
        <f>C390+3</f>
        <v>40023</v>
      </c>
    </row>
    <row r="391" spans="1:21" ht="12" customHeight="1">
      <c r="A391" s="4">
        <v>460</v>
      </c>
      <c r="B391" s="4">
        <v>3110</v>
      </c>
      <c r="C391" s="5">
        <f>DATE(2012,12,31)-1111</f>
        <v>40163</v>
      </c>
      <c r="D391" s="4" t="s">
        <v>30</v>
      </c>
      <c r="E391" s="4">
        <v>13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7">C391+2</f>
        <v>40165</v>
      </c>
    </row>
    <row r="392" spans="1:21" ht="12" customHeight="1">
      <c r="A392" s="4">
        <v>1008</v>
      </c>
      <c r="B392" s="4">
        <v>7364</v>
      </c>
      <c r="C392" s="5">
        <f>DATE(2012,12,31)-1333</f>
        <v>39941</v>
      </c>
      <c r="D392" s="4" t="s">
        <v>30</v>
      </c>
      <c r="E392" s="4">
        <v>15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7"/>
        <v>39943</v>
      </c>
    </row>
    <row r="393" spans="1:21" ht="12" customHeight="1">
      <c r="A393" s="4">
        <v>1171</v>
      </c>
      <c r="B393" s="4">
        <v>8551</v>
      </c>
      <c r="C393" s="5">
        <f t="shared" ref="C393:C394" si="168">DATE(2012,12,31)-1251</f>
        <v>40023</v>
      </c>
      <c r="D393" s="4" t="s">
        <v>78</v>
      </c>
      <c r="E393" s="4">
        <v>25</v>
      </c>
      <c r="F393" s="4">
        <v>185.64</v>
      </c>
      <c r="G393" s="4">
        <v>0.1</v>
      </c>
      <c r="H393" s="4" t="s">
        <v>22</v>
      </c>
      <c r="I393" s="6">
        <v>-69.873999999999995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spans="1:21" ht="12" customHeight="1">
      <c r="A394" s="4">
        <v>1172</v>
      </c>
      <c r="B394" s="4">
        <v>8551</v>
      </c>
      <c r="C394" s="5">
        <f t="shared" si="168"/>
        <v>40023</v>
      </c>
      <c r="D394" s="4" t="s">
        <v>78</v>
      </c>
      <c r="E394" s="4">
        <v>34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69">C394+2</f>
        <v>40025</v>
      </c>
    </row>
    <row r="395" spans="1:21" ht="12" customHeight="1">
      <c r="A395" s="4">
        <v>1325</v>
      </c>
      <c r="B395" s="4">
        <v>9668</v>
      </c>
      <c r="C395" s="5">
        <f>DATE(2012,12,31)-1212</f>
        <v>40062</v>
      </c>
      <c r="D395" s="4" t="s">
        <v>21</v>
      </c>
      <c r="E395" s="4">
        <v>10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69"/>
        <v>40064</v>
      </c>
    </row>
    <row r="396" spans="1:21" ht="12" customHeight="1">
      <c r="A396" s="4">
        <v>2216</v>
      </c>
      <c r="B396" s="4">
        <v>16032</v>
      </c>
      <c r="C396" s="5">
        <f>DATE(2012,12,31)-1122</f>
        <v>40152</v>
      </c>
      <c r="D396" s="4" t="s">
        <v>21</v>
      </c>
      <c r="E396" s="4">
        <v>35</v>
      </c>
      <c r="F396" s="4">
        <v>436.98</v>
      </c>
      <c r="G396" s="4">
        <v>7.0000000000000007E-2</v>
      </c>
      <c r="H396" s="4" t="s">
        <v>22</v>
      </c>
      <c r="I396" s="6">
        <v>75.61</v>
      </c>
      <c r="J396" s="4">
        <v>12.64</v>
      </c>
      <c r="K396" s="4">
        <v>4.9800000000000004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spans="1:21" ht="12" customHeight="1">
      <c r="A397" s="4">
        <v>3411</v>
      </c>
      <c r="B397" s="4">
        <v>24358</v>
      </c>
      <c r="C397" s="5">
        <f>DATE(2012,12,31)-1325</f>
        <v>39949</v>
      </c>
      <c r="D397" s="4" t="s">
        <v>78</v>
      </c>
      <c r="E397" s="4">
        <v>27</v>
      </c>
      <c r="F397" s="4">
        <v>7333.45</v>
      </c>
      <c r="G397" s="4">
        <v>7.0000000000000007E-2</v>
      </c>
      <c r="H397" s="4" t="s">
        <v>22</v>
      </c>
      <c r="I397" s="6">
        <v>-207.28</v>
      </c>
      <c r="J397" s="4">
        <v>279.48</v>
      </c>
      <c r="K397" s="4">
        <v>35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spans="1:21" ht="12" customHeight="1">
      <c r="A398" s="4">
        <v>3596</v>
      </c>
      <c r="B398" s="4">
        <v>25638</v>
      </c>
      <c r="C398" s="5">
        <f t="shared" ref="C398:C399" si="170">DATE(2012,12,31)-1243</f>
        <v>40031</v>
      </c>
      <c r="D398" s="4" t="s">
        <v>30</v>
      </c>
      <c r="E398" s="4">
        <v>31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4.8899999999999997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1">C398+1</f>
        <v>40032</v>
      </c>
    </row>
    <row r="399" spans="1:21" ht="12" customHeight="1">
      <c r="A399" s="4">
        <v>3597</v>
      </c>
      <c r="B399" s="4">
        <v>25638</v>
      </c>
      <c r="C399" s="5">
        <f t="shared" si="170"/>
        <v>40031</v>
      </c>
      <c r="D399" s="4" t="s">
        <v>30</v>
      </c>
      <c r="E399" s="4">
        <v>12</v>
      </c>
      <c r="F399" s="4">
        <v>115.45</v>
      </c>
      <c r="G399" s="4">
        <v>7.0000000000000007E-2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1"/>
        <v>40032</v>
      </c>
    </row>
    <row r="400" spans="1:21" ht="12" customHeight="1">
      <c r="A400" s="4">
        <v>3638</v>
      </c>
      <c r="B400" s="4">
        <v>26016</v>
      </c>
      <c r="C400" s="5">
        <f t="shared" ref="C400:C401" si="172">DATE(2012,12,31)-1181</f>
        <v>40093</v>
      </c>
      <c r="D400" s="4" t="s">
        <v>30</v>
      </c>
      <c r="E400" s="4">
        <v>2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77.510000000000005</v>
      </c>
      <c r="K400" s="4">
        <v>4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3">C400+2</f>
        <v>40095</v>
      </c>
    </row>
    <row r="401" spans="1:21" ht="12" customHeight="1">
      <c r="A401" s="4">
        <v>3639</v>
      </c>
      <c r="B401" s="4">
        <v>26016</v>
      </c>
      <c r="C401" s="5">
        <f t="shared" si="172"/>
        <v>40093</v>
      </c>
      <c r="D401" s="4" t="s">
        <v>30</v>
      </c>
      <c r="E401" s="4">
        <v>44</v>
      </c>
      <c r="F401" s="4">
        <v>1642.6420000000001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0.56000000000000005</v>
      </c>
      <c r="U401" s="5">
        <f t="shared" si="173"/>
        <v>40095</v>
      </c>
    </row>
    <row r="402" spans="1:21" ht="12" customHeight="1">
      <c r="A402" s="4">
        <v>3902</v>
      </c>
      <c r="B402" s="4">
        <v>27840</v>
      </c>
      <c r="C402" s="5">
        <f>DATE(2012,12,31)-1277</f>
        <v>39997</v>
      </c>
      <c r="D402" s="4" t="s">
        <v>30</v>
      </c>
      <c r="E402" s="4">
        <v>8</v>
      </c>
      <c r="F402" s="4">
        <v>1209.3699999999999</v>
      </c>
      <c r="G402" s="4">
        <v>0.09</v>
      </c>
      <c r="H402" s="4" t="s">
        <v>31</v>
      </c>
      <c r="I402" s="6">
        <v>-407.85</v>
      </c>
      <c r="J402" s="4">
        <v>150.97999999999999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spans="1:21" ht="12" customHeight="1">
      <c r="A403" s="4">
        <v>3945</v>
      </c>
      <c r="B403" s="4">
        <v>28130</v>
      </c>
      <c r="C403" s="5">
        <f t="shared" ref="C403:C404" si="174">DATE(2012,12,31)-1250</f>
        <v>40024</v>
      </c>
      <c r="D403" s="4" t="s">
        <v>21</v>
      </c>
      <c r="E403" s="4">
        <v>23</v>
      </c>
      <c r="F403" s="4">
        <v>404.24</v>
      </c>
      <c r="G403" s="4">
        <v>0.02</v>
      </c>
      <c r="H403" s="4" t="s">
        <v>56</v>
      </c>
      <c r="I403" s="6">
        <v>-76.992500000000007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spans="1:21" ht="12" customHeight="1">
      <c r="A404" s="4">
        <v>3946</v>
      </c>
      <c r="B404" s="4">
        <v>28130</v>
      </c>
      <c r="C404" s="5">
        <f t="shared" si="174"/>
        <v>40024</v>
      </c>
      <c r="D404" s="4" t="s">
        <v>21</v>
      </c>
      <c r="E404" s="4">
        <v>32</v>
      </c>
      <c r="F404" s="4">
        <v>1381.88</v>
      </c>
      <c r="G404" s="4">
        <v>0.09</v>
      </c>
      <c r="H404" s="4" t="s">
        <v>56</v>
      </c>
      <c r="I404" s="6">
        <v>598.20000000000005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spans="1:21" ht="12" customHeight="1">
      <c r="A405" s="4">
        <v>3964</v>
      </c>
      <c r="B405" s="4">
        <v>28290</v>
      </c>
      <c r="C405" s="5">
        <f t="shared" ref="C405:C406" si="175">DATE(2012,12,31)-1451</f>
        <v>39823</v>
      </c>
      <c r="D405" s="4" t="s">
        <v>21</v>
      </c>
      <c r="E405" s="4">
        <v>43</v>
      </c>
      <c r="F405" s="4">
        <v>1307.3499999999999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spans="1:21" ht="12" customHeight="1">
      <c r="A406" s="4">
        <v>3965</v>
      </c>
      <c r="B406" s="4">
        <v>28290</v>
      </c>
      <c r="C406" s="5">
        <f t="shared" si="175"/>
        <v>39823</v>
      </c>
      <c r="D406" s="4" t="s">
        <v>21</v>
      </c>
      <c r="E406" s="4">
        <v>3</v>
      </c>
      <c r="F406" s="4">
        <v>523.58000000000004</v>
      </c>
      <c r="G406" s="4">
        <v>0.01</v>
      </c>
      <c r="H406" s="4" t="s">
        <v>56</v>
      </c>
      <c r="I406" s="6">
        <v>-179.36</v>
      </c>
      <c r="J406" s="4">
        <v>161.55000000000001</v>
      </c>
      <c r="K406" s="4">
        <v>19.989999999999998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6">C406+2</f>
        <v>39825</v>
      </c>
    </row>
    <row r="407" spans="1:21" ht="12" customHeight="1">
      <c r="A407" s="4">
        <v>4672</v>
      </c>
      <c r="B407" s="4">
        <v>33250</v>
      </c>
      <c r="C407" s="5">
        <f>DATE(2012,12,31)-1285</f>
        <v>39989</v>
      </c>
      <c r="D407" s="4" t="s">
        <v>45</v>
      </c>
      <c r="E407" s="4">
        <v>40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0.56000000000000005</v>
      </c>
      <c r="U407" s="5">
        <f t="shared" si="176"/>
        <v>39991</v>
      </c>
    </row>
    <row r="408" spans="1:21" ht="12" customHeight="1">
      <c r="A408" s="4">
        <v>4858</v>
      </c>
      <c r="B408" s="4">
        <v>34567</v>
      </c>
      <c r="C408" s="5">
        <f>DATE(2012,12,31)-1345</f>
        <v>39929</v>
      </c>
      <c r="D408" s="4" t="s">
        <v>21</v>
      </c>
      <c r="E408" s="4">
        <v>18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spans="1:21" ht="12" customHeight="1">
      <c r="A409" s="4">
        <v>5327</v>
      </c>
      <c r="B409" s="4">
        <v>37862</v>
      </c>
      <c r="C409" s="5">
        <f>DATE(2012,12,31)-1449</f>
        <v>39825</v>
      </c>
      <c r="D409" s="4" t="s">
        <v>45</v>
      </c>
      <c r="E409" s="4">
        <v>27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0.56999999999999995</v>
      </c>
      <c r="U409" s="5">
        <f>C409+3</f>
        <v>39828</v>
      </c>
    </row>
    <row r="410" spans="1:21" ht="12" customHeight="1">
      <c r="A410" s="4">
        <v>5379</v>
      </c>
      <c r="B410" s="4">
        <v>38240</v>
      </c>
      <c r="C410" s="5">
        <f>DATE(2012,12,31)-1108</f>
        <v>40166</v>
      </c>
      <c r="D410" s="4" t="s">
        <v>30</v>
      </c>
      <c r="E410" s="4">
        <v>4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7">C410+0</f>
        <v>40166</v>
      </c>
    </row>
    <row r="411" spans="1:21" ht="12" customHeight="1">
      <c r="A411" s="4">
        <v>5501</v>
      </c>
      <c r="B411" s="4">
        <v>39015</v>
      </c>
      <c r="C411" s="5">
        <f t="shared" ref="C411:C412" si="178">DATE(2012,12,31)-1121</f>
        <v>40153</v>
      </c>
      <c r="D411" s="4" t="s">
        <v>63</v>
      </c>
      <c r="E411" s="4">
        <v>13</v>
      </c>
      <c r="F411" s="4">
        <v>5236.1400000000003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0.56000000000000005</v>
      </c>
      <c r="U411" s="5">
        <f t="shared" si="177"/>
        <v>40153</v>
      </c>
    </row>
    <row r="412" spans="1:21" ht="12" customHeight="1">
      <c r="A412" s="4">
        <v>5502</v>
      </c>
      <c r="B412" s="4">
        <v>39015</v>
      </c>
      <c r="C412" s="5">
        <f t="shared" si="178"/>
        <v>40153</v>
      </c>
      <c r="D412" s="4" t="s">
        <v>63</v>
      </c>
      <c r="E412" s="4">
        <v>11</v>
      </c>
      <c r="F412" s="4">
        <v>74.02</v>
      </c>
      <c r="G412" s="4">
        <v>7.0000000000000007E-2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7"/>
        <v>40153</v>
      </c>
    </row>
    <row r="413" spans="1:21" ht="12" customHeight="1">
      <c r="A413" s="4">
        <v>6373</v>
      </c>
      <c r="B413" s="4">
        <v>45218</v>
      </c>
      <c r="C413" s="5">
        <f>DATE(2012,12,31)-1331</f>
        <v>39943</v>
      </c>
      <c r="D413" s="4" t="s">
        <v>21</v>
      </c>
      <c r="E413" s="4">
        <v>49</v>
      </c>
      <c r="F413" s="4">
        <v>309.45999999999998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spans="1:21" ht="12" customHeight="1">
      <c r="A414" s="4">
        <v>6746</v>
      </c>
      <c r="B414" s="4">
        <v>48034</v>
      </c>
      <c r="C414" s="5">
        <f t="shared" ref="C414:C415" si="179">DATE(2012,12,31)-1266</f>
        <v>40008</v>
      </c>
      <c r="D414" s="4" t="s">
        <v>45</v>
      </c>
      <c r="E414" s="4">
        <v>47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spans="1:21" ht="12" customHeight="1">
      <c r="A415" s="4">
        <v>6747</v>
      </c>
      <c r="B415" s="4">
        <v>48034</v>
      </c>
      <c r="C415" s="5">
        <f t="shared" si="179"/>
        <v>40008</v>
      </c>
      <c r="D415" s="4" t="s">
        <v>45</v>
      </c>
      <c r="E415" s="4">
        <v>12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spans="1:21" ht="12" customHeight="1">
      <c r="A416" s="4">
        <v>7054</v>
      </c>
      <c r="B416" s="4">
        <v>50336</v>
      </c>
      <c r="C416" s="5">
        <f>DATE(2012,12,31)-1153</f>
        <v>40121</v>
      </c>
      <c r="D416" s="4" t="s">
        <v>45</v>
      </c>
      <c r="E416" s="4">
        <v>9</v>
      </c>
      <c r="F416" s="4">
        <v>58.98</v>
      </c>
      <c r="G416" s="4">
        <v>0</v>
      </c>
      <c r="H416" s="4" t="s">
        <v>22</v>
      </c>
      <c r="I416" s="6">
        <v>-17.790500000000002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0">C416+1</f>
        <v>40122</v>
      </c>
    </row>
    <row r="417" spans="1:21" ht="12" customHeight="1">
      <c r="A417" s="4">
        <v>7059</v>
      </c>
      <c r="B417" s="4">
        <v>50373</v>
      </c>
      <c r="C417" s="5">
        <f>DATE(2012,12,31)-1278</f>
        <v>39996</v>
      </c>
      <c r="D417" s="4" t="s">
        <v>78</v>
      </c>
      <c r="E417" s="4">
        <v>9</v>
      </c>
      <c r="F417" s="4">
        <v>1455.04</v>
      </c>
      <c r="G417" s="4">
        <v>0.06</v>
      </c>
      <c r="H417" s="4" t="s">
        <v>22</v>
      </c>
      <c r="I417" s="6">
        <v>-7.5800000000000409</v>
      </c>
      <c r="J417" s="4">
        <v>161.55000000000001</v>
      </c>
      <c r="K417" s="4">
        <v>19.989999999999998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0"/>
        <v>39997</v>
      </c>
    </row>
    <row r="418" spans="1:21" ht="12" customHeight="1">
      <c r="A418" s="4">
        <v>7449</v>
      </c>
      <c r="B418" s="4">
        <v>53152</v>
      </c>
      <c r="C418" s="5">
        <f t="shared" ref="C418:C420" si="181">DATE(2012,12,31)-1397</f>
        <v>39877</v>
      </c>
      <c r="D418" s="4" t="s">
        <v>63</v>
      </c>
      <c r="E418" s="4">
        <v>5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34.979999999999997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spans="1:21" ht="12" customHeight="1">
      <c r="A419" s="4">
        <v>7450</v>
      </c>
      <c r="B419" s="4">
        <v>53152</v>
      </c>
      <c r="C419" s="5">
        <f t="shared" si="181"/>
        <v>39877</v>
      </c>
      <c r="D419" s="4" t="s">
        <v>63</v>
      </c>
      <c r="E419" s="4">
        <v>9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19.989999999999998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spans="1:21" ht="12" customHeight="1">
      <c r="A420" s="4">
        <v>7451</v>
      </c>
      <c r="B420" s="4">
        <v>53152</v>
      </c>
      <c r="C420" s="5">
        <f t="shared" si="181"/>
        <v>39877</v>
      </c>
      <c r="D420" s="4" t="s">
        <v>63</v>
      </c>
      <c r="E420" s="4">
        <v>9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spans="1:21" ht="12" customHeight="1">
      <c r="A421" s="4">
        <v>7750</v>
      </c>
      <c r="B421" s="4">
        <v>55461</v>
      </c>
      <c r="C421" s="5">
        <f>DATE(2012,12,31)-1190</f>
        <v>40084</v>
      </c>
      <c r="D421" s="4" t="s">
        <v>63</v>
      </c>
      <c r="E421" s="4">
        <v>16</v>
      </c>
      <c r="F421" s="4">
        <v>84.01</v>
      </c>
      <c r="G421" s="4">
        <v>0.06</v>
      </c>
      <c r="H421" s="4" t="s">
        <v>22</v>
      </c>
      <c r="I421" s="6">
        <v>-34.119999999999997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spans="1:21" ht="12" customHeight="1">
      <c r="A422" s="4">
        <v>7996</v>
      </c>
      <c r="B422" s="4">
        <v>57153</v>
      </c>
      <c r="C422" s="5">
        <f t="shared" ref="C422:C423" si="182">DATE(2012,12,31)-1315</f>
        <v>39959</v>
      </c>
      <c r="D422" s="4" t="s">
        <v>78</v>
      </c>
      <c r="E422" s="4">
        <v>9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spans="1:21" ht="12" customHeight="1">
      <c r="A423" s="4">
        <v>7997</v>
      </c>
      <c r="B423" s="4">
        <v>57153</v>
      </c>
      <c r="C423" s="5">
        <f t="shared" si="182"/>
        <v>39959</v>
      </c>
      <c r="D423" s="4" t="s">
        <v>78</v>
      </c>
      <c r="E423" s="4">
        <v>45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3">C423+1</f>
        <v>39960</v>
      </c>
    </row>
    <row r="424" spans="1:21" ht="12" customHeight="1">
      <c r="A424" s="4">
        <v>8321</v>
      </c>
      <c r="B424" s="4">
        <v>59459</v>
      </c>
      <c r="C424" s="5">
        <f>DATE(2012,12,31)-1426</f>
        <v>39848</v>
      </c>
      <c r="D424" s="4" t="s">
        <v>63</v>
      </c>
      <c r="E424" s="4">
        <v>40</v>
      </c>
      <c r="F424" s="4">
        <v>69.66</v>
      </c>
      <c r="G424" s="4">
        <v>7.0000000000000007E-2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3"/>
        <v>39849</v>
      </c>
    </row>
    <row r="425" spans="1:21" ht="12" customHeight="1">
      <c r="A425" s="4">
        <v>184</v>
      </c>
      <c r="B425" s="4">
        <v>1218</v>
      </c>
      <c r="C425" s="5">
        <f>DATE(2012,12,31)-1291</f>
        <v>39983</v>
      </c>
      <c r="D425" s="4" t="s">
        <v>45</v>
      </c>
      <c r="E425" s="4">
        <v>3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spans="1:21" ht="12" customHeight="1">
      <c r="A426" s="4">
        <v>347</v>
      </c>
      <c r="B426" s="4">
        <v>2373</v>
      </c>
      <c r="C426" s="5">
        <f>DATE(2012,12,31)-1391</f>
        <v>39883</v>
      </c>
      <c r="D426" s="4" t="s">
        <v>45</v>
      </c>
      <c r="E426" s="4">
        <v>36</v>
      </c>
      <c r="F426" s="4">
        <v>317.58999999999997</v>
      </c>
      <c r="G426" s="4">
        <v>0.06</v>
      </c>
      <c r="H426" s="4" t="s">
        <v>22</v>
      </c>
      <c r="I426" s="6">
        <v>-46.115000000000002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4">C426+1</f>
        <v>39884</v>
      </c>
    </row>
    <row r="427" spans="1:21" ht="12" customHeight="1">
      <c r="A427" s="4">
        <v>555</v>
      </c>
      <c r="B427" s="4">
        <v>3777</v>
      </c>
      <c r="C427" s="5">
        <f>DATE(2012,12,31)-1364</f>
        <v>39910</v>
      </c>
      <c r="D427" s="4" t="s">
        <v>63</v>
      </c>
      <c r="E427" s="4">
        <v>14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17.670000000000002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4"/>
        <v>39911</v>
      </c>
    </row>
    <row r="428" spans="1:21" ht="12" customHeight="1">
      <c r="A428" s="4">
        <v>1246</v>
      </c>
      <c r="B428" s="4">
        <v>9088</v>
      </c>
      <c r="C428" s="5">
        <f t="shared" ref="C428:C429" si="185">DATE(2012,12,31)-1288</f>
        <v>39986</v>
      </c>
      <c r="D428" s="4" t="s">
        <v>78</v>
      </c>
      <c r="E428" s="4">
        <v>50</v>
      </c>
      <c r="F428" s="4">
        <v>15383.7</v>
      </c>
      <c r="G428" s="4">
        <v>0.03</v>
      </c>
      <c r="H428" s="4" t="s">
        <v>22</v>
      </c>
      <c r="I428" s="6">
        <v>6523.2569999999996</v>
      </c>
      <c r="J428" s="4">
        <v>304.99</v>
      </c>
      <c r="K428" s="4">
        <v>19.989999999999998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6">C428+2</f>
        <v>39988</v>
      </c>
    </row>
    <row r="429" spans="1:21" ht="12" customHeight="1">
      <c r="A429" s="4">
        <v>1247</v>
      </c>
      <c r="B429" s="4">
        <v>9088</v>
      </c>
      <c r="C429" s="5">
        <f t="shared" si="185"/>
        <v>39986</v>
      </c>
      <c r="D429" s="4" t="s">
        <v>78</v>
      </c>
      <c r="E429" s="4">
        <v>31</v>
      </c>
      <c r="F429" s="4">
        <v>1637.4570000000001</v>
      </c>
      <c r="G429" s="4">
        <v>0.09</v>
      </c>
      <c r="H429" s="4" t="s">
        <v>22</v>
      </c>
      <c r="I429" s="6">
        <v>118.152</v>
      </c>
      <c r="J429" s="4">
        <v>65.989999999999995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0.57999999999999996</v>
      </c>
      <c r="U429" s="5">
        <f t="shared" si="186"/>
        <v>39988</v>
      </c>
    </row>
    <row r="430" spans="1:21" ht="12" customHeight="1">
      <c r="A430" s="4">
        <v>2841</v>
      </c>
      <c r="B430" s="4">
        <v>20480</v>
      </c>
      <c r="C430" s="5">
        <f>DATE(2012,12,31)-1432</f>
        <v>39842</v>
      </c>
      <c r="D430" s="4" t="s">
        <v>63</v>
      </c>
      <c r="E430" s="4">
        <v>4</v>
      </c>
      <c r="F430" s="4">
        <v>1042.6300000000001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0.56000000000000005</v>
      </c>
      <c r="U430" s="5">
        <f t="shared" si="186"/>
        <v>39844</v>
      </c>
    </row>
    <row r="431" spans="1:21" ht="12" customHeight="1">
      <c r="A431" s="4">
        <v>2919</v>
      </c>
      <c r="B431" s="4">
        <v>21091</v>
      </c>
      <c r="C431" s="5">
        <f>DATE(2012,12,31)-1115</f>
        <v>40159</v>
      </c>
      <c r="D431" s="4" t="s">
        <v>30</v>
      </c>
      <c r="E431" s="4">
        <v>32</v>
      </c>
      <c r="F431" s="4">
        <v>270.73</v>
      </c>
      <c r="G431" s="4">
        <v>0.1</v>
      </c>
      <c r="H431" s="4" t="s">
        <v>56</v>
      </c>
      <c r="I431" s="6">
        <v>-54.567500000000003</v>
      </c>
      <c r="J431" s="4">
        <v>8.8800000000000008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6"/>
        <v>40161</v>
      </c>
    </row>
    <row r="432" spans="1:21" ht="12" customHeight="1">
      <c r="A432" s="4">
        <v>3768</v>
      </c>
      <c r="B432" s="4">
        <v>26918</v>
      </c>
      <c r="C432" s="5">
        <f>DATE(2012,12,31)-1365</f>
        <v>39909</v>
      </c>
      <c r="D432" s="4" t="s">
        <v>21</v>
      </c>
      <c r="E432" s="4">
        <v>16</v>
      </c>
      <c r="F432" s="4">
        <v>77.959999999999994</v>
      </c>
      <c r="G432" s="4">
        <v>0.05</v>
      </c>
      <c r="H432" s="4" t="s">
        <v>22</v>
      </c>
      <c r="I432" s="6">
        <v>16.649999999999999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spans="1:21" ht="12" customHeight="1">
      <c r="A433" s="4">
        <v>3847</v>
      </c>
      <c r="B433" s="4">
        <v>27456</v>
      </c>
      <c r="C433" s="5">
        <f>DATE(2012,12,31)-1361</f>
        <v>39913</v>
      </c>
      <c r="D433" s="4" t="s">
        <v>45</v>
      </c>
      <c r="E433" s="4">
        <v>29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0.56999999999999995</v>
      </c>
      <c r="U433" s="5">
        <f>C433+1</f>
        <v>39914</v>
      </c>
    </row>
    <row r="434" spans="1:21" ht="12" customHeight="1">
      <c r="A434" s="4">
        <v>3980</v>
      </c>
      <c r="B434" s="4">
        <v>28420</v>
      </c>
      <c r="C434" s="5">
        <f>DATE(2012,12,31)-1194</f>
        <v>40080</v>
      </c>
      <c r="D434" s="4" t="s">
        <v>21</v>
      </c>
      <c r="E434" s="4">
        <v>2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spans="1:21" ht="12" customHeight="1">
      <c r="A435" s="4">
        <v>4223</v>
      </c>
      <c r="B435" s="4">
        <v>30016</v>
      </c>
      <c r="C435" s="5">
        <f t="shared" ref="C435:C436" si="187">DATE(2012,12,31)-1458</f>
        <v>39816</v>
      </c>
      <c r="D435" s="4" t="s">
        <v>78</v>
      </c>
      <c r="E435" s="4">
        <v>15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spans="1:21" ht="12" customHeight="1">
      <c r="A436" s="4">
        <v>4224</v>
      </c>
      <c r="B436" s="4">
        <v>30016</v>
      </c>
      <c r="C436" s="5">
        <f t="shared" si="187"/>
        <v>39816</v>
      </c>
      <c r="D436" s="4" t="s">
        <v>78</v>
      </c>
      <c r="E436" s="4">
        <v>8</v>
      </c>
      <c r="F436" s="4">
        <v>754.65549999999996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0.56999999999999995</v>
      </c>
      <c r="U436" s="5">
        <f>C436+3</f>
        <v>39819</v>
      </c>
    </row>
    <row r="437" spans="1:21" ht="12" customHeight="1">
      <c r="A437" s="4">
        <v>5152</v>
      </c>
      <c r="B437" s="4">
        <v>36706</v>
      </c>
      <c r="C437" s="5">
        <f t="shared" ref="C437:C438" si="188">DATE(2012,12,31)-1360</f>
        <v>39914</v>
      </c>
      <c r="D437" s="4" t="s">
        <v>45</v>
      </c>
      <c r="E437" s="4">
        <v>47</v>
      </c>
      <c r="F437" s="4">
        <v>887.45</v>
      </c>
      <c r="G437" s="4">
        <v>0.1</v>
      </c>
      <c r="H437" s="4" t="s">
        <v>22</v>
      </c>
      <c r="I437" s="6">
        <v>365.78899999999999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89">C437+2</f>
        <v>39916</v>
      </c>
    </row>
    <row r="438" spans="1:21" ht="12" customHeight="1">
      <c r="A438" s="4">
        <v>5153</v>
      </c>
      <c r="B438" s="4">
        <v>36706</v>
      </c>
      <c r="C438" s="5">
        <f t="shared" si="188"/>
        <v>39914</v>
      </c>
      <c r="D438" s="4" t="s">
        <v>45</v>
      </c>
      <c r="E438" s="4">
        <v>7</v>
      </c>
      <c r="F438" s="4">
        <v>355.97</v>
      </c>
      <c r="G438" s="4">
        <v>0.03</v>
      </c>
      <c r="H438" s="4" t="s">
        <v>22</v>
      </c>
      <c r="I438" s="6">
        <v>-4.4599999999999937</v>
      </c>
      <c r="J438" s="4">
        <v>48.04</v>
      </c>
      <c r="K438" s="4">
        <v>19.989999999999998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89"/>
        <v>39916</v>
      </c>
    </row>
    <row r="439" spans="1:21" ht="12" customHeight="1">
      <c r="A439" s="4">
        <v>5735</v>
      </c>
      <c r="B439" s="4">
        <v>40707</v>
      </c>
      <c r="C439" s="5">
        <f>DATE(2012,12,31)-1299</f>
        <v>39975</v>
      </c>
      <c r="D439" s="4" t="s">
        <v>30</v>
      </c>
      <c r="E439" s="4">
        <v>26</v>
      </c>
      <c r="F439" s="4">
        <v>1495.184</v>
      </c>
      <c r="G439" s="4">
        <v>0</v>
      </c>
      <c r="H439" s="4" t="s">
        <v>22</v>
      </c>
      <c r="I439" s="6">
        <v>211.08599999999998</v>
      </c>
      <c r="J439" s="4">
        <v>65.989999999999995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0.56000000000000005</v>
      </c>
      <c r="U439" s="5">
        <f t="shared" si="189"/>
        <v>39977</v>
      </c>
    </row>
    <row r="440" spans="1:21" ht="12" customHeight="1">
      <c r="A440" s="4">
        <v>5853</v>
      </c>
      <c r="B440" s="4">
        <v>41543</v>
      </c>
      <c r="C440" s="5">
        <f t="shared" ref="C440:C441" si="190">DATE(2012,12,31)-1424</f>
        <v>39850</v>
      </c>
      <c r="D440" s="4" t="s">
        <v>21</v>
      </c>
      <c r="E440" s="4">
        <v>45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160.97999999999999</v>
      </c>
      <c r="K440" s="4">
        <v>30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1">C440+4</f>
        <v>39854</v>
      </c>
    </row>
    <row r="441" spans="1:21" ht="12" customHeight="1">
      <c r="A441" s="4">
        <v>5854</v>
      </c>
      <c r="B441" s="4">
        <v>41543</v>
      </c>
      <c r="C441" s="5">
        <f t="shared" si="190"/>
        <v>39850</v>
      </c>
      <c r="D441" s="4" t="s">
        <v>21</v>
      </c>
      <c r="E441" s="4">
        <v>24</v>
      </c>
      <c r="F441" s="4">
        <v>1318.8684999999998</v>
      </c>
      <c r="G441" s="4">
        <v>0.03</v>
      </c>
      <c r="H441" s="4" t="s">
        <v>22</v>
      </c>
      <c r="I441" s="6">
        <v>172.33199999999999</v>
      </c>
      <c r="J441" s="4">
        <v>65.989999999999995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1"/>
        <v>39854</v>
      </c>
    </row>
    <row r="442" spans="1:21" ht="12" customHeight="1">
      <c r="A442" s="4">
        <v>5862</v>
      </c>
      <c r="B442" s="4">
        <v>41606</v>
      </c>
      <c r="C442" s="5">
        <f t="shared" ref="C442:C443" si="192">DATE(2012,12,31)-1287</f>
        <v>39987</v>
      </c>
      <c r="D442" s="4" t="s">
        <v>30</v>
      </c>
      <c r="E442" s="4">
        <v>23</v>
      </c>
      <c r="F442" s="4">
        <v>4514.8599999999997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3">C442+1</f>
        <v>39988</v>
      </c>
    </row>
    <row r="443" spans="1:21" ht="12" customHeight="1">
      <c r="A443" s="4">
        <v>5863</v>
      </c>
      <c r="B443" s="4">
        <v>41606</v>
      </c>
      <c r="C443" s="5">
        <f t="shared" si="192"/>
        <v>39987</v>
      </c>
      <c r="D443" s="4" t="s">
        <v>30</v>
      </c>
      <c r="E443" s="4">
        <v>30</v>
      </c>
      <c r="F443" s="4">
        <v>79.14</v>
      </c>
      <c r="G443" s="4">
        <v>0.09</v>
      </c>
      <c r="H443" s="4" t="s">
        <v>22</v>
      </c>
      <c r="I443" s="6">
        <v>-4.7300000000000004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3"/>
        <v>39988</v>
      </c>
    </row>
    <row r="444" spans="1:21" ht="12" customHeight="1">
      <c r="A444" s="4">
        <v>7917</v>
      </c>
      <c r="B444" s="4">
        <v>56582</v>
      </c>
      <c r="C444" s="5">
        <f>DATE(2012,12,31)-1298</f>
        <v>39976</v>
      </c>
      <c r="D444" s="4" t="s">
        <v>21</v>
      </c>
      <c r="E444" s="4">
        <v>36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130.97999999999999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spans="1:21" ht="12" customHeight="1">
      <c r="A445" s="4">
        <v>7932</v>
      </c>
      <c r="B445" s="4">
        <v>56677</v>
      </c>
      <c r="C445" s="5">
        <f>DATE(2012,12,31)-1360</f>
        <v>39914</v>
      </c>
      <c r="D445" s="4" t="s">
        <v>30</v>
      </c>
      <c r="E445" s="4">
        <v>35</v>
      </c>
      <c r="F445" s="4">
        <v>430.55</v>
      </c>
      <c r="G445" s="4">
        <v>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0.55000000000000004</v>
      </c>
      <c r="U445" s="5">
        <f>C445+1</f>
        <v>39915</v>
      </c>
    </row>
    <row r="446" spans="1:21" ht="12" customHeight="1">
      <c r="A446" s="4">
        <v>133</v>
      </c>
      <c r="B446" s="4">
        <v>837</v>
      </c>
      <c r="C446" s="5">
        <f>DATE(2012,12,31)-1296</f>
        <v>39978</v>
      </c>
      <c r="D446" s="4" t="s">
        <v>45</v>
      </c>
      <c r="E446" s="4">
        <v>11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4">C446+2</f>
        <v>39980</v>
      </c>
    </row>
    <row r="447" spans="1:21" ht="12" customHeight="1">
      <c r="A447" s="4">
        <v>169</v>
      </c>
      <c r="B447" s="4">
        <v>1059</v>
      </c>
      <c r="C447" s="5">
        <f t="shared" ref="C447:C448" si="195">DATE(2012,12,31)-1404</f>
        <v>39870</v>
      </c>
      <c r="D447" s="4" t="s">
        <v>78</v>
      </c>
      <c r="E447" s="4">
        <v>22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4"/>
        <v>39872</v>
      </c>
    </row>
    <row r="448" spans="1:21" ht="12" customHeight="1">
      <c r="A448" s="4">
        <v>170</v>
      </c>
      <c r="B448" s="4">
        <v>1059</v>
      </c>
      <c r="C448" s="5">
        <f t="shared" si="195"/>
        <v>39870</v>
      </c>
      <c r="D448" s="4" t="s">
        <v>78</v>
      </c>
      <c r="E448" s="4">
        <v>24</v>
      </c>
      <c r="F448" s="4">
        <v>990.1</v>
      </c>
      <c r="G448" s="4">
        <v>0.03</v>
      </c>
      <c r="H448" s="4" t="s">
        <v>22</v>
      </c>
      <c r="I448" s="6">
        <v>310.21600000000001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spans="1:21" ht="12" customHeight="1">
      <c r="A449" s="4">
        <v>1849</v>
      </c>
      <c r="B449" s="4">
        <v>13313</v>
      </c>
      <c r="C449" s="5">
        <f t="shared" ref="C449:C451" si="196">DATE(2012,12,31)-1264</f>
        <v>40010</v>
      </c>
      <c r="D449" s="4" t="s">
        <v>45</v>
      </c>
      <c r="E449" s="4">
        <v>18</v>
      </c>
      <c r="F449" s="4">
        <v>243.51</v>
      </c>
      <c r="G449" s="4">
        <v>0.02</v>
      </c>
      <c r="H449" s="4" t="s">
        <v>22</v>
      </c>
      <c r="I449" s="6">
        <v>-159.86000000000001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7">C449+2</f>
        <v>40012</v>
      </c>
    </row>
    <row r="450" spans="1:21" ht="12" customHeight="1">
      <c r="A450" s="4">
        <v>1850</v>
      </c>
      <c r="B450" s="4">
        <v>13313</v>
      </c>
      <c r="C450" s="5">
        <f t="shared" si="196"/>
        <v>40010</v>
      </c>
      <c r="D450" s="4" t="s">
        <v>45</v>
      </c>
      <c r="E450" s="4">
        <v>22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7"/>
        <v>40012</v>
      </c>
    </row>
    <row r="451" spans="1:21" ht="12" customHeight="1">
      <c r="A451" s="4">
        <v>1851</v>
      </c>
      <c r="B451" s="4">
        <v>13313</v>
      </c>
      <c r="C451" s="5">
        <f t="shared" si="196"/>
        <v>40010</v>
      </c>
      <c r="D451" s="4" t="s">
        <v>45</v>
      </c>
      <c r="E451" s="4">
        <v>45</v>
      </c>
      <c r="F451" s="4">
        <v>592.73</v>
      </c>
      <c r="G451" s="4">
        <v>0.02</v>
      </c>
      <c r="H451" s="4" t="s">
        <v>22</v>
      </c>
      <c r="I451" s="6">
        <v>75.010000000000005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spans="1:21" ht="12" customHeight="1">
      <c r="A452" s="4">
        <v>2182</v>
      </c>
      <c r="B452" s="4">
        <v>15718</v>
      </c>
      <c r="C452" s="5">
        <f>DATE(2012,12,31)-1434</f>
        <v>39840</v>
      </c>
      <c r="D452" s="4" t="s">
        <v>78</v>
      </c>
      <c r="E452" s="4">
        <v>36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0.57999999999999996</v>
      </c>
      <c r="U452" s="5">
        <f>C452+1</f>
        <v>39841</v>
      </c>
    </row>
    <row r="453" spans="1:21" ht="12" customHeight="1">
      <c r="A453" s="4">
        <v>3290</v>
      </c>
      <c r="B453" s="4">
        <v>23524</v>
      </c>
      <c r="C453" s="5">
        <f t="shared" ref="C453:C454" si="198">DATE(2012,12,31)-1343</f>
        <v>39931</v>
      </c>
      <c r="D453" s="4" t="s">
        <v>30</v>
      </c>
      <c r="E453" s="4">
        <v>28</v>
      </c>
      <c r="F453" s="4">
        <v>129.33000000000001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199">C453+2</f>
        <v>39933</v>
      </c>
    </row>
    <row r="454" spans="1:21" ht="12" customHeight="1">
      <c r="A454" s="4">
        <v>3291</v>
      </c>
      <c r="B454" s="4">
        <v>23524</v>
      </c>
      <c r="C454" s="5">
        <f t="shared" si="198"/>
        <v>39931</v>
      </c>
      <c r="D454" s="4" t="s">
        <v>30</v>
      </c>
      <c r="E454" s="4">
        <v>46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199"/>
        <v>39933</v>
      </c>
    </row>
    <row r="455" spans="1:21" ht="12" customHeight="1">
      <c r="A455" s="4">
        <v>4201</v>
      </c>
      <c r="B455" s="4">
        <v>29860</v>
      </c>
      <c r="C455" s="5">
        <f>DATE(2012,12,31)-1205</f>
        <v>40069</v>
      </c>
      <c r="D455" s="4" t="s">
        <v>78</v>
      </c>
      <c r="E455" s="4">
        <v>48</v>
      </c>
      <c r="F455" s="4">
        <v>8295.2900000000009</v>
      </c>
      <c r="G455" s="4">
        <v>0.08</v>
      </c>
      <c r="H455" s="4" t="s">
        <v>22</v>
      </c>
      <c r="I455" s="6">
        <v>2267.2199999999998</v>
      </c>
      <c r="J455" s="4">
        <v>178.47</v>
      </c>
      <c r="K455" s="4">
        <v>19.989999999999998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0.55000000000000004</v>
      </c>
      <c r="U455" s="5">
        <f>C455+3</f>
        <v>40072</v>
      </c>
    </row>
    <row r="456" spans="1:21" ht="12" customHeight="1">
      <c r="A456" s="4">
        <v>623</v>
      </c>
      <c r="B456" s="4">
        <v>4321</v>
      </c>
      <c r="C456" s="5">
        <f>DATE(2012,12,31)-1263</f>
        <v>40011</v>
      </c>
      <c r="D456" s="4" t="s">
        <v>63</v>
      </c>
      <c r="E456" s="4">
        <v>47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19.989999999999998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0">C456+2</f>
        <v>40013</v>
      </c>
    </row>
    <row r="457" spans="1:21" ht="12" customHeight="1">
      <c r="A457" s="4">
        <v>783</v>
      </c>
      <c r="B457" s="4">
        <v>5572</v>
      </c>
      <c r="C457" s="5">
        <f>DATE(2012,12,31)-1264</f>
        <v>40010</v>
      </c>
      <c r="D457" s="4" t="s">
        <v>30</v>
      </c>
      <c r="E457" s="4">
        <v>37</v>
      </c>
      <c r="F457" s="4">
        <v>288.55</v>
      </c>
      <c r="G457" s="4">
        <v>0.03</v>
      </c>
      <c r="H457" s="4" t="s">
        <v>22</v>
      </c>
      <c r="I457" s="6">
        <v>-133.69999999999999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0"/>
        <v>40012</v>
      </c>
    </row>
    <row r="458" spans="1:21" ht="12" customHeight="1">
      <c r="A458" s="4">
        <v>819</v>
      </c>
      <c r="B458" s="4">
        <v>5920</v>
      </c>
      <c r="C458" s="5">
        <f>DATE(2012,12,31)-1138</f>
        <v>40136</v>
      </c>
      <c r="D458" s="4" t="s">
        <v>30</v>
      </c>
      <c r="E458" s="4">
        <v>4</v>
      </c>
      <c r="F458" s="4">
        <v>582.59</v>
      </c>
      <c r="G458" s="4">
        <v>7.0000000000000007E-2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spans="1:21" ht="12" customHeight="1">
      <c r="A459" s="4">
        <v>1191</v>
      </c>
      <c r="B459" s="4">
        <v>8709</v>
      </c>
      <c r="C459" s="5">
        <f t="shared" ref="C459:C460" si="201">DATE(2012,12,31)-1394</f>
        <v>39880</v>
      </c>
      <c r="D459" s="4" t="s">
        <v>30</v>
      </c>
      <c r="E459" s="4">
        <v>50</v>
      </c>
      <c r="F459" s="4">
        <v>2451.41</v>
      </c>
      <c r="G459" s="4">
        <v>7.0000000000000007E-2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spans="1:21" ht="12" customHeight="1">
      <c r="A460" s="4">
        <v>1192</v>
      </c>
      <c r="B460" s="4">
        <v>8709</v>
      </c>
      <c r="C460" s="5">
        <f t="shared" si="201"/>
        <v>39880</v>
      </c>
      <c r="D460" s="4" t="s">
        <v>30</v>
      </c>
      <c r="E460" s="4">
        <v>11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spans="1:21" ht="12" customHeight="1">
      <c r="A461" s="4">
        <v>1692</v>
      </c>
      <c r="B461" s="4">
        <v>12224</v>
      </c>
      <c r="C461" s="5">
        <f t="shared" ref="C461:C462" si="202">DATE(2012,12,31)-1115</f>
        <v>40159</v>
      </c>
      <c r="D461" s="4" t="s">
        <v>30</v>
      </c>
      <c r="E461" s="4">
        <v>2</v>
      </c>
      <c r="F461" s="4">
        <v>302.91000000000003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spans="1:21" ht="12" customHeight="1">
      <c r="A462" s="4">
        <v>1693</v>
      </c>
      <c r="B462" s="4">
        <v>12224</v>
      </c>
      <c r="C462" s="5">
        <f t="shared" si="202"/>
        <v>40159</v>
      </c>
      <c r="D462" s="4" t="s">
        <v>30</v>
      </c>
      <c r="E462" s="4">
        <v>29</v>
      </c>
      <c r="F462" s="4">
        <v>842.61349999999993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spans="1:21" ht="12" customHeight="1">
      <c r="A463" s="4">
        <v>1863</v>
      </c>
      <c r="B463" s="4">
        <v>13408</v>
      </c>
      <c r="C463" s="5">
        <f>DATE(2012,12,31)-1416</f>
        <v>39858</v>
      </c>
      <c r="D463" s="4" t="s">
        <v>21</v>
      </c>
      <c r="E463" s="4">
        <v>4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3">C463+2</f>
        <v>39860</v>
      </c>
    </row>
    <row r="464" spans="1:21" ht="12" customHeight="1">
      <c r="A464" s="4">
        <v>2286</v>
      </c>
      <c r="B464" s="4">
        <v>16480</v>
      </c>
      <c r="C464" s="5">
        <f>DATE(2012,12,31)-1121</f>
        <v>40153</v>
      </c>
      <c r="D464" s="4" t="s">
        <v>45</v>
      </c>
      <c r="E464" s="4">
        <v>14</v>
      </c>
      <c r="F464" s="4">
        <v>87.23</v>
      </c>
      <c r="G464" s="4">
        <v>0.09</v>
      </c>
      <c r="H464" s="4" t="s">
        <v>56</v>
      </c>
      <c r="I464" s="6">
        <v>-69.528999999999996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3"/>
        <v>40155</v>
      </c>
    </row>
    <row r="465" spans="1:21" ht="12" customHeight="1">
      <c r="A465" s="4">
        <v>2571</v>
      </c>
      <c r="B465" s="4">
        <v>18561</v>
      </c>
      <c r="C465" s="5">
        <f>DATE(2012,12,31)-1452</f>
        <v>39822</v>
      </c>
      <c r="D465" s="4" t="s">
        <v>45</v>
      </c>
      <c r="E465" s="4">
        <v>9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4">C465+1</f>
        <v>39823</v>
      </c>
    </row>
    <row r="466" spans="1:21" ht="12" customHeight="1">
      <c r="A466" s="4">
        <v>3490</v>
      </c>
      <c r="B466" s="4">
        <v>24869</v>
      </c>
      <c r="C466" s="5">
        <f>DATE(2012,12,31)-1300</f>
        <v>39974</v>
      </c>
      <c r="D466" s="4" t="s">
        <v>45</v>
      </c>
      <c r="E466" s="4">
        <v>14</v>
      </c>
      <c r="F466" s="4">
        <v>132.72</v>
      </c>
      <c r="G466" s="4">
        <v>0.05</v>
      </c>
      <c r="H466" s="4" t="s">
        <v>22</v>
      </c>
      <c r="I466" s="6">
        <v>-9.1769999999999996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4"/>
        <v>39975</v>
      </c>
    </row>
    <row r="467" spans="1:21" ht="12" customHeight="1">
      <c r="A467" s="4">
        <v>3981</v>
      </c>
      <c r="B467" s="4">
        <v>28451</v>
      </c>
      <c r="C467" s="5">
        <f t="shared" ref="C467:C469" si="205">DATE(2012,12,31)-1456</f>
        <v>39818</v>
      </c>
      <c r="D467" s="4" t="s">
        <v>78</v>
      </c>
      <c r="E467" s="4">
        <v>21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spans="1:21" ht="12" customHeight="1">
      <c r="A468" s="4">
        <v>3982</v>
      </c>
      <c r="B468" s="4">
        <v>28451</v>
      </c>
      <c r="C468" s="5">
        <f t="shared" si="205"/>
        <v>39818</v>
      </c>
      <c r="D468" s="4" t="s">
        <v>78</v>
      </c>
      <c r="E468" s="4">
        <v>41</v>
      </c>
      <c r="F468" s="4">
        <v>8958.4599999999991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spans="1:21" ht="12" customHeight="1">
      <c r="A469" s="4">
        <v>3983</v>
      </c>
      <c r="B469" s="4">
        <v>28451</v>
      </c>
      <c r="C469" s="5">
        <f t="shared" si="205"/>
        <v>39818</v>
      </c>
      <c r="D469" s="4" t="s">
        <v>78</v>
      </c>
      <c r="E469" s="4">
        <v>33</v>
      </c>
      <c r="F469" s="4">
        <v>4913.7</v>
      </c>
      <c r="G469" s="4">
        <v>0</v>
      </c>
      <c r="H469" s="4" t="s">
        <v>31</v>
      </c>
      <c r="I469" s="6">
        <v>1054.93</v>
      </c>
      <c r="J469" s="4">
        <v>145.44999999999999</v>
      </c>
      <c r="K469" s="4">
        <v>17.850000000000001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0.56000000000000005</v>
      </c>
      <c r="U469" s="5">
        <f>C469+2</f>
        <v>39820</v>
      </c>
    </row>
    <row r="470" spans="1:21" ht="12" customHeight="1">
      <c r="A470" s="4">
        <v>4136</v>
      </c>
      <c r="B470" s="4">
        <v>29380</v>
      </c>
      <c r="C470" s="5">
        <f>DATE(2012,12,31)-1344</f>
        <v>39930</v>
      </c>
      <c r="D470" s="4" t="s">
        <v>45</v>
      </c>
      <c r="E470" s="4">
        <v>13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4.8600000000000003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6">C470+1</f>
        <v>39931</v>
      </c>
    </row>
    <row r="471" spans="1:21" ht="12" customHeight="1">
      <c r="A471" s="4">
        <v>4540</v>
      </c>
      <c r="B471" s="4">
        <v>32295</v>
      </c>
      <c r="C471" s="5">
        <f>DATE(2012,12,31)-1454</f>
        <v>39820</v>
      </c>
      <c r="D471" s="4" t="s">
        <v>30</v>
      </c>
      <c r="E471" s="4">
        <v>11</v>
      </c>
      <c r="F471" s="4">
        <v>607.59699999999998</v>
      </c>
      <c r="G471" s="4">
        <v>7.0000000000000007E-2</v>
      </c>
      <c r="H471" s="4" t="s">
        <v>22</v>
      </c>
      <c r="I471" s="6">
        <v>-112.244</v>
      </c>
      <c r="J471" s="4">
        <v>65.989999999999995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0.57999999999999996</v>
      </c>
      <c r="U471" s="5">
        <f t="shared" si="206"/>
        <v>39821</v>
      </c>
    </row>
    <row r="472" spans="1:21" ht="12" customHeight="1">
      <c r="A472" s="4">
        <v>5176</v>
      </c>
      <c r="B472" s="4">
        <v>36807</v>
      </c>
      <c r="C472" s="5">
        <f>DATE(2012,12,31)-1386</f>
        <v>39888</v>
      </c>
      <c r="D472" s="4" t="s">
        <v>63</v>
      </c>
      <c r="E472" s="4">
        <v>14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6"/>
        <v>39889</v>
      </c>
    </row>
    <row r="473" spans="1:21" ht="12" customHeight="1">
      <c r="A473" s="4">
        <v>6559</v>
      </c>
      <c r="B473" s="4">
        <v>46627</v>
      </c>
      <c r="C473" s="5">
        <f t="shared" ref="C473:C474" si="207">DATE(2012,12,31)-1299</f>
        <v>39975</v>
      </c>
      <c r="D473" s="4" t="s">
        <v>78</v>
      </c>
      <c r="E473" s="4">
        <v>3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6"/>
        <v>39976</v>
      </c>
    </row>
    <row r="474" spans="1:21" ht="12" customHeight="1">
      <c r="A474" s="4">
        <v>6560</v>
      </c>
      <c r="B474" s="4">
        <v>46627</v>
      </c>
      <c r="C474" s="5">
        <f t="shared" si="207"/>
        <v>39975</v>
      </c>
      <c r="D474" s="4" t="s">
        <v>78</v>
      </c>
      <c r="E474" s="4">
        <v>24</v>
      </c>
      <c r="F474" s="4">
        <v>1388.6279999999999</v>
      </c>
      <c r="G474" s="4">
        <v>0.03</v>
      </c>
      <c r="H474" s="4" t="s">
        <v>22</v>
      </c>
      <c r="I474" s="6">
        <v>261.52199999999999</v>
      </c>
      <c r="J474" s="4">
        <v>65.989999999999995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0.56000000000000005</v>
      </c>
      <c r="U474" s="5">
        <f t="shared" si="206"/>
        <v>39976</v>
      </c>
    </row>
    <row r="475" spans="1:21" ht="12" customHeight="1">
      <c r="A475" s="4">
        <v>6628</v>
      </c>
      <c r="B475" s="4">
        <v>47168</v>
      </c>
      <c r="C475" s="5">
        <f t="shared" ref="C475:C476" si="208">DATE(2012,12,31)-1289</f>
        <v>39985</v>
      </c>
      <c r="D475" s="4" t="s">
        <v>45</v>
      </c>
      <c r="E475" s="4">
        <v>24</v>
      </c>
      <c r="F475" s="4">
        <v>2920.83</v>
      </c>
      <c r="G475" s="4">
        <v>0.02</v>
      </c>
      <c r="H475" s="4" t="s">
        <v>31</v>
      </c>
      <c r="I475" s="6">
        <v>1068.1600000000001</v>
      </c>
      <c r="J475" s="4">
        <v>119.99</v>
      </c>
      <c r="K475" s="4">
        <v>14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6"/>
        <v>39986</v>
      </c>
    </row>
    <row r="476" spans="1:21" ht="12" customHeight="1">
      <c r="A476" s="4">
        <v>6629</v>
      </c>
      <c r="B476" s="4">
        <v>47168</v>
      </c>
      <c r="C476" s="5">
        <f t="shared" si="208"/>
        <v>39985</v>
      </c>
      <c r="D476" s="4" t="s">
        <v>45</v>
      </c>
      <c r="E476" s="4">
        <v>42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6"/>
        <v>39986</v>
      </c>
    </row>
    <row r="477" spans="1:21" ht="12" customHeight="1">
      <c r="A477" s="4">
        <v>7011</v>
      </c>
      <c r="B477" s="4">
        <v>50051</v>
      </c>
      <c r="C477" s="5">
        <f t="shared" ref="C477:C478" si="209">DATE(2012,12,31)-1184</f>
        <v>40090</v>
      </c>
      <c r="D477" s="4" t="s">
        <v>63</v>
      </c>
      <c r="E477" s="4">
        <v>17</v>
      </c>
      <c r="F477" s="4">
        <v>103.72</v>
      </c>
      <c r="G477" s="4">
        <v>0.02</v>
      </c>
      <c r="H477" s="4" t="s">
        <v>22</v>
      </c>
      <c r="I477" s="6">
        <v>-72.058999999999997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0">C477+2</f>
        <v>40092</v>
      </c>
    </row>
    <row r="478" spans="1:21" ht="12" customHeight="1">
      <c r="A478" s="4">
        <v>7012</v>
      </c>
      <c r="B478" s="4">
        <v>50051</v>
      </c>
      <c r="C478" s="5">
        <f t="shared" si="209"/>
        <v>40090</v>
      </c>
      <c r="D478" s="4" t="s">
        <v>63</v>
      </c>
      <c r="E478" s="4">
        <v>4</v>
      </c>
      <c r="F478" s="4">
        <v>185.15</v>
      </c>
      <c r="G478" s="4">
        <v>0.09</v>
      </c>
      <c r="H478" s="4" t="s">
        <v>22</v>
      </c>
      <c r="I478" s="6">
        <v>10.199999999999999</v>
      </c>
      <c r="J478" s="4">
        <v>41.47</v>
      </c>
      <c r="K478" s="4">
        <v>34.200000000000003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0"/>
        <v>40092</v>
      </c>
    </row>
    <row r="479" spans="1:21" ht="12" customHeight="1">
      <c r="A479" s="4">
        <v>7804</v>
      </c>
      <c r="B479" s="4">
        <v>55840</v>
      </c>
      <c r="C479" s="5">
        <f>DATE(2012,12,31)-1232</f>
        <v>40042</v>
      </c>
      <c r="D479" s="4" t="s">
        <v>63</v>
      </c>
      <c r="E479" s="4">
        <v>11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4.9800000000000004</v>
      </c>
      <c r="K479" s="4">
        <v>4.8600000000000003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spans="1:21" ht="12" customHeight="1">
      <c r="A480" s="4">
        <v>461</v>
      </c>
      <c r="B480" s="4">
        <v>3136</v>
      </c>
      <c r="C480" s="5">
        <f>DATE(2012,12,31)-1240</f>
        <v>40034</v>
      </c>
      <c r="D480" s="4" t="s">
        <v>45</v>
      </c>
      <c r="E480" s="4">
        <v>8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0.57999999999999996</v>
      </c>
      <c r="U480" s="5">
        <f t="shared" ref="U480:U481" si="211">C480+2</f>
        <v>40036</v>
      </c>
    </row>
    <row r="481" spans="1:21" ht="12" customHeight="1">
      <c r="A481" s="4">
        <v>870</v>
      </c>
      <c r="B481" s="4">
        <v>6246</v>
      </c>
      <c r="C481" s="5">
        <f>DATE(2012,12,31)-1167</f>
        <v>40107</v>
      </c>
      <c r="D481" s="4" t="s">
        <v>45</v>
      </c>
      <c r="E481" s="4">
        <v>13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1"/>
        <v>40109</v>
      </c>
    </row>
    <row r="482" spans="1:21" ht="12" customHeight="1">
      <c r="A482" s="4">
        <v>1294</v>
      </c>
      <c r="B482" s="4">
        <v>9478</v>
      </c>
      <c r="C482" s="5">
        <f t="shared" ref="C482:C483" si="212">DATE(2012,12,31)-1374</f>
        <v>39900</v>
      </c>
      <c r="D482" s="4" t="s">
        <v>30</v>
      </c>
      <c r="E482" s="4">
        <v>48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spans="1:21" ht="12" customHeight="1">
      <c r="A483" s="4">
        <v>1295</v>
      </c>
      <c r="B483" s="4">
        <v>9478</v>
      </c>
      <c r="C483" s="5">
        <f t="shared" si="212"/>
        <v>39900</v>
      </c>
      <c r="D483" s="4" t="s">
        <v>30</v>
      </c>
      <c r="E483" s="4">
        <v>48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spans="1:21" ht="12" customHeight="1">
      <c r="A484" s="4">
        <v>1934</v>
      </c>
      <c r="B484" s="4">
        <v>13830</v>
      </c>
      <c r="C484" s="5">
        <f>DATE(2012,12,31)-1106</f>
        <v>40168</v>
      </c>
      <c r="D484" s="4" t="s">
        <v>30</v>
      </c>
      <c r="E484" s="4">
        <v>27</v>
      </c>
      <c r="F484" s="4">
        <v>2609.5300000000002</v>
      </c>
      <c r="G484" s="4">
        <v>0</v>
      </c>
      <c r="H484" s="4" t="s">
        <v>22</v>
      </c>
      <c r="I484" s="6">
        <v>911.66</v>
      </c>
      <c r="J484" s="4">
        <v>90.48</v>
      </c>
      <c r="K484" s="4">
        <v>19.989999999999998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spans="1:21" ht="12" customHeight="1">
      <c r="A485" s="4">
        <v>4788</v>
      </c>
      <c r="B485" s="4">
        <v>34017</v>
      </c>
      <c r="C485" s="5">
        <f t="shared" ref="C485:C486" si="213">DATE(2012,12,31)-1379</f>
        <v>39895</v>
      </c>
      <c r="D485" s="4" t="s">
        <v>30</v>
      </c>
      <c r="E485" s="4">
        <v>20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spans="1:21" ht="12" customHeight="1">
      <c r="A486" s="4">
        <v>4789</v>
      </c>
      <c r="B486" s="4">
        <v>34017</v>
      </c>
      <c r="C486" s="5">
        <f t="shared" si="213"/>
        <v>39895</v>
      </c>
      <c r="D486" s="4" t="s">
        <v>30</v>
      </c>
      <c r="E486" s="4">
        <v>28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0.56999999999999995</v>
      </c>
      <c r="U486" s="5">
        <f>C486+2</f>
        <v>39897</v>
      </c>
    </row>
    <row r="487" spans="1:21" ht="12" customHeight="1">
      <c r="A487" s="4">
        <v>6587</v>
      </c>
      <c r="B487" s="4">
        <v>46884</v>
      </c>
      <c r="C487" s="5">
        <f>DATE(2012,12,31)-1444</f>
        <v>39830</v>
      </c>
      <c r="D487" s="4" t="s">
        <v>63</v>
      </c>
      <c r="E487" s="4">
        <v>25</v>
      </c>
      <c r="F487" s="4">
        <v>280.43</v>
      </c>
      <c r="G487" s="4">
        <v>0.1</v>
      </c>
      <c r="H487" s="4" t="s">
        <v>22</v>
      </c>
      <c r="I487" s="6">
        <v>39.520000000000003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0.55000000000000004</v>
      </c>
      <c r="U487" s="5">
        <f t="shared" ref="U487:U489" si="214">C487+1</f>
        <v>39831</v>
      </c>
    </row>
    <row r="488" spans="1:21" ht="12" customHeight="1">
      <c r="A488" s="4">
        <v>7478</v>
      </c>
      <c r="B488" s="4">
        <v>53382</v>
      </c>
      <c r="C488" s="5">
        <f t="shared" ref="C488:C489" si="215">DATE(2012,12,31)-1100</f>
        <v>40174</v>
      </c>
      <c r="D488" s="4" t="s">
        <v>45</v>
      </c>
      <c r="E488" s="4">
        <v>13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0.56000000000000005</v>
      </c>
      <c r="U488" s="5">
        <f t="shared" si="214"/>
        <v>40175</v>
      </c>
    </row>
    <row r="489" spans="1:21" ht="12" customHeight="1">
      <c r="A489" s="4">
        <v>7479</v>
      </c>
      <c r="B489" s="4">
        <v>53382</v>
      </c>
      <c r="C489" s="5">
        <f t="shared" si="215"/>
        <v>40174</v>
      </c>
      <c r="D489" s="4" t="s">
        <v>45</v>
      </c>
      <c r="E489" s="4">
        <v>15</v>
      </c>
      <c r="F489" s="4">
        <v>4760.0200000000004</v>
      </c>
      <c r="G489" s="4">
        <v>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0.56000000000000005</v>
      </c>
      <c r="U489" s="5">
        <f t="shared" si="214"/>
        <v>40175</v>
      </c>
    </row>
    <row r="490" spans="1:21" ht="12" customHeight="1">
      <c r="A490" s="4">
        <v>61</v>
      </c>
      <c r="B490" s="4">
        <v>355</v>
      </c>
      <c r="C490" s="5">
        <f>DATE(2012,12,31)-1297</f>
        <v>39977</v>
      </c>
      <c r="D490" s="4" t="s">
        <v>21</v>
      </c>
      <c r="E490" s="4">
        <v>16</v>
      </c>
      <c r="F490" s="4">
        <v>1239.6315</v>
      </c>
      <c r="G490" s="4">
        <v>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spans="1:21" ht="12" customHeight="1">
      <c r="A491" s="4">
        <v>106</v>
      </c>
      <c r="B491" s="4">
        <v>646</v>
      </c>
      <c r="C491" s="5">
        <f>DATE(2012,12,31)-1136</f>
        <v>40138</v>
      </c>
      <c r="D491" s="4" t="s">
        <v>30</v>
      </c>
      <c r="E491" s="4">
        <v>18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0.56000000000000005</v>
      </c>
      <c r="U491" s="5">
        <f>C491+1</f>
        <v>40139</v>
      </c>
    </row>
    <row r="492" spans="1:21" ht="12" customHeight="1">
      <c r="A492" s="4">
        <v>159</v>
      </c>
      <c r="B492" s="4">
        <v>994</v>
      </c>
      <c r="C492" s="5">
        <f>DATE(2012,12,31)-1352</f>
        <v>39922</v>
      </c>
      <c r="D492" s="4" t="s">
        <v>21</v>
      </c>
      <c r="E492" s="4">
        <v>38</v>
      </c>
      <c r="F492" s="4">
        <v>132.07</v>
      </c>
      <c r="G492" s="4">
        <v>0.06</v>
      </c>
      <c r="H492" s="4" t="s">
        <v>22</v>
      </c>
      <c r="I492" s="6">
        <v>14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spans="1:21" ht="12" customHeight="1">
      <c r="A493" s="4">
        <v>274</v>
      </c>
      <c r="B493" s="4">
        <v>1891</v>
      </c>
      <c r="C493" s="5">
        <f>DATE(2012,12,31)-1113</f>
        <v>40161</v>
      </c>
      <c r="D493" s="4" t="s">
        <v>21</v>
      </c>
      <c r="E493" s="4">
        <v>3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spans="1:21" ht="12" customHeight="1">
      <c r="A494" s="4">
        <v>521</v>
      </c>
      <c r="B494" s="4">
        <v>3585</v>
      </c>
      <c r="C494" s="5">
        <f t="shared" ref="C494:C495" si="216">DATE(2012,12,31)-1135</f>
        <v>40139</v>
      </c>
      <c r="D494" s="4" t="s">
        <v>30</v>
      </c>
      <c r="E494" s="4">
        <v>27</v>
      </c>
      <c r="F494" s="4">
        <v>259.72000000000003</v>
      </c>
      <c r="G494" s="4">
        <v>7.0000000000000007E-2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spans="1:21" ht="12" customHeight="1">
      <c r="A495" s="4">
        <v>522</v>
      </c>
      <c r="B495" s="4">
        <v>3585</v>
      </c>
      <c r="C495" s="5">
        <f t="shared" si="216"/>
        <v>40139</v>
      </c>
      <c r="D495" s="4" t="s">
        <v>30</v>
      </c>
      <c r="E495" s="4">
        <v>34</v>
      </c>
      <c r="F495" s="4">
        <v>54.69</v>
      </c>
      <c r="G495" s="4">
        <v>7.0000000000000007E-2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7">C495+1</f>
        <v>40140</v>
      </c>
    </row>
    <row r="496" spans="1:21" ht="12" customHeight="1">
      <c r="A496" s="4">
        <v>625</v>
      </c>
      <c r="B496" s="4">
        <v>4354</v>
      </c>
      <c r="C496" s="5">
        <f>DATE(2012,12,31)-1189</f>
        <v>40085</v>
      </c>
      <c r="D496" s="4" t="s">
        <v>45</v>
      </c>
      <c r="E496" s="4">
        <v>6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0.56000000000000005</v>
      </c>
      <c r="U496" s="5">
        <f t="shared" si="217"/>
        <v>40086</v>
      </c>
    </row>
    <row r="497" spans="1:21" ht="12" customHeight="1">
      <c r="A497" s="4">
        <v>645</v>
      </c>
      <c r="B497" s="4">
        <v>4550</v>
      </c>
      <c r="C497" s="5">
        <f>DATE(2012,12,31)-1099</f>
        <v>40175</v>
      </c>
      <c r="D497" s="4" t="s">
        <v>30</v>
      </c>
      <c r="E497" s="4">
        <v>32</v>
      </c>
      <c r="F497" s="4">
        <v>3730.54</v>
      </c>
      <c r="G497" s="4">
        <v>7.0000000000000007E-2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8">C497+2</f>
        <v>40177</v>
      </c>
    </row>
    <row r="498" spans="1:21" ht="12" customHeight="1">
      <c r="A498" s="4">
        <v>733</v>
      </c>
      <c r="B498" s="4">
        <v>5283</v>
      </c>
      <c r="C498" s="5">
        <f>DATE(2012,12,31)-1307</f>
        <v>39967</v>
      </c>
      <c r="D498" s="4" t="s">
        <v>63</v>
      </c>
      <c r="E498" s="4">
        <v>23</v>
      </c>
      <c r="F498" s="4">
        <v>2508.6730000000002</v>
      </c>
      <c r="G498" s="4">
        <v>0.03</v>
      </c>
      <c r="H498" s="4" t="s">
        <v>22</v>
      </c>
      <c r="I498" s="6">
        <v>417.46499999999997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0.57999999999999996</v>
      </c>
      <c r="U498" s="5">
        <f t="shared" si="218"/>
        <v>39969</v>
      </c>
    </row>
    <row r="499" spans="1:21" ht="12" customHeight="1">
      <c r="A499" s="4">
        <v>802</v>
      </c>
      <c r="B499" s="4">
        <v>5760</v>
      </c>
      <c r="C499" s="5">
        <f>DATE(2012,12,31)-1317</f>
        <v>39957</v>
      </c>
      <c r="D499" s="4" t="s">
        <v>45</v>
      </c>
      <c r="E499" s="4">
        <v>34</v>
      </c>
      <c r="F499" s="4">
        <v>5261.73</v>
      </c>
      <c r="G499" s="4">
        <v>0.05</v>
      </c>
      <c r="H499" s="4" t="s">
        <v>31</v>
      </c>
      <c r="I499" s="6">
        <v>650.29999999999995</v>
      </c>
      <c r="J499" s="4">
        <v>150.97999999999999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0.55000000000000004</v>
      </c>
      <c r="U499" s="5">
        <f>C499+1</f>
        <v>39958</v>
      </c>
    </row>
    <row r="500" spans="1:21" ht="12" customHeight="1">
      <c r="A500" s="4">
        <v>917</v>
      </c>
      <c r="B500" s="4">
        <v>6592</v>
      </c>
      <c r="C500" s="5">
        <f t="shared" ref="C500:C501" si="219">DATE(2012,12,31)-1126</f>
        <v>40148</v>
      </c>
      <c r="D500" s="4" t="s">
        <v>21</v>
      </c>
      <c r="E500" s="4">
        <v>29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8.3699999999999992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0.57999999999999996</v>
      </c>
      <c r="U500" s="5">
        <f>C500+7</f>
        <v>40155</v>
      </c>
    </row>
    <row r="501" spans="1:21" ht="12" customHeight="1">
      <c r="A501" s="4">
        <v>918</v>
      </c>
      <c r="B501" s="4">
        <v>6592</v>
      </c>
      <c r="C501" s="5">
        <f t="shared" si="219"/>
        <v>40148</v>
      </c>
      <c r="D501" s="4" t="s">
        <v>21</v>
      </c>
      <c r="E501" s="4">
        <v>33</v>
      </c>
      <c r="F501" s="4">
        <v>1621.1</v>
      </c>
      <c r="G501" s="4">
        <v>7.0000000000000007E-2</v>
      </c>
      <c r="H501" s="4" t="s">
        <v>56</v>
      </c>
      <c r="I501" s="6">
        <v>-971.36</v>
      </c>
      <c r="J501" s="4">
        <v>48.91</v>
      </c>
      <c r="K501" s="4">
        <v>35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spans="1:21" ht="12" customHeight="1">
      <c r="A502" s="4">
        <v>1104</v>
      </c>
      <c r="B502" s="4">
        <v>8103</v>
      </c>
      <c r="C502" s="5">
        <f>DATE(2012,12,31)-1155</f>
        <v>40119</v>
      </c>
      <c r="D502" s="4" t="s">
        <v>21</v>
      </c>
      <c r="E502" s="4">
        <v>16</v>
      </c>
      <c r="F502" s="4">
        <v>457.68</v>
      </c>
      <c r="G502" s="4">
        <v>7.0000000000000007E-2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spans="1:21" ht="12" customHeight="1">
      <c r="A503" s="4">
        <v>1130</v>
      </c>
      <c r="B503" s="4">
        <v>8258</v>
      </c>
      <c r="C503" s="5">
        <f>DATE(2012,12,31)-1401</f>
        <v>39873</v>
      </c>
      <c r="D503" s="4" t="s">
        <v>30</v>
      </c>
      <c r="E503" s="4">
        <v>37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0">C503+1</f>
        <v>39874</v>
      </c>
    </row>
    <row r="504" spans="1:21" ht="12" customHeight="1">
      <c r="A504" s="4">
        <v>1193</v>
      </c>
      <c r="B504" s="4">
        <v>8710</v>
      </c>
      <c r="C504" s="5">
        <f t="shared" ref="C504:C505" si="221">DATE(2012,12,31)-1457</f>
        <v>39817</v>
      </c>
      <c r="D504" s="4" t="s">
        <v>78</v>
      </c>
      <c r="E504" s="4">
        <v>17</v>
      </c>
      <c r="F504" s="4">
        <v>63.34</v>
      </c>
      <c r="G504" s="4">
        <v>0.03</v>
      </c>
      <c r="H504" s="4" t="s">
        <v>22</v>
      </c>
      <c r="I504" s="6">
        <v>-76.015000000000001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0"/>
        <v>39818</v>
      </c>
    </row>
    <row r="505" spans="1:21" ht="12" customHeight="1">
      <c r="A505" s="4">
        <v>1194</v>
      </c>
      <c r="B505" s="4">
        <v>8710</v>
      </c>
      <c r="C505" s="5">
        <f t="shared" si="221"/>
        <v>39817</v>
      </c>
      <c r="D505" s="4" t="s">
        <v>78</v>
      </c>
      <c r="E505" s="4">
        <v>42</v>
      </c>
      <c r="F505" s="4">
        <v>151.35</v>
      </c>
      <c r="G505" s="4">
        <v>7.0000000000000007E-2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spans="1:21" ht="12" customHeight="1">
      <c r="A506" s="4">
        <v>1208</v>
      </c>
      <c r="B506" s="4">
        <v>8835</v>
      </c>
      <c r="C506" s="5">
        <f>DATE(2012,12,31)-1175</f>
        <v>40099</v>
      </c>
      <c r="D506" s="4" t="s">
        <v>78</v>
      </c>
      <c r="E506" s="4">
        <v>12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spans="1:21" ht="12" customHeight="1">
      <c r="A507" s="4">
        <v>1322</v>
      </c>
      <c r="B507" s="4">
        <v>9665</v>
      </c>
      <c r="C507" s="5">
        <f t="shared" ref="C507:C509" si="222">DATE(2012,12,31)-1348</f>
        <v>39926</v>
      </c>
      <c r="D507" s="4" t="s">
        <v>21</v>
      </c>
      <c r="E507" s="4">
        <v>50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5.0999999999999996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spans="1:21" ht="12" customHeight="1">
      <c r="A508" s="4">
        <v>1323</v>
      </c>
      <c r="B508" s="4">
        <v>9665</v>
      </c>
      <c r="C508" s="5">
        <f t="shared" si="222"/>
        <v>39926</v>
      </c>
      <c r="D508" s="4" t="s">
        <v>21</v>
      </c>
      <c r="E508" s="4">
        <v>19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140.97999999999999</v>
      </c>
      <c r="K508" s="4">
        <v>36.090000000000003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3">C508+2</f>
        <v>39928</v>
      </c>
    </row>
    <row r="509" spans="1:21" ht="12" customHeight="1">
      <c r="A509" s="4">
        <v>1324</v>
      </c>
      <c r="B509" s="4">
        <v>9665</v>
      </c>
      <c r="C509" s="5">
        <f t="shared" si="222"/>
        <v>39926</v>
      </c>
      <c r="D509" s="4" t="s">
        <v>21</v>
      </c>
      <c r="E509" s="4">
        <v>49</v>
      </c>
      <c r="F509" s="4">
        <v>9579.6200000000008</v>
      </c>
      <c r="G509" s="4">
        <v>0.1</v>
      </c>
      <c r="H509" s="4" t="s">
        <v>31</v>
      </c>
      <c r="I509" s="6">
        <v>-3465.0720000000001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3"/>
        <v>39928</v>
      </c>
    </row>
    <row r="510" spans="1:21" ht="12" customHeight="1">
      <c r="A510" s="4">
        <v>1357</v>
      </c>
      <c r="B510" s="4">
        <v>9893</v>
      </c>
      <c r="C510" s="5">
        <f>DATE(2012,12,31)-1233</f>
        <v>40041</v>
      </c>
      <c r="D510" s="4" t="s">
        <v>63</v>
      </c>
      <c r="E510" s="4">
        <v>1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160.97999999999999</v>
      </c>
      <c r="K510" s="4">
        <v>30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spans="1:21" ht="12" customHeight="1">
      <c r="A511" s="4">
        <v>1401</v>
      </c>
      <c r="B511" s="4">
        <v>10183</v>
      </c>
      <c r="C511" s="5">
        <f>DATE(2012,12,31)-1133</f>
        <v>40141</v>
      </c>
      <c r="D511" s="4" t="s">
        <v>78</v>
      </c>
      <c r="E511" s="4">
        <v>48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spans="1:21" ht="12" customHeight="1">
      <c r="A512" s="4">
        <v>1438</v>
      </c>
      <c r="B512" s="4">
        <v>10371</v>
      </c>
      <c r="C512" s="5">
        <f>DATE(2012,12,31)-1202</f>
        <v>40072</v>
      </c>
      <c r="D512" s="4" t="s">
        <v>30</v>
      </c>
      <c r="E512" s="4">
        <v>10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0.56000000000000005</v>
      </c>
      <c r="U512" s="5">
        <f t="shared" ref="U512:U513" si="224">C512+2</f>
        <v>40074</v>
      </c>
    </row>
    <row r="513" spans="1:21" ht="12" customHeight="1">
      <c r="A513" s="4">
        <v>1470</v>
      </c>
      <c r="B513" s="4">
        <v>10624</v>
      </c>
      <c r="C513" s="5">
        <f>DATE(2012,12,31)-1107</f>
        <v>40167</v>
      </c>
      <c r="D513" s="4" t="s">
        <v>78</v>
      </c>
      <c r="E513" s="4">
        <v>23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4"/>
        <v>40169</v>
      </c>
    </row>
    <row r="514" spans="1:21" ht="12" customHeight="1">
      <c r="A514" s="4">
        <v>1697</v>
      </c>
      <c r="B514" s="4">
        <v>12258</v>
      </c>
      <c r="C514" s="5">
        <f t="shared" ref="C514:C517" si="225">DATE(2012,12,31)-1127</f>
        <v>40147</v>
      </c>
      <c r="D514" s="4" t="s">
        <v>21</v>
      </c>
      <c r="E514" s="4">
        <v>3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spans="1:21" ht="12" customHeight="1">
      <c r="A515" s="4">
        <v>1698</v>
      </c>
      <c r="B515" s="4">
        <v>12258</v>
      </c>
      <c r="C515" s="5">
        <f t="shared" si="225"/>
        <v>40147</v>
      </c>
      <c r="D515" s="4" t="s">
        <v>21</v>
      </c>
      <c r="E515" s="4">
        <v>2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0.56000000000000005</v>
      </c>
      <c r="U515" s="5">
        <f>C515+5</f>
        <v>40152</v>
      </c>
    </row>
    <row r="516" spans="1:21" ht="12" customHeight="1">
      <c r="A516" s="4">
        <v>1699</v>
      </c>
      <c r="B516" s="4">
        <v>12258</v>
      </c>
      <c r="C516" s="5">
        <f t="shared" si="225"/>
        <v>40147</v>
      </c>
      <c r="D516" s="4" t="s">
        <v>21</v>
      </c>
      <c r="E516" s="4">
        <v>22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spans="1:21" ht="12" customHeight="1">
      <c r="A517" s="4">
        <v>1700</v>
      </c>
      <c r="B517" s="4">
        <v>12258</v>
      </c>
      <c r="C517" s="5">
        <f t="shared" si="225"/>
        <v>40147</v>
      </c>
      <c r="D517" s="4" t="s">
        <v>21</v>
      </c>
      <c r="E517" s="4">
        <v>27</v>
      </c>
      <c r="F517" s="4">
        <v>113.4</v>
      </c>
      <c r="G517" s="4">
        <v>0.05</v>
      </c>
      <c r="H517" s="4" t="s">
        <v>56</v>
      </c>
      <c r="I517" s="6">
        <v>-5.0199999999999996</v>
      </c>
      <c r="J517" s="4">
        <v>3.95</v>
      </c>
      <c r="K517" s="4">
        <v>2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spans="1:21" ht="12" customHeight="1">
      <c r="A518" s="4">
        <v>1780</v>
      </c>
      <c r="B518" s="4">
        <v>12768</v>
      </c>
      <c r="C518" s="5">
        <f>DATE(2012,12,31)-1363</f>
        <v>39911</v>
      </c>
      <c r="D518" s="4" t="s">
        <v>78</v>
      </c>
      <c r="E518" s="4">
        <v>34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0.56000000000000005</v>
      </c>
      <c r="U518" s="5">
        <f t="shared" ref="U518:U519" si="226">C518+2</f>
        <v>39913</v>
      </c>
    </row>
    <row r="519" spans="1:21" ht="12" customHeight="1">
      <c r="A519" s="4">
        <v>1817</v>
      </c>
      <c r="B519" s="4">
        <v>13030</v>
      </c>
      <c r="C519" s="5">
        <f>DATE(2012,12,31)-1258</f>
        <v>40016</v>
      </c>
      <c r="D519" s="4" t="s">
        <v>63</v>
      </c>
      <c r="E519" s="4">
        <v>32</v>
      </c>
      <c r="F519" s="4">
        <v>136.19999999999999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6"/>
        <v>40018</v>
      </c>
    </row>
    <row r="520" spans="1:21" ht="12" customHeight="1">
      <c r="A520" s="4">
        <v>1823</v>
      </c>
      <c r="B520" s="4">
        <v>13091</v>
      </c>
      <c r="C520" s="5">
        <f t="shared" ref="C520:C521" si="227">DATE(2012,12,31)-1142</f>
        <v>40132</v>
      </c>
      <c r="D520" s="4" t="s">
        <v>63</v>
      </c>
      <c r="E520" s="4">
        <v>12</v>
      </c>
      <c r="F520" s="4">
        <v>81.430000000000007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8">C520+1</f>
        <v>40133</v>
      </c>
    </row>
    <row r="521" spans="1:21" ht="12" customHeight="1">
      <c r="A521" s="4">
        <v>1824</v>
      </c>
      <c r="B521" s="4">
        <v>13091</v>
      </c>
      <c r="C521" s="5">
        <f t="shared" si="227"/>
        <v>40132</v>
      </c>
      <c r="D521" s="4" t="s">
        <v>63</v>
      </c>
      <c r="E521" s="4">
        <v>39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8"/>
        <v>40133</v>
      </c>
    </row>
    <row r="522" spans="1:21" ht="12" customHeight="1">
      <c r="A522" s="4">
        <v>1874</v>
      </c>
      <c r="B522" s="4">
        <v>13479</v>
      </c>
      <c r="C522" s="5">
        <f t="shared" ref="C522:C523" si="229">DATE(2012,12,31)-1123</f>
        <v>40151</v>
      </c>
      <c r="D522" s="4" t="s">
        <v>30</v>
      </c>
      <c r="E522" s="4">
        <v>3</v>
      </c>
      <c r="F522" s="4">
        <v>292.95999999999998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19.989999999999998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spans="1:21" ht="12" customHeight="1">
      <c r="A523" s="4">
        <v>1875</v>
      </c>
      <c r="B523" s="4">
        <v>13479</v>
      </c>
      <c r="C523" s="5">
        <f t="shared" si="229"/>
        <v>40151</v>
      </c>
      <c r="D523" s="4" t="s">
        <v>30</v>
      </c>
      <c r="E523" s="4">
        <v>13</v>
      </c>
      <c r="F523" s="4">
        <v>2206.991</v>
      </c>
      <c r="G523" s="4">
        <v>0.04</v>
      </c>
      <c r="H523" s="4" t="s">
        <v>22</v>
      </c>
      <c r="I523" s="6">
        <v>-1.6280000000000201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0.56000000000000005</v>
      </c>
      <c r="U523" s="5">
        <f>C523+1</f>
        <v>40152</v>
      </c>
    </row>
    <row r="524" spans="1:21" ht="12" customHeight="1">
      <c r="A524" s="4">
        <v>1917</v>
      </c>
      <c r="B524" s="4">
        <v>13735</v>
      </c>
      <c r="C524" s="5">
        <f>DATE(2012,12,31)-1320</f>
        <v>39954</v>
      </c>
      <c r="D524" s="4" t="s">
        <v>63</v>
      </c>
      <c r="E524" s="4">
        <v>36</v>
      </c>
      <c r="F524" s="4">
        <v>281.70999999999998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0">C524+2</f>
        <v>39956</v>
      </c>
    </row>
    <row r="525" spans="1:21" ht="12" customHeight="1">
      <c r="A525" s="4">
        <v>1976</v>
      </c>
      <c r="B525" s="4">
        <v>14115</v>
      </c>
      <c r="C525" s="5">
        <f t="shared" ref="C525:C526" si="231">DATE(2012,12,31)-1235</f>
        <v>40039</v>
      </c>
      <c r="D525" s="4" t="s">
        <v>45</v>
      </c>
      <c r="E525" s="4">
        <v>24</v>
      </c>
      <c r="F525" s="4">
        <v>158.78</v>
      </c>
      <c r="G525" s="4">
        <v>0.04</v>
      </c>
      <c r="H525" s="4" t="s">
        <v>22</v>
      </c>
      <c r="I525" s="6">
        <v>-38.380000000000003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0"/>
        <v>40041</v>
      </c>
    </row>
    <row r="526" spans="1:21" ht="12" customHeight="1">
      <c r="A526" s="4">
        <v>1977</v>
      </c>
      <c r="B526" s="4">
        <v>14115</v>
      </c>
      <c r="C526" s="5">
        <f t="shared" si="231"/>
        <v>40039</v>
      </c>
      <c r="D526" s="4" t="s">
        <v>45</v>
      </c>
      <c r="E526" s="4">
        <v>46</v>
      </c>
      <c r="F526" s="4">
        <v>3296.0619999999999</v>
      </c>
      <c r="G526" s="4">
        <v>0.06</v>
      </c>
      <c r="H526" s="4" t="s">
        <v>22</v>
      </c>
      <c r="I526" s="6">
        <v>591.91199999999992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0.57999999999999996</v>
      </c>
      <c r="U526" s="5">
        <f t="shared" si="230"/>
        <v>40041</v>
      </c>
    </row>
    <row r="527" spans="1:21" ht="12" customHeight="1">
      <c r="A527" s="4">
        <v>1990</v>
      </c>
      <c r="B527" s="4">
        <v>14211</v>
      </c>
      <c r="C527" s="5">
        <f t="shared" ref="C527:C528" si="232">DATE(2012,12,31)-1418</f>
        <v>39856</v>
      </c>
      <c r="D527" s="4" t="s">
        <v>45</v>
      </c>
      <c r="E527" s="4">
        <v>22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150.97999999999999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spans="1:21" ht="12" customHeight="1">
      <c r="A528" s="4">
        <v>1991</v>
      </c>
      <c r="B528" s="4">
        <v>14211</v>
      </c>
      <c r="C528" s="5">
        <f t="shared" si="232"/>
        <v>39856</v>
      </c>
      <c r="D528" s="4" t="s">
        <v>45</v>
      </c>
      <c r="E528" s="4">
        <v>14</v>
      </c>
      <c r="F528" s="4">
        <v>2367.9899999999998</v>
      </c>
      <c r="G528" s="4">
        <v>0.04</v>
      </c>
      <c r="H528" s="4" t="s">
        <v>22</v>
      </c>
      <c r="I528" s="6">
        <v>320.10000000000002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3">C528+2</f>
        <v>39858</v>
      </c>
    </row>
    <row r="529" spans="1:21" ht="12" customHeight="1">
      <c r="A529" s="4">
        <v>2045</v>
      </c>
      <c r="B529" s="4">
        <v>14596</v>
      </c>
      <c r="C529" s="5">
        <f t="shared" ref="C529:C530" si="234">DATE(2012,12,31)-1451</f>
        <v>39823</v>
      </c>
      <c r="D529" s="4" t="s">
        <v>78</v>
      </c>
      <c r="E529" s="4">
        <v>24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3"/>
        <v>39825</v>
      </c>
    </row>
    <row r="530" spans="1:21" ht="12" customHeight="1">
      <c r="A530" s="4">
        <v>2046</v>
      </c>
      <c r="B530" s="4">
        <v>14596</v>
      </c>
      <c r="C530" s="5">
        <f t="shared" si="234"/>
        <v>39823</v>
      </c>
      <c r="D530" s="4" t="s">
        <v>78</v>
      </c>
      <c r="E530" s="4">
        <v>19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0.56000000000000005</v>
      </c>
      <c r="U530" s="5">
        <f>C530+1</f>
        <v>39824</v>
      </c>
    </row>
    <row r="531" spans="1:21" ht="12" customHeight="1">
      <c r="A531" s="4">
        <v>2073</v>
      </c>
      <c r="B531" s="4">
        <v>14823</v>
      </c>
      <c r="C531" s="5">
        <f t="shared" ref="C531:C532" si="235">DATE(2012,12,31)-1418</f>
        <v>39856</v>
      </c>
      <c r="D531" s="4" t="s">
        <v>21</v>
      </c>
      <c r="E531" s="4">
        <v>15</v>
      </c>
      <c r="F531" s="4">
        <v>103.62</v>
      </c>
      <c r="G531" s="4">
        <v>0.1</v>
      </c>
      <c r="H531" s="4" t="s">
        <v>22</v>
      </c>
      <c r="I531" s="6">
        <v>39.979999999999997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spans="1:21" ht="12" customHeight="1">
      <c r="A532" s="4">
        <v>2074</v>
      </c>
      <c r="B532" s="4">
        <v>14823</v>
      </c>
      <c r="C532" s="5">
        <f t="shared" si="235"/>
        <v>39856</v>
      </c>
      <c r="D532" s="4" t="s">
        <v>21</v>
      </c>
      <c r="E532" s="4">
        <v>20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spans="1:21" ht="12" customHeight="1">
      <c r="A533" s="4">
        <v>2249</v>
      </c>
      <c r="B533" s="4">
        <v>16196</v>
      </c>
      <c r="C533" s="5">
        <f t="shared" ref="C533:C534" si="236">DATE(2012,12,31)-1168</f>
        <v>40106</v>
      </c>
      <c r="D533" s="4" t="s">
        <v>30</v>
      </c>
      <c r="E533" s="4">
        <v>44</v>
      </c>
      <c r="F533" s="4">
        <v>14521.39</v>
      </c>
      <c r="G533" s="4">
        <v>0.03</v>
      </c>
      <c r="H533" s="4" t="s">
        <v>22</v>
      </c>
      <c r="I533" s="6">
        <v>5034.1499999999996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0.55000000000000004</v>
      </c>
      <c r="U533" s="5">
        <f>C533+2</f>
        <v>40108</v>
      </c>
    </row>
    <row r="534" spans="1:21" ht="12" customHeight="1">
      <c r="A534" s="4">
        <v>2250</v>
      </c>
      <c r="B534" s="4">
        <v>16196</v>
      </c>
      <c r="C534" s="5">
        <f t="shared" si="236"/>
        <v>40106</v>
      </c>
      <c r="D534" s="4" t="s">
        <v>30</v>
      </c>
      <c r="E534" s="4">
        <v>39</v>
      </c>
      <c r="F534" s="4">
        <v>3925.9714999999997</v>
      </c>
      <c r="G534" s="4">
        <v>0.06</v>
      </c>
      <c r="H534" s="4" t="s">
        <v>22</v>
      </c>
      <c r="I534" s="6">
        <v>671.94900000000007</v>
      </c>
      <c r="J534" s="4">
        <v>125.99</v>
      </c>
      <c r="K534" s="4">
        <v>8.8000000000000007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spans="1:21" ht="12" customHeight="1">
      <c r="A535" s="4">
        <v>2326</v>
      </c>
      <c r="B535" s="4">
        <v>16771</v>
      </c>
      <c r="C535" s="5">
        <f>DATE(2012,12,31)-1190</f>
        <v>40084</v>
      </c>
      <c r="D535" s="4" t="s">
        <v>30</v>
      </c>
      <c r="E535" s="4">
        <v>42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39.979999999999997</v>
      </c>
      <c r="K535" s="4">
        <v>9.1999999999999993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7">C535+2</f>
        <v>40086</v>
      </c>
    </row>
    <row r="536" spans="1:21" ht="12" customHeight="1">
      <c r="A536" s="4">
        <v>2358</v>
      </c>
      <c r="B536" s="4">
        <v>17024</v>
      </c>
      <c r="C536" s="5">
        <f>DATE(2012,12,31)-1175</f>
        <v>40099</v>
      </c>
      <c r="D536" s="4" t="s">
        <v>63</v>
      </c>
      <c r="E536" s="4">
        <v>31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0.56000000000000005</v>
      </c>
      <c r="U536" s="5">
        <f t="shared" si="237"/>
        <v>40101</v>
      </c>
    </row>
    <row r="537" spans="1:21" ht="12" customHeight="1">
      <c r="A537" s="4">
        <v>2431</v>
      </c>
      <c r="B537" s="4">
        <v>17668</v>
      </c>
      <c r="C537" s="5">
        <f t="shared" ref="C537:C539" si="238">DATE(2012,12,31)-1132</f>
        <v>40142</v>
      </c>
      <c r="D537" s="4" t="s">
        <v>63</v>
      </c>
      <c r="E537" s="4">
        <v>49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7"/>
        <v>40144</v>
      </c>
    </row>
    <row r="538" spans="1:21" ht="12" customHeight="1">
      <c r="A538" s="4">
        <v>2432</v>
      </c>
      <c r="B538" s="4">
        <v>17668</v>
      </c>
      <c r="C538" s="5">
        <f t="shared" si="238"/>
        <v>40142</v>
      </c>
      <c r="D538" s="4" t="s">
        <v>63</v>
      </c>
      <c r="E538" s="4">
        <v>24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39">C538+1</f>
        <v>40143</v>
      </c>
    </row>
    <row r="539" spans="1:21" ht="12" customHeight="1">
      <c r="A539" s="4">
        <v>2433</v>
      </c>
      <c r="B539" s="4">
        <v>17668</v>
      </c>
      <c r="C539" s="5">
        <f t="shared" si="238"/>
        <v>40142</v>
      </c>
      <c r="D539" s="4" t="s">
        <v>63</v>
      </c>
      <c r="E539" s="4">
        <v>13</v>
      </c>
      <c r="F539" s="4">
        <v>2219.7324999999996</v>
      </c>
      <c r="G539" s="4">
        <v>0.04</v>
      </c>
      <c r="H539" s="4" t="s">
        <v>56</v>
      </c>
      <c r="I539" s="6">
        <v>-69.783999999999992</v>
      </c>
      <c r="J539" s="4">
        <v>205.99</v>
      </c>
      <c r="K539" s="4">
        <v>5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39"/>
        <v>40143</v>
      </c>
    </row>
    <row r="540" spans="1:21" ht="12" customHeight="1">
      <c r="A540" s="4">
        <v>2496</v>
      </c>
      <c r="B540" s="4">
        <v>18178</v>
      </c>
      <c r="C540" s="5">
        <f t="shared" ref="C540:C541" si="240">DATE(2012,12,31)-1155</f>
        <v>40119</v>
      </c>
      <c r="D540" s="4" t="s">
        <v>21</v>
      </c>
      <c r="E540" s="4">
        <v>43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4.4800000000000004</v>
      </c>
      <c r="K540" s="4">
        <v>49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spans="1:21" ht="12" customHeight="1">
      <c r="A541" s="4">
        <v>2497</v>
      </c>
      <c r="B541" s="4">
        <v>18178</v>
      </c>
      <c r="C541" s="5">
        <f t="shared" si="240"/>
        <v>40119</v>
      </c>
      <c r="D541" s="4" t="s">
        <v>21</v>
      </c>
      <c r="E541" s="4">
        <v>10</v>
      </c>
      <c r="F541" s="4">
        <v>187.46</v>
      </c>
      <c r="G541" s="4">
        <v>0</v>
      </c>
      <c r="H541" s="4" t="s">
        <v>22</v>
      </c>
      <c r="I541" s="6">
        <v>49.85</v>
      </c>
      <c r="J541" s="4">
        <v>17.670000000000002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spans="1:21" ht="12" customHeight="1">
      <c r="A542" s="4">
        <v>2538</v>
      </c>
      <c r="B542" s="4">
        <v>18405</v>
      </c>
      <c r="C542" s="5">
        <f t="shared" ref="C542:C543" si="241">DATE(2012,12,31)-1454</f>
        <v>39820</v>
      </c>
      <c r="D542" s="4" t="s">
        <v>63</v>
      </c>
      <c r="E542" s="4">
        <v>30</v>
      </c>
      <c r="F542" s="4">
        <v>610.65</v>
      </c>
      <c r="G542" s="4">
        <v>0.09</v>
      </c>
      <c r="H542" s="4" t="s">
        <v>56</v>
      </c>
      <c r="I542" s="6">
        <v>60.273499999999999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spans="1:21" ht="12" customHeight="1">
      <c r="A543" s="4">
        <v>2539</v>
      </c>
      <c r="B543" s="4">
        <v>18405</v>
      </c>
      <c r="C543" s="5">
        <f t="shared" si="241"/>
        <v>39820</v>
      </c>
      <c r="D543" s="4" t="s">
        <v>63</v>
      </c>
      <c r="E543" s="4">
        <v>2</v>
      </c>
      <c r="F543" s="4">
        <v>158.04</v>
      </c>
      <c r="G543" s="4">
        <v>0.03</v>
      </c>
      <c r="H543" s="4" t="s">
        <v>22</v>
      </c>
      <c r="I543" s="6">
        <v>-263.08999999999997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spans="1:21" ht="12" customHeight="1">
      <c r="A544" s="4">
        <v>2568</v>
      </c>
      <c r="B544" s="4">
        <v>18533</v>
      </c>
      <c r="C544" s="5">
        <f t="shared" ref="C544:C545" si="242">DATE(2012,12,31)-1151</f>
        <v>40123</v>
      </c>
      <c r="D544" s="4" t="s">
        <v>45</v>
      </c>
      <c r="E544" s="4">
        <v>27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8.7799999999999994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0.56999999999999995</v>
      </c>
      <c r="U544" s="5">
        <f>C544+1</f>
        <v>40124</v>
      </c>
    </row>
    <row r="545" spans="1:21" ht="12" customHeight="1">
      <c r="A545" s="4">
        <v>2569</v>
      </c>
      <c r="B545" s="4">
        <v>18533</v>
      </c>
      <c r="C545" s="5">
        <f t="shared" si="242"/>
        <v>40123</v>
      </c>
      <c r="D545" s="4" t="s">
        <v>45</v>
      </c>
      <c r="E545" s="4">
        <v>5</v>
      </c>
      <c r="F545" s="4">
        <v>53.736999999999995</v>
      </c>
      <c r="G545" s="4">
        <v>0.05</v>
      </c>
      <c r="H545" s="4" t="s">
        <v>56</v>
      </c>
      <c r="I545" s="6">
        <v>-28.434999999999999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3">C545+2</f>
        <v>40125</v>
      </c>
    </row>
    <row r="546" spans="1:21" ht="12" customHeight="1">
      <c r="A546" s="4">
        <v>2591</v>
      </c>
      <c r="B546" s="4">
        <v>18723</v>
      </c>
      <c r="C546" s="5">
        <f>DATE(2012,12,31)-1237</f>
        <v>40037</v>
      </c>
      <c r="D546" s="4" t="s">
        <v>63</v>
      </c>
      <c r="E546" s="4">
        <v>1</v>
      </c>
      <c r="F546" s="4">
        <v>52.096499999999999</v>
      </c>
      <c r="G546" s="4">
        <v>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3"/>
        <v>40039</v>
      </c>
    </row>
    <row r="547" spans="1:21" ht="12" customHeight="1">
      <c r="A547" s="4">
        <v>2592</v>
      </c>
      <c r="B547" s="4">
        <v>18753</v>
      </c>
      <c r="C547" s="5">
        <f t="shared" ref="C547:C548" si="244">DATE(2012,12,31)-1249</f>
        <v>40025</v>
      </c>
      <c r="D547" s="4" t="s">
        <v>63</v>
      </c>
      <c r="E547" s="4">
        <v>31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3"/>
        <v>40027</v>
      </c>
    </row>
    <row r="548" spans="1:21" ht="12" customHeight="1">
      <c r="A548" s="4">
        <v>2593</v>
      </c>
      <c r="B548" s="4">
        <v>18753</v>
      </c>
      <c r="C548" s="5">
        <f t="shared" si="244"/>
        <v>40025</v>
      </c>
      <c r="D548" s="4" t="s">
        <v>63</v>
      </c>
      <c r="E548" s="4">
        <v>33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160.97999999999999</v>
      </c>
      <c r="K548" s="4">
        <v>30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3"/>
        <v>40027</v>
      </c>
    </row>
    <row r="549" spans="1:21" ht="12" customHeight="1">
      <c r="A549" s="4">
        <v>2653</v>
      </c>
      <c r="B549" s="4">
        <v>19204</v>
      </c>
      <c r="C549" s="5">
        <f t="shared" ref="C549:C550" si="245">DATE(2012,12,31)-1200</f>
        <v>40074</v>
      </c>
      <c r="D549" s="4" t="s">
        <v>63</v>
      </c>
      <c r="E549" s="4">
        <v>27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8.5399999999999991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spans="1:21" ht="12" customHeight="1">
      <c r="A550" s="4">
        <v>2654</v>
      </c>
      <c r="B550" s="4">
        <v>19204</v>
      </c>
      <c r="C550" s="5">
        <f t="shared" si="245"/>
        <v>40074</v>
      </c>
      <c r="D550" s="4" t="s">
        <v>63</v>
      </c>
      <c r="E550" s="4">
        <v>28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4.8600000000000003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spans="1:21" ht="12" customHeight="1">
      <c r="A551" s="4">
        <v>2731</v>
      </c>
      <c r="B551" s="4">
        <v>19716</v>
      </c>
      <c r="C551" s="5">
        <f>DATE(2012,12,31)-1189</f>
        <v>40085</v>
      </c>
      <c r="D551" s="4" t="s">
        <v>21</v>
      </c>
      <c r="E551" s="4">
        <v>5</v>
      </c>
      <c r="F551" s="4">
        <v>616.10550000000001</v>
      </c>
      <c r="G551" s="4">
        <v>0.03</v>
      </c>
      <c r="H551" s="4" t="s">
        <v>22</v>
      </c>
      <c r="I551" s="6">
        <v>-458.74400000000003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spans="1:21" ht="12" customHeight="1">
      <c r="A552" s="4">
        <v>2807</v>
      </c>
      <c r="B552" s="4">
        <v>20261</v>
      </c>
      <c r="C552" s="5">
        <f t="shared" ref="C552:C554" si="246">DATE(2012,12,31)-1321</f>
        <v>39953</v>
      </c>
      <c r="D552" s="4" t="s">
        <v>63</v>
      </c>
      <c r="E552" s="4">
        <v>25</v>
      </c>
      <c r="F552" s="4">
        <v>751.52</v>
      </c>
      <c r="G552" s="4">
        <v>0.09</v>
      </c>
      <c r="H552" s="4" t="s">
        <v>56</v>
      </c>
      <c r="I552" s="6">
        <v>67.107500000000002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spans="1:21" ht="12" customHeight="1">
      <c r="A553" s="4">
        <v>2808</v>
      </c>
      <c r="B553" s="4">
        <v>20261</v>
      </c>
      <c r="C553" s="5">
        <f t="shared" si="246"/>
        <v>39953</v>
      </c>
      <c r="D553" s="4" t="s">
        <v>63</v>
      </c>
      <c r="E553" s="4">
        <v>36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spans="1:21" ht="12" customHeight="1">
      <c r="A554" s="4">
        <v>2809</v>
      </c>
      <c r="B554" s="4">
        <v>20261</v>
      </c>
      <c r="C554" s="5">
        <f t="shared" si="246"/>
        <v>39953</v>
      </c>
      <c r="D554" s="4" t="s">
        <v>63</v>
      </c>
      <c r="E554" s="4">
        <v>21</v>
      </c>
      <c r="F554" s="4">
        <v>1259.4535000000001</v>
      </c>
      <c r="G554" s="4">
        <v>0.02</v>
      </c>
      <c r="H554" s="4" t="s">
        <v>56</v>
      </c>
      <c r="I554" s="6">
        <v>168.23699999999999</v>
      </c>
      <c r="J554" s="4">
        <v>65.989999999999995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0.56000000000000005</v>
      </c>
      <c r="U554" s="5">
        <f>C554+1</f>
        <v>39954</v>
      </c>
    </row>
    <row r="555" spans="1:21" ht="12" customHeight="1">
      <c r="A555" s="4">
        <v>2858</v>
      </c>
      <c r="B555" s="4">
        <v>20614</v>
      </c>
      <c r="C555" s="5">
        <f>DATE(2012,12,31)-1323</f>
        <v>39951</v>
      </c>
      <c r="D555" s="4" t="s">
        <v>45</v>
      </c>
      <c r="E555" s="4">
        <v>47</v>
      </c>
      <c r="F555" s="4">
        <v>3596.36</v>
      </c>
      <c r="G555" s="4">
        <v>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spans="1:21" ht="12" customHeight="1">
      <c r="A556" s="4">
        <v>2870</v>
      </c>
      <c r="B556" s="4">
        <v>20709</v>
      </c>
      <c r="C556" s="5">
        <f t="shared" ref="C556:C557" si="247">DATE(2012,12,31)-1238</f>
        <v>40036</v>
      </c>
      <c r="D556" s="4" t="s">
        <v>30</v>
      </c>
      <c r="E556" s="4">
        <v>4</v>
      </c>
      <c r="F556" s="4">
        <v>16.600000000000001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spans="1:21" ht="12" customHeight="1">
      <c r="A557" s="4">
        <v>2871</v>
      </c>
      <c r="B557" s="4">
        <v>20709</v>
      </c>
      <c r="C557" s="5">
        <f t="shared" si="247"/>
        <v>40036</v>
      </c>
      <c r="D557" s="4" t="s">
        <v>30</v>
      </c>
      <c r="E557" s="4">
        <v>5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4.9800000000000004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8">C557+2</f>
        <v>40038</v>
      </c>
    </row>
    <row r="558" spans="1:21" ht="12" customHeight="1">
      <c r="A558" s="4">
        <v>3206</v>
      </c>
      <c r="B558" s="4">
        <v>23008</v>
      </c>
      <c r="C558" s="5">
        <f t="shared" ref="C558:C559" si="249">DATE(2012,12,31)-1179</f>
        <v>40095</v>
      </c>
      <c r="D558" s="4" t="s">
        <v>78</v>
      </c>
      <c r="E558" s="4">
        <v>10</v>
      </c>
      <c r="F558" s="4">
        <v>1136.47</v>
      </c>
      <c r="G558" s="4">
        <v>0.1</v>
      </c>
      <c r="H558" s="4" t="s">
        <v>56</v>
      </c>
      <c r="I558" s="6">
        <v>323.32299999999998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8"/>
        <v>40097</v>
      </c>
    </row>
    <row r="559" spans="1:21" ht="12" customHeight="1">
      <c r="A559" s="4">
        <v>3207</v>
      </c>
      <c r="B559" s="4">
        <v>23008</v>
      </c>
      <c r="C559" s="5">
        <f t="shared" si="249"/>
        <v>40095</v>
      </c>
      <c r="D559" s="4" t="s">
        <v>78</v>
      </c>
      <c r="E559" s="4">
        <v>2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152.47999999999999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8"/>
        <v>40097</v>
      </c>
    </row>
    <row r="560" spans="1:21" ht="12" customHeight="1">
      <c r="A560" s="4">
        <v>3350</v>
      </c>
      <c r="B560" s="4">
        <v>23971</v>
      </c>
      <c r="C560" s="5">
        <f>DATE(2012,12,31)-1136</f>
        <v>40138</v>
      </c>
      <c r="D560" s="4" t="s">
        <v>78</v>
      </c>
      <c r="E560" s="4">
        <v>5</v>
      </c>
      <c r="F560" s="4">
        <v>66.63</v>
      </c>
      <c r="G560" s="4">
        <v>0</v>
      </c>
      <c r="H560" s="4" t="s">
        <v>22</v>
      </c>
      <c r="I560" s="6">
        <v>-16.920000000000002</v>
      </c>
      <c r="J560" s="4">
        <v>11.97</v>
      </c>
      <c r="K560" s="4">
        <v>4.9800000000000004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0.57999999999999996</v>
      </c>
      <c r="U560" s="5">
        <f>C560+3</f>
        <v>40141</v>
      </c>
    </row>
    <row r="561" spans="1:21" ht="12" customHeight="1">
      <c r="A561" s="4">
        <v>3671</v>
      </c>
      <c r="B561" s="4">
        <v>26279</v>
      </c>
      <c r="C561" s="5">
        <f>DATE(2012,12,31)-1250</f>
        <v>40024</v>
      </c>
      <c r="D561" s="4" t="s">
        <v>45</v>
      </c>
      <c r="E561" s="4">
        <v>7</v>
      </c>
      <c r="F561" s="4">
        <v>211.74350000000001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spans="1:21" ht="12" customHeight="1">
      <c r="A562" s="4">
        <v>3761</v>
      </c>
      <c r="B562" s="4">
        <v>26855</v>
      </c>
      <c r="C562" s="5">
        <f>DATE(2012,12,31)-1387</f>
        <v>39887</v>
      </c>
      <c r="D562" s="4" t="s">
        <v>30</v>
      </c>
      <c r="E562" s="4">
        <v>13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spans="1:21" ht="12" customHeight="1">
      <c r="A563" s="4">
        <v>4052</v>
      </c>
      <c r="B563" s="4">
        <v>28897</v>
      </c>
      <c r="C563" s="5">
        <f t="shared" ref="C563:C564" si="250">DATE(2012,12,31)-1225</f>
        <v>40049</v>
      </c>
      <c r="D563" s="4" t="s">
        <v>63</v>
      </c>
      <c r="E563" s="4">
        <v>35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4.0599999999999996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1">C563+2</f>
        <v>40051</v>
      </c>
    </row>
    <row r="564" spans="1:21" ht="12" customHeight="1">
      <c r="A564" s="4">
        <v>4053</v>
      </c>
      <c r="B564" s="4">
        <v>28897</v>
      </c>
      <c r="C564" s="5">
        <f t="shared" si="250"/>
        <v>40049</v>
      </c>
      <c r="D564" s="4" t="s">
        <v>63</v>
      </c>
      <c r="E564" s="4">
        <v>14</v>
      </c>
      <c r="F564" s="4">
        <v>877.47</v>
      </c>
      <c r="G564" s="4">
        <v>7.0000000000000007E-2</v>
      </c>
      <c r="H564" s="4" t="s">
        <v>22</v>
      </c>
      <c r="I564" s="6">
        <v>151.24</v>
      </c>
      <c r="J564" s="4">
        <v>60.98</v>
      </c>
      <c r="K564" s="4">
        <v>19.989999999999998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1"/>
        <v>40051</v>
      </c>
    </row>
    <row r="565" spans="1:21" ht="12" customHeight="1">
      <c r="A565" s="4">
        <v>4105</v>
      </c>
      <c r="B565" s="4">
        <v>29219</v>
      </c>
      <c r="C565" s="5">
        <f>DATE(2012,12,31)-1361</f>
        <v>39913</v>
      </c>
      <c r="D565" s="4" t="s">
        <v>45</v>
      </c>
      <c r="E565" s="4">
        <v>29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spans="1:21" ht="12" customHeight="1">
      <c r="A566" s="4">
        <v>4145</v>
      </c>
      <c r="B566" s="4">
        <v>29410</v>
      </c>
      <c r="C566" s="5">
        <f t="shared" ref="C566:C567" si="252">DATE(2012,12,31)-1201</f>
        <v>40073</v>
      </c>
      <c r="D566" s="4" t="s">
        <v>78</v>
      </c>
      <c r="E566" s="4">
        <v>35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spans="1:21" ht="12" customHeight="1">
      <c r="A567" s="4">
        <v>4146</v>
      </c>
      <c r="B567" s="4">
        <v>29410</v>
      </c>
      <c r="C567" s="5">
        <f t="shared" si="252"/>
        <v>40073</v>
      </c>
      <c r="D567" s="4" t="s">
        <v>78</v>
      </c>
      <c r="E567" s="4">
        <v>36</v>
      </c>
      <c r="F567" s="4">
        <v>6057.27</v>
      </c>
      <c r="G567" s="4">
        <v>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spans="1:21" ht="12" customHeight="1">
      <c r="A568" s="4">
        <v>4480</v>
      </c>
      <c r="B568" s="4">
        <v>31877</v>
      </c>
      <c r="C568" s="5">
        <f>DATE(2012,12,31)-1281</f>
        <v>39993</v>
      </c>
      <c r="D568" s="4" t="s">
        <v>63</v>
      </c>
      <c r="E568" s="4">
        <v>34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8.3699999999999992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spans="1:21" ht="12" customHeight="1">
      <c r="A569" s="4">
        <v>4501</v>
      </c>
      <c r="B569" s="4">
        <v>32037</v>
      </c>
      <c r="C569" s="5">
        <f t="shared" ref="C569:C570" si="253">DATE(2012,12,31)-1414</f>
        <v>39860</v>
      </c>
      <c r="D569" s="4" t="s">
        <v>21</v>
      </c>
      <c r="E569" s="4">
        <v>37</v>
      </c>
      <c r="F569" s="4">
        <v>311.66000000000003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spans="1:21" ht="12" customHeight="1">
      <c r="A570" s="4">
        <v>4502</v>
      </c>
      <c r="B570" s="4">
        <v>32037</v>
      </c>
      <c r="C570" s="5">
        <f t="shared" si="253"/>
        <v>39860</v>
      </c>
      <c r="D570" s="4" t="s">
        <v>21</v>
      </c>
      <c r="E570" s="4">
        <v>15</v>
      </c>
      <c r="F570" s="4">
        <v>9862.51</v>
      </c>
      <c r="G570" s="4">
        <v>7.0000000000000007E-2</v>
      </c>
      <c r="H570" s="4" t="s">
        <v>22</v>
      </c>
      <c r="I570" s="6">
        <v>325.29000000000002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spans="1:21" ht="12" customHeight="1">
      <c r="A571" s="4">
        <v>4526</v>
      </c>
      <c r="B571" s="4">
        <v>32195</v>
      </c>
      <c r="C571" s="5">
        <f>DATE(2012,12,31)-1132</f>
        <v>40142</v>
      </c>
      <c r="D571" s="4" t="s">
        <v>63</v>
      </c>
      <c r="E571" s="4">
        <v>7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spans="1:21" ht="12" customHeight="1">
      <c r="A572" s="4">
        <v>4562</v>
      </c>
      <c r="B572" s="4">
        <v>32451</v>
      </c>
      <c r="C572" s="5">
        <f>DATE(2012,12,31)-1378</f>
        <v>39896</v>
      </c>
      <c r="D572" s="4" t="s">
        <v>45</v>
      </c>
      <c r="E572" s="4">
        <v>42</v>
      </c>
      <c r="F572" s="4">
        <v>580.55999999999995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spans="1:21" ht="12" customHeight="1">
      <c r="A573" s="4">
        <v>4890</v>
      </c>
      <c r="B573" s="4">
        <v>34788</v>
      </c>
      <c r="C573" s="5">
        <f>DATE(2012,12,31)-1148</f>
        <v>40126</v>
      </c>
      <c r="D573" s="4" t="s">
        <v>30</v>
      </c>
      <c r="E573" s="4">
        <v>4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spans="1:21" ht="12" customHeight="1">
      <c r="A574" s="4">
        <v>4907</v>
      </c>
      <c r="B574" s="4">
        <v>34918</v>
      </c>
      <c r="C574" s="5">
        <f t="shared" ref="C574:C575" si="254">DATE(2012,12,31)-1165</f>
        <v>40109</v>
      </c>
      <c r="D574" s="4" t="s">
        <v>63</v>
      </c>
      <c r="E574" s="4">
        <v>12</v>
      </c>
      <c r="F574" s="4">
        <v>2230.9699999999998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spans="1:21" ht="12" customHeight="1">
      <c r="A575" s="4">
        <v>4908</v>
      </c>
      <c r="B575" s="4">
        <v>34918</v>
      </c>
      <c r="C575" s="5">
        <f t="shared" si="254"/>
        <v>40109</v>
      </c>
      <c r="D575" s="4" t="s">
        <v>63</v>
      </c>
      <c r="E575" s="4">
        <v>25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spans="1:21" ht="12" customHeight="1">
      <c r="A576" s="4">
        <v>5117</v>
      </c>
      <c r="B576" s="4">
        <v>36452</v>
      </c>
      <c r="C576" s="5">
        <f t="shared" ref="C576:C577" si="255">DATE(2012,12,31)-1366</f>
        <v>39908</v>
      </c>
      <c r="D576" s="4" t="s">
        <v>30</v>
      </c>
      <c r="E576" s="4">
        <v>26</v>
      </c>
      <c r="F576" s="4">
        <v>564.98</v>
      </c>
      <c r="G576" s="4">
        <v>0.1</v>
      </c>
      <c r="H576" s="4" t="s">
        <v>22</v>
      </c>
      <c r="I576" s="6">
        <v>-107.51349999999999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spans="1:21" ht="12" customHeight="1">
      <c r="A577" s="4">
        <v>5118</v>
      </c>
      <c r="B577" s="4">
        <v>36452</v>
      </c>
      <c r="C577" s="5">
        <f t="shared" si="255"/>
        <v>39908</v>
      </c>
      <c r="D577" s="4" t="s">
        <v>30</v>
      </c>
      <c r="E577" s="4">
        <v>18</v>
      </c>
      <c r="F577" s="4">
        <v>129.47999999999999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6">C577+2</f>
        <v>39910</v>
      </c>
    </row>
    <row r="578" spans="1:21" ht="12" customHeight="1">
      <c r="A578" s="4">
        <v>5136</v>
      </c>
      <c r="B578" s="4">
        <v>36643</v>
      </c>
      <c r="C578" s="5">
        <f t="shared" ref="C578:C579" si="257">DATE(2012,12,31)-1407</f>
        <v>39867</v>
      </c>
      <c r="D578" s="4" t="s">
        <v>78</v>
      </c>
      <c r="E578" s="4">
        <v>17</v>
      </c>
      <c r="F578" s="4">
        <v>240.87</v>
      </c>
      <c r="G578" s="4">
        <v>0.01</v>
      </c>
      <c r="H578" s="4" t="s">
        <v>22</v>
      </c>
      <c r="I578" s="6">
        <v>-36.770000000000003</v>
      </c>
      <c r="J578" s="4">
        <v>13.79</v>
      </c>
      <c r="K578" s="4">
        <v>8.7799999999999994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6"/>
        <v>39869</v>
      </c>
    </row>
    <row r="579" spans="1:21" ht="12" customHeight="1">
      <c r="A579" s="4">
        <v>5137</v>
      </c>
      <c r="B579" s="4">
        <v>36643</v>
      </c>
      <c r="C579" s="5">
        <f t="shared" si="257"/>
        <v>39867</v>
      </c>
      <c r="D579" s="4" t="s">
        <v>78</v>
      </c>
      <c r="E579" s="4">
        <v>30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8">C579+1</f>
        <v>39868</v>
      </c>
    </row>
    <row r="580" spans="1:21" ht="12" customHeight="1">
      <c r="A580" s="4">
        <v>5209</v>
      </c>
      <c r="B580" s="4">
        <v>36999</v>
      </c>
      <c r="C580" s="5">
        <f t="shared" ref="C580:C581" si="259">DATE(2012,12,31)-1115</f>
        <v>40159</v>
      </c>
      <c r="D580" s="4" t="s">
        <v>63</v>
      </c>
      <c r="E580" s="4">
        <v>28</v>
      </c>
      <c r="F580" s="4">
        <v>14475.74</v>
      </c>
      <c r="G580" s="4">
        <v>0.06</v>
      </c>
      <c r="H580" s="4" t="s">
        <v>31</v>
      </c>
      <c r="I580" s="6">
        <v>4963.8900000000003</v>
      </c>
      <c r="J580" s="4">
        <v>549.99</v>
      </c>
      <c r="K580" s="4">
        <v>49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8"/>
        <v>40160</v>
      </c>
    </row>
    <row r="581" spans="1:21" ht="12" customHeight="1">
      <c r="A581" s="4">
        <v>5210</v>
      </c>
      <c r="B581" s="4">
        <v>36999</v>
      </c>
      <c r="C581" s="5">
        <f t="shared" si="259"/>
        <v>40159</v>
      </c>
      <c r="D581" s="4" t="s">
        <v>63</v>
      </c>
      <c r="E581" s="4">
        <v>3</v>
      </c>
      <c r="F581" s="4">
        <v>306.62049999999999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0.56999999999999995</v>
      </c>
      <c r="U581" s="5">
        <f t="shared" si="258"/>
        <v>40160</v>
      </c>
    </row>
    <row r="582" spans="1:21" ht="12" customHeight="1">
      <c r="A582" s="4">
        <v>5358</v>
      </c>
      <c r="B582" s="4">
        <v>38080</v>
      </c>
      <c r="C582" s="5">
        <f>DATE(2012,12,31)-1204</f>
        <v>40070</v>
      </c>
      <c r="D582" s="4" t="s">
        <v>45</v>
      </c>
      <c r="E582" s="4">
        <v>26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4.9800000000000004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8"/>
        <v>40071</v>
      </c>
    </row>
    <row r="583" spans="1:21" ht="12" customHeight="1">
      <c r="A583" s="4">
        <v>5364</v>
      </c>
      <c r="B583" s="4">
        <v>38145</v>
      </c>
      <c r="C583" s="5">
        <f t="shared" ref="C583:C584" si="260">DATE(2012,12,31)-1206</f>
        <v>40068</v>
      </c>
      <c r="D583" s="4" t="s">
        <v>45</v>
      </c>
      <c r="E583" s="4">
        <v>33</v>
      </c>
      <c r="F583" s="4">
        <v>60.92</v>
      </c>
      <c r="G583" s="4">
        <v>7.0000000000000007E-2</v>
      </c>
      <c r="H583" s="4" t="s">
        <v>22</v>
      </c>
      <c r="I583" s="6">
        <v>-17.204000000000001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spans="1:21" ht="12" customHeight="1">
      <c r="A584" s="4">
        <v>5365</v>
      </c>
      <c r="B584" s="4">
        <v>38145</v>
      </c>
      <c r="C584" s="5">
        <f t="shared" si="260"/>
        <v>40068</v>
      </c>
      <c r="D584" s="4" t="s">
        <v>45</v>
      </c>
      <c r="E584" s="4">
        <v>8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spans="1:21" ht="12" customHeight="1">
      <c r="A585" s="4">
        <v>5416</v>
      </c>
      <c r="B585" s="4">
        <v>38503</v>
      </c>
      <c r="C585" s="5">
        <f t="shared" ref="C585:C587" si="261">DATE(2012,12,31)-1336</f>
        <v>39938</v>
      </c>
      <c r="D585" s="4" t="s">
        <v>21</v>
      </c>
      <c r="E585" s="4">
        <v>47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2">C585+0</f>
        <v>39938</v>
      </c>
    </row>
    <row r="586" spans="1:21" ht="12" customHeight="1">
      <c r="A586" s="4">
        <v>5417</v>
      </c>
      <c r="B586" s="4">
        <v>38503</v>
      </c>
      <c r="C586" s="5">
        <f t="shared" si="261"/>
        <v>39938</v>
      </c>
      <c r="D586" s="4" t="s">
        <v>21</v>
      </c>
      <c r="E586" s="4">
        <v>10</v>
      </c>
      <c r="F586" s="4">
        <v>503.29349999999999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2"/>
        <v>39938</v>
      </c>
    </row>
    <row r="587" spans="1:21" ht="12" customHeight="1">
      <c r="A587" s="4">
        <v>5418</v>
      </c>
      <c r="B587" s="4">
        <v>38503</v>
      </c>
      <c r="C587" s="5">
        <f t="shared" si="261"/>
        <v>39938</v>
      </c>
      <c r="D587" s="4" t="s">
        <v>21</v>
      </c>
      <c r="E587" s="4">
        <v>32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spans="1:21" ht="12" customHeight="1">
      <c r="A588" s="4">
        <v>5455</v>
      </c>
      <c r="B588" s="4">
        <v>38726</v>
      </c>
      <c r="C588" s="5">
        <f>DATE(2012,12,31)-1320</f>
        <v>39954</v>
      </c>
      <c r="D588" s="4" t="s">
        <v>63</v>
      </c>
      <c r="E588" s="4">
        <v>44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spans="1:21" ht="12" customHeight="1">
      <c r="A589" s="4">
        <v>5568</v>
      </c>
      <c r="B589" s="4">
        <v>39430</v>
      </c>
      <c r="C589" s="5">
        <f>DATE(2012,12,31)-1297</f>
        <v>39977</v>
      </c>
      <c r="D589" s="4" t="s">
        <v>21</v>
      </c>
      <c r="E589" s="4">
        <v>29</v>
      </c>
      <c r="F589" s="4">
        <v>877.97</v>
      </c>
      <c r="G589" s="4">
        <v>0.03</v>
      </c>
      <c r="H589" s="4" t="s">
        <v>22</v>
      </c>
      <c r="I589" s="6">
        <v>-144.19999999999999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3">C589+4</f>
        <v>39981</v>
      </c>
    </row>
    <row r="590" spans="1:21" ht="12" customHeight="1">
      <c r="A590" s="4">
        <v>5622</v>
      </c>
      <c r="B590" s="4">
        <v>39815</v>
      </c>
      <c r="C590" s="5">
        <f>DATE(2012,12,31)-1362</f>
        <v>39912</v>
      </c>
      <c r="D590" s="4" t="s">
        <v>21</v>
      </c>
      <c r="E590" s="4">
        <v>43</v>
      </c>
      <c r="F590" s="4">
        <v>4075.3760000000002</v>
      </c>
      <c r="G590" s="4">
        <v>0.05</v>
      </c>
      <c r="H590" s="4" t="s">
        <v>22</v>
      </c>
      <c r="I590" s="6">
        <v>841.72500000000002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0.57999999999999996</v>
      </c>
      <c r="U590" s="5">
        <f t="shared" si="263"/>
        <v>39916</v>
      </c>
    </row>
    <row r="591" spans="1:21" ht="12" customHeight="1">
      <c r="A591" s="4">
        <v>5729</v>
      </c>
      <c r="B591" s="4">
        <v>40647</v>
      </c>
      <c r="C591" s="5">
        <f>DATE(2012,12,31)-1232</f>
        <v>40042</v>
      </c>
      <c r="D591" s="4" t="s">
        <v>30</v>
      </c>
      <c r="E591" s="4">
        <v>47</v>
      </c>
      <c r="F591" s="4">
        <v>1982.16</v>
      </c>
      <c r="G591" s="4">
        <v>0.03</v>
      </c>
      <c r="H591" s="4" t="s">
        <v>22</v>
      </c>
      <c r="I591" s="6">
        <v>267.10000000000002</v>
      </c>
      <c r="J591" s="4">
        <v>40.99</v>
      </c>
      <c r="K591" s="4">
        <v>19.989999999999998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4">C591+1</f>
        <v>40043</v>
      </c>
    </row>
    <row r="592" spans="1:21" ht="12" customHeight="1">
      <c r="A592" s="4">
        <v>5815</v>
      </c>
      <c r="B592" s="4">
        <v>41221</v>
      </c>
      <c r="C592" s="5">
        <f>DATE(2012,12,31)-1206</f>
        <v>40068</v>
      </c>
      <c r="D592" s="4" t="s">
        <v>78</v>
      </c>
      <c r="E592" s="4">
        <v>4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4"/>
        <v>40069</v>
      </c>
    </row>
    <row r="593" spans="1:21" ht="12" customHeight="1">
      <c r="A593" s="4">
        <v>5819</v>
      </c>
      <c r="B593" s="4">
        <v>41282</v>
      </c>
      <c r="C593" s="5">
        <f>DATE(2012,12,31)-1276</f>
        <v>39998</v>
      </c>
      <c r="D593" s="4" t="s">
        <v>63</v>
      </c>
      <c r="E593" s="4">
        <v>39</v>
      </c>
      <c r="F593" s="4">
        <v>916.05</v>
      </c>
      <c r="G593" s="4">
        <v>0.08</v>
      </c>
      <c r="H593" s="4" t="s">
        <v>22</v>
      </c>
      <c r="I593" s="6">
        <v>-21.896000000000001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spans="1:21" ht="12" customHeight="1">
      <c r="A594" s="4">
        <v>5860</v>
      </c>
      <c r="B594" s="4">
        <v>41604</v>
      </c>
      <c r="C594" s="5">
        <f>DATE(2012,12,31)-1420</f>
        <v>39854</v>
      </c>
      <c r="D594" s="4" t="s">
        <v>63</v>
      </c>
      <c r="E594" s="4">
        <v>22</v>
      </c>
      <c r="F594" s="4">
        <v>138.24</v>
      </c>
      <c r="G594" s="4">
        <v>0.06</v>
      </c>
      <c r="H594" s="4" t="s">
        <v>22</v>
      </c>
      <c r="I594" s="6">
        <v>-48.219499999999996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5">C594+1</f>
        <v>39855</v>
      </c>
    </row>
    <row r="595" spans="1:21" ht="12" customHeight="1">
      <c r="A595" s="4">
        <v>5925</v>
      </c>
      <c r="B595" s="4">
        <v>42022</v>
      </c>
      <c r="C595" s="5">
        <f t="shared" ref="C595:C596" si="266">DATE(2012,12,31)-1194</f>
        <v>40080</v>
      </c>
      <c r="D595" s="4" t="s">
        <v>63</v>
      </c>
      <c r="E595" s="4">
        <v>45</v>
      </c>
      <c r="F595" s="4">
        <v>338.85</v>
      </c>
      <c r="G595" s="4">
        <v>0.04</v>
      </c>
      <c r="H595" s="4" t="s">
        <v>22</v>
      </c>
      <c r="I595" s="6">
        <v>-170.17699999999999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5"/>
        <v>40081</v>
      </c>
    </row>
    <row r="596" spans="1:21" ht="12" customHeight="1">
      <c r="A596" s="4">
        <v>5926</v>
      </c>
      <c r="B596" s="4">
        <v>42022</v>
      </c>
      <c r="C596" s="5">
        <f t="shared" si="266"/>
        <v>40080</v>
      </c>
      <c r="D596" s="4" t="s">
        <v>63</v>
      </c>
      <c r="E596" s="4">
        <v>11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5"/>
        <v>40081</v>
      </c>
    </row>
    <row r="597" spans="1:21" ht="12" customHeight="1">
      <c r="A597" s="4">
        <v>6106</v>
      </c>
      <c r="B597" s="4">
        <v>43269</v>
      </c>
      <c r="C597" s="5">
        <f t="shared" ref="C597:C598" si="267">DATE(2012,12,31)-1361</f>
        <v>39913</v>
      </c>
      <c r="D597" s="4" t="s">
        <v>78</v>
      </c>
      <c r="E597" s="4">
        <v>16</v>
      </c>
      <c r="F597" s="4">
        <v>843.15</v>
      </c>
      <c r="G597" s="4">
        <v>0</v>
      </c>
      <c r="H597" s="4" t="s">
        <v>22</v>
      </c>
      <c r="I597" s="6">
        <v>355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8">C597+2</f>
        <v>39915</v>
      </c>
    </row>
    <row r="598" spans="1:21" ht="12" customHeight="1">
      <c r="A598" s="4">
        <v>6107</v>
      </c>
      <c r="B598" s="4">
        <v>43269</v>
      </c>
      <c r="C598" s="5">
        <f t="shared" si="267"/>
        <v>39913</v>
      </c>
      <c r="D598" s="4" t="s">
        <v>78</v>
      </c>
      <c r="E598" s="4">
        <v>24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19.989999999999998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8"/>
        <v>39915</v>
      </c>
    </row>
    <row r="599" spans="1:21" ht="12" customHeight="1">
      <c r="A599" s="4">
        <v>6132</v>
      </c>
      <c r="B599" s="4">
        <v>43399</v>
      </c>
      <c r="C599" s="5">
        <f t="shared" ref="C599:C601" si="269">DATE(2012,12,31)-1250</f>
        <v>40024</v>
      </c>
      <c r="D599" s="4" t="s">
        <v>30</v>
      </c>
      <c r="E599" s="4">
        <v>35</v>
      </c>
      <c r="F599" s="4">
        <v>59.66</v>
      </c>
      <c r="G599" s="4">
        <v>0.05</v>
      </c>
      <c r="H599" s="4" t="s">
        <v>22</v>
      </c>
      <c r="I599" s="6">
        <v>-33.340000000000003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spans="1:21" ht="12" customHeight="1">
      <c r="A600" s="4">
        <v>6133</v>
      </c>
      <c r="B600" s="4">
        <v>43399</v>
      </c>
      <c r="C600" s="5">
        <f t="shared" si="269"/>
        <v>40024</v>
      </c>
      <c r="D600" s="4" t="s">
        <v>30</v>
      </c>
      <c r="E600" s="4">
        <v>2</v>
      </c>
      <c r="F600" s="4">
        <v>377.01600000000002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0">C600+2</f>
        <v>40026</v>
      </c>
    </row>
    <row r="601" spans="1:21" ht="12" customHeight="1">
      <c r="A601" s="4">
        <v>6134</v>
      </c>
      <c r="B601" s="4">
        <v>43399</v>
      </c>
      <c r="C601" s="5">
        <f t="shared" si="269"/>
        <v>40024</v>
      </c>
      <c r="D601" s="4" t="s">
        <v>30</v>
      </c>
      <c r="E601" s="4">
        <v>8</v>
      </c>
      <c r="F601" s="4">
        <v>124.7</v>
      </c>
      <c r="G601" s="4">
        <v>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0"/>
        <v>40026</v>
      </c>
    </row>
    <row r="602" spans="1:21" ht="12" customHeight="1">
      <c r="A602" s="4">
        <v>6237</v>
      </c>
      <c r="B602" s="4">
        <v>44197</v>
      </c>
      <c r="C602" s="5">
        <f>DATE(2012,12,31)-1441</f>
        <v>39833</v>
      </c>
      <c r="D602" s="4" t="s">
        <v>30</v>
      </c>
      <c r="E602" s="4">
        <v>27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140.97999999999999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spans="1:21" ht="12" customHeight="1">
      <c r="A603" s="4">
        <v>6401</v>
      </c>
      <c r="B603" s="4">
        <v>45414</v>
      </c>
      <c r="C603" s="5">
        <f>DATE(2012,12,31)-1419</f>
        <v>39855</v>
      </c>
      <c r="D603" s="4" t="s">
        <v>78</v>
      </c>
      <c r="E603" s="4">
        <v>17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spans="1:21" ht="12" customHeight="1">
      <c r="A604" s="4">
        <v>6443</v>
      </c>
      <c r="B604" s="4">
        <v>45824</v>
      </c>
      <c r="C604" s="5">
        <f t="shared" ref="C604:C606" si="271">DATE(2012,12,31)-1121</f>
        <v>40153</v>
      </c>
      <c r="D604" s="4" t="s">
        <v>45</v>
      </c>
      <c r="E604" s="4">
        <v>44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0.56999999999999995</v>
      </c>
      <c r="U604" s="5">
        <f t="shared" ref="U604:U605" si="272">C604+2</f>
        <v>40155</v>
      </c>
    </row>
    <row r="605" spans="1:21" ht="12" customHeight="1">
      <c r="A605" s="4">
        <v>6538</v>
      </c>
      <c r="B605" s="4">
        <v>46528</v>
      </c>
      <c r="C605" s="5">
        <f t="shared" si="271"/>
        <v>40153</v>
      </c>
      <c r="D605" s="4" t="s">
        <v>63</v>
      </c>
      <c r="E605" s="4">
        <v>43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70.709999999999994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2"/>
        <v>40155</v>
      </c>
    </row>
    <row r="606" spans="1:21" ht="12" customHeight="1">
      <c r="A606" s="4">
        <v>6539</v>
      </c>
      <c r="B606" s="4">
        <v>46528</v>
      </c>
      <c r="C606" s="5">
        <f t="shared" si="271"/>
        <v>40153</v>
      </c>
      <c r="D606" s="4" t="s">
        <v>63</v>
      </c>
      <c r="E606" s="4">
        <v>23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9.5399999999999991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spans="1:21" ht="12" customHeight="1">
      <c r="A607" s="4">
        <v>6581</v>
      </c>
      <c r="B607" s="4">
        <v>46853</v>
      </c>
      <c r="C607" s="5">
        <f>DATE(2012,12,31)-1319</f>
        <v>39955</v>
      </c>
      <c r="D607" s="4" t="s">
        <v>21</v>
      </c>
      <c r="E607" s="4">
        <v>22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spans="1:21" ht="12" customHeight="1">
      <c r="A608" s="4">
        <v>6595</v>
      </c>
      <c r="B608" s="4">
        <v>46919</v>
      </c>
      <c r="C608" s="5">
        <f>DATE(2012,12,31)-1292</f>
        <v>39982</v>
      </c>
      <c r="D608" s="4" t="s">
        <v>21</v>
      </c>
      <c r="E608" s="4">
        <v>31</v>
      </c>
      <c r="F608" s="4">
        <v>4483.92</v>
      </c>
      <c r="G608" s="4">
        <v>7.0000000000000007E-2</v>
      </c>
      <c r="H608" s="4" t="s">
        <v>22</v>
      </c>
      <c r="I608" s="6">
        <v>174.61</v>
      </c>
      <c r="J608" s="4">
        <v>152.47999999999999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spans="1:21" ht="12" customHeight="1">
      <c r="A609" s="4">
        <v>6789</v>
      </c>
      <c r="B609" s="4">
        <v>48357</v>
      </c>
      <c r="C609" s="5">
        <f>DATE(2012,12,31)-1374</f>
        <v>39900</v>
      </c>
      <c r="D609" s="4" t="s">
        <v>45</v>
      </c>
      <c r="E609" s="4">
        <v>16</v>
      </c>
      <c r="F609" s="4">
        <v>2365.4299999999998</v>
      </c>
      <c r="G609" s="4">
        <v>0.04</v>
      </c>
      <c r="H609" s="4" t="s">
        <v>22</v>
      </c>
      <c r="I609" s="6">
        <v>619.71</v>
      </c>
      <c r="J609" s="4">
        <v>150.97999999999999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spans="1:21" ht="12" customHeight="1">
      <c r="A610" s="4">
        <v>6842</v>
      </c>
      <c r="B610" s="4">
        <v>48710</v>
      </c>
      <c r="C610" s="5">
        <f>DATE(2012,12,31)-1132</f>
        <v>40142</v>
      </c>
      <c r="D610" s="4" t="s">
        <v>63</v>
      </c>
      <c r="E610" s="4">
        <v>4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spans="1:21" ht="12" customHeight="1">
      <c r="A611" s="4">
        <v>6891</v>
      </c>
      <c r="B611" s="4">
        <v>49125</v>
      </c>
      <c r="C611" s="5">
        <f>DATE(2012,12,31)-1373</f>
        <v>39901</v>
      </c>
      <c r="D611" s="4" t="s">
        <v>45</v>
      </c>
      <c r="E611" s="4">
        <v>29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spans="1:21" ht="12" customHeight="1">
      <c r="A612" s="4">
        <v>6898</v>
      </c>
      <c r="B612" s="4">
        <v>49216</v>
      </c>
      <c r="C612" s="5">
        <f>DATE(2012,12,31)-1383</f>
        <v>39891</v>
      </c>
      <c r="D612" s="4" t="s">
        <v>30</v>
      </c>
      <c r="E612" s="4">
        <v>28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0.56000000000000005</v>
      </c>
      <c r="U612" s="5">
        <f>C612+0</f>
        <v>39891</v>
      </c>
    </row>
    <row r="613" spans="1:21" ht="12" customHeight="1">
      <c r="A613" s="4">
        <v>6953</v>
      </c>
      <c r="B613" s="4">
        <v>49730</v>
      </c>
      <c r="C613" s="5">
        <f>DATE(2012,12,31)-1457</f>
        <v>39817</v>
      </c>
      <c r="D613" s="4" t="s">
        <v>30</v>
      </c>
      <c r="E613" s="4">
        <v>3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spans="1:21" ht="12" customHeight="1">
      <c r="A614" s="4">
        <v>7126</v>
      </c>
      <c r="B614" s="4">
        <v>50823</v>
      </c>
      <c r="C614" s="5">
        <f>DATE(2012,12,31)-1259</f>
        <v>40015</v>
      </c>
      <c r="D614" s="4" t="s">
        <v>21</v>
      </c>
      <c r="E614" s="4">
        <v>12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spans="1:21" ht="12" customHeight="1">
      <c r="A615" s="4">
        <v>7276</v>
      </c>
      <c r="B615" s="4">
        <v>51937</v>
      </c>
      <c r="C615" s="5">
        <f>DATE(2012,12,31)-1403</f>
        <v>39871</v>
      </c>
      <c r="D615" s="4" t="s">
        <v>30</v>
      </c>
      <c r="E615" s="4">
        <v>39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0.56999999999999995</v>
      </c>
      <c r="U615" s="5">
        <f>C615+0</f>
        <v>39871</v>
      </c>
    </row>
    <row r="616" spans="1:21" ht="12" customHeight="1">
      <c r="A616" s="4">
        <v>7354</v>
      </c>
      <c r="B616" s="4">
        <v>52391</v>
      </c>
      <c r="C616" s="5">
        <f t="shared" ref="C616:C617" si="273">DATE(2012,12,31)-1115</f>
        <v>40159</v>
      </c>
      <c r="D616" s="4" t="s">
        <v>30</v>
      </c>
      <c r="E616" s="4">
        <v>36</v>
      </c>
      <c r="F616" s="4">
        <v>1072.3599999999999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4.8600000000000003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4">C616+2</f>
        <v>40161</v>
      </c>
    </row>
    <row r="617" spans="1:21" ht="12" customHeight="1">
      <c r="A617" s="4">
        <v>7355</v>
      </c>
      <c r="B617" s="4">
        <v>52391</v>
      </c>
      <c r="C617" s="5">
        <f t="shared" si="273"/>
        <v>40159</v>
      </c>
      <c r="D617" s="4" t="s">
        <v>30</v>
      </c>
      <c r="E617" s="4">
        <v>39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4"/>
        <v>40161</v>
      </c>
    </row>
    <row r="618" spans="1:21" ht="12" customHeight="1">
      <c r="A618" s="4">
        <v>7463</v>
      </c>
      <c r="B618" s="4">
        <v>53254</v>
      </c>
      <c r="C618" s="5">
        <f>DATE(2012,12,31)-1231</f>
        <v>40043</v>
      </c>
      <c r="D618" s="4" t="s">
        <v>63</v>
      </c>
      <c r="E618" s="4">
        <v>34</v>
      </c>
      <c r="F618" s="4">
        <v>5442.1419999999998</v>
      </c>
      <c r="G618" s="4">
        <v>0</v>
      </c>
      <c r="H618" s="4" t="s">
        <v>22</v>
      </c>
      <c r="I618" s="6">
        <v>1640.2950000000001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spans="1:21" ht="12" customHeight="1">
      <c r="A619" s="4">
        <v>7464</v>
      </c>
      <c r="B619" s="4">
        <v>53281</v>
      </c>
      <c r="C619" s="5">
        <f>DATE(2012,12,31)-1369</f>
        <v>39905</v>
      </c>
      <c r="D619" s="4" t="s">
        <v>78</v>
      </c>
      <c r="E619" s="4">
        <v>40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5">C619+2</f>
        <v>39907</v>
      </c>
    </row>
    <row r="620" spans="1:21" ht="12" customHeight="1">
      <c r="A620" s="4">
        <v>7467</v>
      </c>
      <c r="B620" s="4">
        <v>53312</v>
      </c>
      <c r="C620" s="5">
        <f t="shared" ref="C620:C621" si="276">DATE(2012,12,31)-1276</f>
        <v>39998</v>
      </c>
      <c r="D620" s="4" t="s">
        <v>63</v>
      </c>
      <c r="E620" s="4">
        <v>23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19.989999999999998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0.56999999999999995</v>
      </c>
      <c r="U620" s="5">
        <f t="shared" si="275"/>
        <v>40000</v>
      </c>
    </row>
    <row r="621" spans="1:21" ht="12" customHeight="1">
      <c r="A621" s="4">
        <v>7468</v>
      </c>
      <c r="B621" s="4">
        <v>53312</v>
      </c>
      <c r="C621" s="5">
        <f t="shared" si="276"/>
        <v>39998</v>
      </c>
      <c r="D621" s="4" t="s">
        <v>63</v>
      </c>
      <c r="E621" s="4">
        <v>30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spans="1:21" ht="12" customHeight="1">
      <c r="A622" s="4">
        <v>7639</v>
      </c>
      <c r="B622" s="4">
        <v>54694</v>
      </c>
      <c r="C622" s="5">
        <f>DATE(2012,12,31)-1199</f>
        <v>40075</v>
      </c>
      <c r="D622" s="4" t="s">
        <v>78</v>
      </c>
      <c r="E622" s="4">
        <v>43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spans="1:21" ht="12" customHeight="1">
      <c r="A623" s="4">
        <v>7643</v>
      </c>
      <c r="B623" s="4">
        <v>54755</v>
      </c>
      <c r="C623" s="5">
        <f>DATE(2012,12,31)-1120</f>
        <v>40154</v>
      </c>
      <c r="D623" s="4" t="s">
        <v>78</v>
      </c>
      <c r="E623" s="4">
        <v>44</v>
      </c>
      <c r="F623" s="4">
        <v>3421.88</v>
      </c>
      <c r="G623" s="4">
        <v>0</v>
      </c>
      <c r="H623" s="4" t="s">
        <v>22</v>
      </c>
      <c r="I623" s="6">
        <v>443.52</v>
      </c>
      <c r="J623" s="4">
        <v>73.98</v>
      </c>
      <c r="K623" s="4">
        <v>4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spans="1:21" ht="12" customHeight="1">
      <c r="A624" s="4">
        <v>7795</v>
      </c>
      <c r="B624" s="4">
        <v>55776</v>
      </c>
      <c r="C624" s="5">
        <f>DATE(2012,12,31)-1380</f>
        <v>39894</v>
      </c>
      <c r="D624" s="4" t="s">
        <v>45</v>
      </c>
      <c r="E624" s="4">
        <v>32</v>
      </c>
      <c r="F624" s="4">
        <v>4856.1000000000004</v>
      </c>
      <c r="G624" s="4">
        <v>0.01</v>
      </c>
      <c r="H624" s="4" t="s">
        <v>31</v>
      </c>
      <c r="I624" s="6">
        <v>1096.6400000000001</v>
      </c>
      <c r="J624" s="4">
        <v>145.44999999999999</v>
      </c>
      <c r="K624" s="4">
        <v>17.850000000000001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0.56000000000000005</v>
      </c>
      <c r="U624" s="5">
        <f t="shared" ref="U624:U625" si="277">C624+1</f>
        <v>39895</v>
      </c>
    </row>
    <row r="625" spans="1:21" ht="12" customHeight="1">
      <c r="A625" s="4">
        <v>7810</v>
      </c>
      <c r="B625" s="4">
        <v>55874</v>
      </c>
      <c r="C625" s="5">
        <f t="shared" ref="C625:C626" si="278">DATE(2012,12,31)-1414</f>
        <v>39860</v>
      </c>
      <c r="D625" s="4" t="s">
        <v>63</v>
      </c>
      <c r="E625" s="4">
        <v>28</v>
      </c>
      <c r="F625" s="4">
        <v>208.83</v>
      </c>
      <c r="G625" s="4">
        <v>0</v>
      </c>
      <c r="H625" s="4" t="s">
        <v>22</v>
      </c>
      <c r="I625" s="6">
        <v>-60.145000000000003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7"/>
        <v>39861</v>
      </c>
    </row>
    <row r="626" spans="1:21" ht="12" customHeight="1">
      <c r="A626" s="4">
        <v>7811</v>
      </c>
      <c r="B626" s="4">
        <v>55874</v>
      </c>
      <c r="C626" s="5">
        <f t="shared" si="278"/>
        <v>39860</v>
      </c>
      <c r="D626" s="4" t="s">
        <v>63</v>
      </c>
      <c r="E626" s="4">
        <v>41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4.9800000000000004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79">C626+2</f>
        <v>39862</v>
      </c>
    </row>
    <row r="627" spans="1:21" ht="12" customHeight="1">
      <c r="A627" s="4">
        <v>7831</v>
      </c>
      <c r="B627" s="4">
        <v>56002</v>
      </c>
      <c r="C627" s="5">
        <f t="shared" ref="C627:C630" si="280">DATE(2012,12,31)-1276</f>
        <v>39998</v>
      </c>
      <c r="D627" s="4" t="s">
        <v>21</v>
      </c>
      <c r="E627" s="4">
        <v>21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79"/>
        <v>40000</v>
      </c>
    </row>
    <row r="628" spans="1:21" ht="12" customHeight="1">
      <c r="A628" s="4">
        <v>7832</v>
      </c>
      <c r="B628" s="4">
        <v>56002</v>
      </c>
      <c r="C628" s="5">
        <f t="shared" si="280"/>
        <v>39998</v>
      </c>
      <c r="D628" s="4" t="s">
        <v>21</v>
      </c>
      <c r="E628" s="4">
        <v>14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4.8600000000000003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spans="1:21" ht="12" customHeight="1">
      <c r="A629" s="4">
        <v>7833</v>
      </c>
      <c r="B629" s="4">
        <v>56002</v>
      </c>
      <c r="C629" s="5">
        <f t="shared" si="280"/>
        <v>39998</v>
      </c>
      <c r="D629" s="4" t="s">
        <v>21</v>
      </c>
      <c r="E629" s="4">
        <v>9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161.55000000000001</v>
      </c>
      <c r="K629" s="4">
        <v>19.989999999999998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spans="1:21" ht="12" customHeight="1">
      <c r="A630" s="4">
        <v>7834</v>
      </c>
      <c r="B630" s="4">
        <v>56002</v>
      </c>
      <c r="C630" s="5">
        <f t="shared" si="280"/>
        <v>39998</v>
      </c>
      <c r="D630" s="4" t="s">
        <v>21</v>
      </c>
      <c r="E630" s="4">
        <v>14</v>
      </c>
      <c r="F630" s="4">
        <v>3857.56</v>
      </c>
      <c r="G630" s="4">
        <v>7.0000000000000007E-2</v>
      </c>
      <c r="H630" s="4" t="s">
        <v>22</v>
      </c>
      <c r="I630" s="6">
        <v>-377.81100000000004</v>
      </c>
      <c r="J630" s="4">
        <v>290.98</v>
      </c>
      <c r="K630" s="4">
        <v>69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spans="1:21" ht="12" customHeight="1">
      <c r="A631" s="4">
        <v>8011</v>
      </c>
      <c r="B631" s="4">
        <v>57253</v>
      </c>
      <c r="C631" s="5">
        <f t="shared" ref="C631:C635" si="281">DATE(2012,12,31)-1456</f>
        <v>39818</v>
      </c>
      <c r="D631" s="4" t="s">
        <v>78</v>
      </c>
      <c r="E631" s="4">
        <v>43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0.57999999999999996</v>
      </c>
      <c r="U631" s="5">
        <f>C631+1</f>
        <v>39819</v>
      </c>
    </row>
    <row r="632" spans="1:21" ht="12" customHeight="1">
      <c r="A632" s="4">
        <v>8012</v>
      </c>
      <c r="B632" s="4">
        <v>57253</v>
      </c>
      <c r="C632" s="5">
        <f t="shared" si="281"/>
        <v>39818</v>
      </c>
      <c r="D632" s="4" t="s">
        <v>78</v>
      </c>
      <c r="E632" s="4">
        <v>29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spans="1:21" ht="12" customHeight="1">
      <c r="A633" s="4">
        <v>8013</v>
      </c>
      <c r="B633" s="4">
        <v>57253</v>
      </c>
      <c r="C633" s="5">
        <f t="shared" si="281"/>
        <v>39818</v>
      </c>
      <c r="D633" s="4" t="s">
        <v>78</v>
      </c>
      <c r="E633" s="4">
        <v>48</v>
      </c>
      <c r="F633" s="4">
        <v>12635.75</v>
      </c>
      <c r="G633" s="4">
        <v>7.0000000000000007E-2</v>
      </c>
      <c r="H633" s="4" t="s">
        <v>22</v>
      </c>
      <c r="I633" s="6">
        <v>-335.24</v>
      </c>
      <c r="J633" s="4">
        <v>279.48</v>
      </c>
      <c r="K633" s="4">
        <v>35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spans="1:21" ht="12" customHeight="1">
      <c r="A634" s="4">
        <v>8014</v>
      </c>
      <c r="B634" s="4">
        <v>57253</v>
      </c>
      <c r="C634" s="5">
        <f t="shared" si="281"/>
        <v>39818</v>
      </c>
      <c r="D634" s="4" t="s">
        <v>78</v>
      </c>
      <c r="E634" s="4">
        <v>49</v>
      </c>
      <c r="F634" s="4">
        <v>240.3</v>
      </c>
      <c r="G634" s="4">
        <v>0.08</v>
      </c>
      <c r="H634" s="4" t="s">
        <v>22</v>
      </c>
      <c r="I634" s="6">
        <v>-139.15575000000001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spans="1:21" ht="12" customHeight="1">
      <c r="A635" s="4">
        <v>8015</v>
      </c>
      <c r="B635" s="4">
        <v>57253</v>
      </c>
      <c r="C635" s="5">
        <f t="shared" si="281"/>
        <v>39818</v>
      </c>
      <c r="D635" s="4" t="s">
        <v>78</v>
      </c>
      <c r="E635" s="4">
        <v>25</v>
      </c>
      <c r="F635" s="4">
        <v>2750.107</v>
      </c>
      <c r="G635" s="4">
        <v>0.04</v>
      </c>
      <c r="H635" s="4" t="s">
        <v>22</v>
      </c>
      <c r="I635" s="6">
        <v>667.44900000000007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0.55000000000000004</v>
      </c>
      <c r="U635" s="5">
        <f>C635+0</f>
        <v>39818</v>
      </c>
    </row>
    <row r="636" spans="1:21" ht="12" customHeight="1">
      <c r="A636" s="4">
        <v>8034</v>
      </c>
      <c r="B636" s="4">
        <v>57382</v>
      </c>
      <c r="C636" s="5">
        <f t="shared" ref="C636:C637" si="282">DATE(2012,12,31)-1379</f>
        <v>39895</v>
      </c>
      <c r="D636" s="4" t="s">
        <v>63</v>
      </c>
      <c r="E636" s="4">
        <v>25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3">C636+2</f>
        <v>39897</v>
      </c>
    </row>
    <row r="637" spans="1:21" ht="12" customHeight="1">
      <c r="A637" s="4">
        <v>8035</v>
      </c>
      <c r="B637" s="4">
        <v>57382</v>
      </c>
      <c r="C637" s="5">
        <f t="shared" si="282"/>
        <v>39895</v>
      </c>
      <c r="D637" s="4" t="s">
        <v>63</v>
      </c>
      <c r="E637" s="4">
        <v>45</v>
      </c>
      <c r="F637" s="4">
        <v>452.93</v>
      </c>
      <c r="G637" s="4">
        <v>7.0000000000000007E-2</v>
      </c>
      <c r="H637" s="4" t="s">
        <v>56</v>
      </c>
      <c r="I637" s="6">
        <v>20.14</v>
      </c>
      <c r="J637" s="4">
        <v>9.7799999999999994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3"/>
        <v>39897</v>
      </c>
    </row>
    <row r="638" spans="1:21" ht="12" customHeight="1">
      <c r="A638" s="4">
        <v>8039</v>
      </c>
      <c r="B638" s="4">
        <v>57415</v>
      </c>
      <c r="C638" s="5">
        <f>DATE(2012,12,31)-1378</f>
        <v>39896</v>
      </c>
      <c r="D638" s="4" t="s">
        <v>63</v>
      </c>
      <c r="E638" s="4">
        <v>6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spans="1:21" ht="12" customHeight="1">
      <c r="A639" s="4">
        <v>8099</v>
      </c>
      <c r="B639" s="4">
        <v>57794</v>
      </c>
      <c r="C639" s="5">
        <f>DATE(2012,12,31)-1254</f>
        <v>40020</v>
      </c>
      <c r="D639" s="4" t="s">
        <v>21</v>
      </c>
      <c r="E639" s="4">
        <v>16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4.9800000000000004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spans="1:21" ht="12" customHeight="1">
      <c r="A640" s="4">
        <v>8377</v>
      </c>
      <c r="B640" s="4">
        <v>59845</v>
      </c>
      <c r="C640" s="5">
        <f t="shared" ref="C640:C641" si="284">DATE(2012,12,31)-1105</f>
        <v>40169</v>
      </c>
      <c r="D640" s="4" t="s">
        <v>21</v>
      </c>
      <c r="E640" s="4">
        <v>42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spans="1:21" ht="12" customHeight="1">
      <c r="A641" s="4">
        <v>8378</v>
      </c>
      <c r="B641" s="4">
        <v>59845</v>
      </c>
      <c r="C641" s="5">
        <f t="shared" si="284"/>
        <v>40169</v>
      </c>
      <c r="D641" s="4" t="s">
        <v>21</v>
      </c>
      <c r="E641" s="4">
        <v>28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2.2599999999999998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spans="1:21" ht="12" customHeight="1">
      <c r="A642" s="4">
        <v>130</v>
      </c>
      <c r="B642" s="4">
        <v>833</v>
      </c>
      <c r="C642" s="5">
        <f>DATE(2012,12,31)-1418</f>
        <v>39856</v>
      </c>
      <c r="D642" s="4" t="s">
        <v>63</v>
      </c>
      <c r="E642" s="4">
        <v>1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5">C642+1</f>
        <v>39857</v>
      </c>
    </row>
    <row r="643" spans="1:21" ht="12" customHeight="1">
      <c r="A643" s="4">
        <v>940</v>
      </c>
      <c r="B643" s="4">
        <v>6823</v>
      </c>
      <c r="C643" s="5">
        <f t="shared" ref="C643:C644" si="286">DATE(2012,12,31)-1259</f>
        <v>40015</v>
      </c>
      <c r="D643" s="4" t="s">
        <v>45</v>
      </c>
      <c r="E643" s="4">
        <v>50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5"/>
        <v>40016</v>
      </c>
    </row>
    <row r="644" spans="1:21" ht="12" customHeight="1">
      <c r="A644" s="4">
        <v>941</v>
      </c>
      <c r="B644" s="4">
        <v>6823</v>
      </c>
      <c r="C644" s="5">
        <f t="shared" si="286"/>
        <v>40015</v>
      </c>
      <c r="D644" s="4" t="s">
        <v>45</v>
      </c>
      <c r="E644" s="4">
        <v>31</v>
      </c>
      <c r="F644" s="4">
        <v>524.19000000000005</v>
      </c>
      <c r="G644" s="4">
        <v>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spans="1:21" ht="12" customHeight="1">
      <c r="A645" s="4">
        <v>1062</v>
      </c>
      <c r="B645" s="4">
        <v>7845</v>
      </c>
      <c r="C645" s="5">
        <f t="shared" ref="C645:C646" si="287">DATE(2012,12,31)-1114</f>
        <v>40160</v>
      </c>
      <c r="D645" s="4" t="s">
        <v>78</v>
      </c>
      <c r="E645" s="4">
        <v>22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spans="1:21" ht="12" customHeight="1">
      <c r="A646" s="4">
        <v>1063</v>
      </c>
      <c r="B646" s="4">
        <v>7845</v>
      </c>
      <c r="C646" s="5">
        <f t="shared" si="287"/>
        <v>40160</v>
      </c>
      <c r="D646" s="4" t="s">
        <v>78</v>
      </c>
      <c r="E646" s="4">
        <v>45</v>
      </c>
      <c r="F646" s="4">
        <v>2145.0500000000002</v>
      </c>
      <c r="G646" s="4">
        <v>7.0000000000000007E-2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8">C646+1</f>
        <v>40161</v>
      </c>
    </row>
    <row r="647" spans="1:21" ht="12" customHeight="1">
      <c r="A647" s="4">
        <v>1441</v>
      </c>
      <c r="B647" s="4">
        <v>10434</v>
      </c>
      <c r="C647" s="5">
        <f>DATE(2012,12,31)-1104</f>
        <v>40170</v>
      </c>
      <c r="D647" s="4" t="s">
        <v>30</v>
      </c>
      <c r="E647" s="4">
        <v>2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8"/>
        <v>40171</v>
      </c>
    </row>
    <row r="648" spans="1:21" ht="12" customHeight="1">
      <c r="A648" s="4">
        <v>1566</v>
      </c>
      <c r="B648" s="4">
        <v>11302</v>
      </c>
      <c r="C648" s="5">
        <f>DATE(2012,12,31)-1401</f>
        <v>39873</v>
      </c>
      <c r="D648" s="4" t="s">
        <v>21</v>
      </c>
      <c r="E648" s="4">
        <v>10</v>
      </c>
      <c r="F648" s="4">
        <v>866.66</v>
      </c>
      <c r="G648" s="4">
        <v>0.09</v>
      </c>
      <c r="H648" s="4" t="s">
        <v>31</v>
      </c>
      <c r="I648" s="6">
        <v>35.290000000000049</v>
      </c>
      <c r="J648" s="4">
        <v>90.97</v>
      </c>
      <c r="K648" s="4">
        <v>14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spans="1:21" ht="12" customHeight="1">
      <c r="A649" s="4">
        <v>1599</v>
      </c>
      <c r="B649" s="4">
        <v>11584</v>
      </c>
      <c r="C649" s="5">
        <f>DATE(2012,12,31)-1135</f>
        <v>40139</v>
      </c>
      <c r="D649" s="4" t="s">
        <v>63</v>
      </c>
      <c r="E649" s="4">
        <v>48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89">C649+1</f>
        <v>40140</v>
      </c>
    </row>
    <row r="650" spans="1:21" ht="12" customHeight="1">
      <c r="A650" s="4">
        <v>1615</v>
      </c>
      <c r="B650" s="4">
        <v>11686</v>
      </c>
      <c r="C650" s="5">
        <f>DATE(2012,12,31)-1434</f>
        <v>39840</v>
      </c>
      <c r="D650" s="4" t="s">
        <v>45</v>
      </c>
      <c r="E650" s="4">
        <v>38</v>
      </c>
      <c r="F650" s="4">
        <v>6121.1984999999995</v>
      </c>
      <c r="G650" s="4">
        <v>0.08</v>
      </c>
      <c r="H650" s="4" t="s">
        <v>22</v>
      </c>
      <c r="I650" s="6">
        <v>1312.3440000000001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89"/>
        <v>39841</v>
      </c>
    </row>
    <row r="651" spans="1:21" ht="12" customHeight="1">
      <c r="A651" s="4">
        <v>2127</v>
      </c>
      <c r="B651" s="4">
        <v>15170</v>
      </c>
      <c r="C651" s="5">
        <f>DATE(2012,12,31)-1384</f>
        <v>39890</v>
      </c>
      <c r="D651" s="4" t="s">
        <v>78</v>
      </c>
      <c r="E651" s="4">
        <v>19</v>
      </c>
      <c r="F651" s="4">
        <v>356.46449999999999</v>
      </c>
      <c r="G651" s="4">
        <v>0.01</v>
      </c>
      <c r="H651" s="4" t="s">
        <v>22</v>
      </c>
      <c r="I651" s="6">
        <v>-9.1079999999999988</v>
      </c>
      <c r="J651" s="4">
        <v>20.99</v>
      </c>
      <c r="K651" s="4">
        <v>4.8099999999999996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0.57999999999999996</v>
      </c>
      <c r="U651" s="5">
        <f>C651+0</f>
        <v>39890</v>
      </c>
    </row>
    <row r="652" spans="1:21" ht="12" customHeight="1">
      <c r="A652" s="4">
        <v>2303</v>
      </c>
      <c r="B652" s="4">
        <v>16610</v>
      </c>
      <c r="C652" s="5">
        <f>DATE(2012,12,31)-1178</f>
        <v>40096</v>
      </c>
      <c r="D652" s="4" t="s">
        <v>30</v>
      </c>
      <c r="E652" s="4">
        <v>19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0">C652+2</f>
        <v>40098</v>
      </c>
    </row>
    <row r="653" spans="1:21" ht="12" customHeight="1">
      <c r="A653" s="4">
        <v>2687</v>
      </c>
      <c r="B653" s="4">
        <v>19431</v>
      </c>
      <c r="C653" s="5">
        <f>DATE(2012,12,31)-1318</f>
        <v>39956</v>
      </c>
      <c r="D653" s="4" t="s">
        <v>45</v>
      </c>
      <c r="E653" s="4">
        <v>4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0.56999999999999995</v>
      </c>
      <c r="U653" s="5">
        <f t="shared" si="290"/>
        <v>39958</v>
      </c>
    </row>
    <row r="654" spans="1:21" ht="12" customHeight="1">
      <c r="A654" s="4">
        <v>2712</v>
      </c>
      <c r="B654" s="4">
        <v>19584</v>
      </c>
      <c r="C654" s="5">
        <f>DATE(2012,12,31)-1355</f>
        <v>39919</v>
      </c>
      <c r="D654" s="4" t="s">
        <v>78</v>
      </c>
      <c r="E654" s="4">
        <v>6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0.56999999999999995</v>
      </c>
      <c r="U654" s="5">
        <f>C654+1</f>
        <v>39920</v>
      </c>
    </row>
    <row r="655" spans="1:21" ht="12" customHeight="1">
      <c r="A655" s="4">
        <v>2810</v>
      </c>
      <c r="B655" s="4">
        <v>20262</v>
      </c>
      <c r="C655" s="5">
        <f>DATE(2012,12,31)-1101</f>
        <v>40173</v>
      </c>
      <c r="D655" s="4" t="s">
        <v>45</v>
      </c>
      <c r="E655" s="4">
        <v>27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spans="1:21" ht="12" customHeight="1">
      <c r="A656" s="4">
        <v>2976</v>
      </c>
      <c r="B656" s="4">
        <v>21479</v>
      </c>
      <c r="C656" s="5">
        <f>DATE(2012,12,31)-1221</f>
        <v>40053</v>
      </c>
      <c r="D656" s="4" t="s">
        <v>63</v>
      </c>
      <c r="E656" s="4">
        <v>41</v>
      </c>
      <c r="F656" s="4">
        <v>291.16000000000003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spans="1:21" ht="12" customHeight="1">
      <c r="A657" s="4">
        <v>3096</v>
      </c>
      <c r="B657" s="4">
        <v>22208</v>
      </c>
      <c r="C657" s="5">
        <f t="shared" ref="C657:C658" si="291">DATE(2012,12,31)-1175</f>
        <v>40099</v>
      </c>
      <c r="D657" s="4" t="s">
        <v>30</v>
      </c>
      <c r="E657" s="4">
        <v>37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2">C657+2</f>
        <v>40101</v>
      </c>
    </row>
    <row r="658" spans="1:21" ht="12" customHeight="1">
      <c r="A658" s="4">
        <v>3097</v>
      </c>
      <c r="B658" s="4">
        <v>22208</v>
      </c>
      <c r="C658" s="5">
        <f t="shared" si="291"/>
        <v>40099</v>
      </c>
      <c r="D658" s="4" t="s">
        <v>30</v>
      </c>
      <c r="E658" s="4">
        <v>50</v>
      </c>
      <c r="F658" s="4">
        <v>5271.0454999999993</v>
      </c>
      <c r="G658" s="4">
        <v>0.08</v>
      </c>
      <c r="H658" s="4" t="s">
        <v>22</v>
      </c>
      <c r="I658" s="6">
        <v>1379.7629999999999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0.57999999999999996</v>
      </c>
      <c r="U658" s="5">
        <f t="shared" si="292"/>
        <v>40101</v>
      </c>
    </row>
    <row r="659" spans="1:21" ht="12" customHeight="1">
      <c r="A659" s="4">
        <v>3106</v>
      </c>
      <c r="B659" s="4">
        <v>22279</v>
      </c>
      <c r="C659" s="5">
        <f>DATE(2012,12,31)-1105</f>
        <v>40169</v>
      </c>
      <c r="D659" s="4" t="s">
        <v>45</v>
      </c>
      <c r="E659" s="4">
        <v>43</v>
      </c>
      <c r="F659" s="4">
        <v>2463.6</v>
      </c>
      <c r="G659" s="4">
        <v>0.03</v>
      </c>
      <c r="H659" s="4" t="s">
        <v>22</v>
      </c>
      <c r="I659" s="6">
        <v>1040.6500000000001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spans="1:21" ht="12" customHeight="1">
      <c r="A660" s="4">
        <v>3259</v>
      </c>
      <c r="B660" s="4">
        <v>23333</v>
      </c>
      <c r="C660" s="5">
        <f t="shared" ref="C660:C662" si="293">DATE(2012,12,31)-1244</f>
        <v>40030</v>
      </c>
      <c r="D660" s="4" t="s">
        <v>63</v>
      </c>
      <c r="E660" s="4">
        <v>44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spans="1:21" ht="12" customHeight="1">
      <c r="A661" s="4">
        <v>3260</v>
      </c>
      <c r="B661" s="4">
        <v>23333</v>
      </c>
      <c r="C661" s="5">
        <f t="shared" si="293"/>
        <v>40030</v>
      </c>
      <c r="D661" s="4" t="s">
        <v>63</v>
      </c>
      <c r="E661" s="4">
        <v>32</v>
      </c>
      <c r="F661" s="4">
        <v>196.84</v>
      </c>
      <c r="G661" s="4">
        <v>0.04</v>
      </c>
      <c r="H661" s="4" t="s">
        <v>22</v>
      </c>
      <c r="I661" s="6">
        <v>-69.290000000000006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spans="1:21" ht="12" customHeight="1">
      <c r="A662" s="4">
        <v>3261</v>
      </c>
      <c r="B662" s="4">
        <v>23333</v>
      </c>
      <c r="C662" s="5">
        <f t="shared" si="293"/>
        <v>40030</v>
      </c>
      <c r="D662" s="4" t="s">
        <v>63</v>
      </c>
      <c r="E662" s="4">
        <v>16</v>
      </c>
      <c r="F662" s="4">
        <v>886.89</v>
      </c>
      <c r="G662" s="4">
        <v>0.03</v>
      </c>
      <c r="H662" s="4" t="s">
        <v>22</v>
      </c>
      <c r="I662" s="6">
        <v>-23.826000000000001</v>
      </c>
      <c r="J662" s="4">
        <v>65.989999999999995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0.56000000000000005</v>
      </c>
      <c r="U662" s="5">
        <f>C662+1</f>
        <v>40031</v>
      </c>
    </row>
    <row r="663" spans="1:21" ht="12" customHeight="1">
      <c r="A663" s="4">
        <v>4473</v>
      </c>
      <c r="B663" s="4">
        <v>31873</v>
      </c>
      <c r="C663" s="5">
        <f t="shared" ref="C663:C666" si="294">DATE(2012,12,31)-1149</f>
        <v>40125</v>
      </c>
      <c r="D663" s="4" t="s">
        <v>21</v>
      </c>
      <c r="E663" s="4">
        <v>2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spans="1:21" ht="12" customHeight="1">
      <c r="A664" s="4">
        <v>4474</v>
      </c>
      <c r="B664" s="4">
        <v>31873</v>
      </c>
      <c r="C664" s="5">
        <f t="shared" si="294"/>
        <v>40125</v>
      </c>
      <c r="D664" s="4" t="s">
        <v>21</v>
      </c>
      <c r="E664" s="4">
        <v>14</v>
      </c>
      <c r="F664" s="4">
        <v>2465.5014999999999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5">C664+7</f>
        <v>40132</v>
      </c>
    </row>
    <row r="665" spans="1:21" ht="12" customHeight="1">
      <c r="A665" s="4">
        <v>4475</v>
      </c>
      <c r="B665" s="4">
        <v>31873</v>
      </c>
      <c r="C665" s="5">
        <f t="shared" si="294"/>
        <v>40125</v>
      </c>
      <c r="D665" s="4" t="s">
        <v>21</v>
      </c>
      <c r="E665" s="4">
        <v>50</v>
      </c>
      <c r="F665" s="4">
        <v>8558.4714999999997</v>
      </c>
      <c r="G665" s="4">
        <v>0.06</v>
      </c>
      <c r="H665" s="4" t="s">
        <v>22</v>
      </c>
      <c r="I665" s="6">
        <v>2539.4580000000001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0.56000000000000005</v>
      </c>
      <c r="U665" s="5">
        <f t="shared" si="295"/>
        <v>40132</v>
      </c>
    </row>
    <row r="666" spans="1:21" ht="12" customHeight="1">
      <c r="A666" s="4">
        <v>4476</v>
      </c>
      <c r="B666" s="4">
        <v>31873</v>
      </c>
      <c r="C666" s="5">
        <f t="shared" si="294"/>
        <v>40125</v>
      </c>
      <c r="D666" s="4" t="s">
        <v>21</v>
      </c>
      <c r="E666" s="4">
        <v>42</v>
      </c>
      <c r="F666" s="4">
        <v>236.89</v>
      </c>
      <c r="G666" s="4">
        <v>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5"/>
        <v>40132</v>
      </c>
    </row>
    <row r="667" spans="1:21" ht="12" customHeight="1">
      <c r="A667" s="4">
        <v>4597</v>
      </c>
      <c r="B667" s="4">
        <v>32737</v>
      </c>
      <c r="C667" s="5">
        <f>DATE(2012,12,31)-1160</f>
        <v>40114</v>
      </c>
      <c r="D667" s="4" t="s">
        <v>30</v>
      </c>
      <c r="E667" s="4">
        <v>14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spans="1:21" ht="12" customHeight="1">
      <c r="A668" s="4">
        <v>5237</v>
      </c>
      <c r="B668" s="4">
        <v>37254</v>
      </c>
      <c r="C668" s="5">
        <f>DATE(2012,12,31)-1200</f>
        <v>40074</v>
      </c>
      <c r="D668" s="4" t="s">
        <v>30</v>
      </c>
      <c r="E668" s="4">
        <v>28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6">C668+1</f>
        <v>40075</v>
      </c>
    </row>
    <row r="669" spans="1:21" ht="12" customHeight="1">
      <c r="A669" s="4">
        <v>5260</v>
      </c>
      <c r="B669" s="4">
        <v>37441</v>
      </c>
      <c r="C669" s="5">
        <f t="shared" ref="C669:C670" si="297">DATE(2012,12,31)-1406</f>
        <v>39868</v>
      </c>
      <c r="D669" s="4" t="s">
        <v>78</v>
      </c>
      <c r="E669" s="4">
        <v>46</v>
      </c>
      <c r="F669" s="4">
        <v>14740.51</v>
      </c>
      <c r="G669" s="4">
        <v>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0.56000000000000005</v>
      </c>
      <c r="U669" s="5">
        <f t="shared" si="296"/>
        <v>39869</v>
      </c>
    </row>
    <row r="670" spans="1:21" ht="12" customHeight="1">
      <c r="A670" s="4">
        <v>5261</v>
      </c>
      <c r="B670" s="4">
        <v>37441</v>
      </c>
      <c r="C670" s="5">
        <f t="shared" si="297"/>
        <v>39868</v>
      </c>
      <c r="D670" s="4" t="s">
        <v>78</v>
      </c>
      <c r="E670" s="4">
        <v>1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0.57999999999999996</v>
      </c>
      <c r="U670" s="5">
        <f t="shared" ref="U670:U672" si="298">C670+2</f>
        <v>39870</v>
      </c>
    </row>
    <row r="671" spans="1:21" ht="12" customHeight="1">
      <c r="A671" s="4">
        <v>5359</v>
      </c>
      <c r="B671" s="4">
        <v>38084</v>
      </c>
      <c r="C671" s="5">
        <f t="shared" ref="C671:C672" si="299">DATE(2012,12,31)-1382</f>
        <v>39892</v>
      </c>
      <c r="D671" s="4" t="s">
        <v>45</v>
      </c>
      <c r="E671" s="4">
        <v>11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8"/>
        <v>39894</v>
      </c>
    </row>
    <row r="672" spans="1:21" ht="12" customHeight="1">
      <c r="A672" s="4">
        <v>5360</v>
      </c>
      <c r="B672" s="4">
        <v>38084</v>
      </c>
      <c r="C672" s="5">
        <f t="shared" si="299"/>
        <v>39892</v>
      </c>
      <c r="D672" s="4" t="s">
        <v>45</v>
      </c>
      <c r="E672" s="4">
        <v>33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4.9800000000000004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8"/>
        <v>39894</v>
      </c>
    </row>
    <row r="673" spans="1:21" ht="12" customHeight="1">
      <c r="A673" s="4">
        <v>5583</v>
      </c>
      <c r="B673" s="4">
        <v>39589</v>
      </c>
      <c r="C673" s="5">
        <f t="shared" ref="C673:C674" si="300">DATE(2012,12,31)-1247</f>
        <v>40027</v>
      </c>
      <c r="D673" s="4" t="s">
        <v>78</v>
      </c>
      <c r="E673" s="4">
        <v>42</v>
      </c>
      <c r="F673" s="4">
        <v>577.41999999999996</v>
      </c>
      <c r="G673" s="4">
        <v>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spans="1:21" ht="12" customHeight="1">
      <c r="A674" s="4">
        <v>5584</v>
      </c>
      <c r="B674" s="4">
        <v>39589</v>
      </c>
      <c r="C674" s="5">
        <f t="shared" si="300"/>
        <v>40027</v>
      </c>
      <c r="D674" s="4" t="s">
        <v>78</v>
      </c>
      <c r="E674" s="4">
        <v>20</v>
      </c>
      <c r="F674" s="4">
        <v>95.08</v>
      </c>
      <c r="G674" s="4">
        <v>0.06</v>
      </c>
      <c r="H674" s="4" t="s">
        <v>22</v>
      </c>
      <c r="I674" s="6">
        <v>39.909999999999997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spans="1:21" ht="12" customHeight="1">
      <c r="A675" s="4">
        <v>5640</v>
      </c>
      <c r="B675" s="4">
        <v>39906</v>
      </c>
      <c r="C675" s="5">
        <f>DATE(2012,12,31)-1385</f>
        <v>39889</v>
      </c>
      <c r="D675" s="4" t="s">
        <v>63</v>
      </c>
      <c r="E675" s="4">
        <v>25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1.0900000000000001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spans="1:21" ht="12" customHeight="1">
      <c r="A676" s="4">
        <v>5666</v>
      </c>
      <c r="B676" s="4">
        <v>40097</v>
      </c>
      <c r="C676" s="5">
        <f>DATE(2012,12,31)-1452</f>
        <v>39822</v>
      </c>
      <c r="D676" s="4" t="s">
        <v>21</v>
      </c>
      <c r="E676" s="4">
        <v>47</v>
      </c>
      <c r="F676" s="4">
        <v>117.88</v>
      </c>
      <c r="G676" s="4">
        <v>0.1</v>
      </c>
      <c r="H676" s="4" t="s">
        <v>22</v>
      </c>
      <c r="I676" s="6">
        <v>-71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0.57999999999999996</v>
      </c>
      <c r="U676" s="5">
        <f>C676+5</f>
        <v>39827</v>
      </c>
    </row>
    <row r="677" spans="1:21" ht="12" customHeight="1">
      <c r="A677" s="4">
        <v>5693</v>
      </c>
      <c r="B677" s="4">
        <v>40258</v>
      </c>
      <c r="C677" s="5">
        <f t="shared" ref="C677:C678" si="301">DATE(2012,12,31)-1362</f>
        <v>39912</v>
      </c>
      <c r="D677" s="4" t="s">
        <v>45</v>
      </c>
      <c r="E677" s="4">
        <v>31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spans="1:21" ht="12" customHeight="1">
      <c r="A678" s="4">
        <v>5694</v>
      </c>
      <c r="B678" s="4">
        <v>40258</v>
      </c>
      <c r="C678" s="5">
        <f t="shared" si="301"/>
        <v>39912</v>
      </c>
      <c r="D678" s="4" t="s">
        <v>45</v>
      </c>
      <c r="E678" s="4">
        <v>29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spans="1:21" ht="12" customHeight="1">
      <c r="A679" s="4">
        <v>5721</v>
      </c>
      <c r="B679" s="4">
        <v>40544</v>
      </c>
      <c r="C679" s="5">
        <f>DATE(2012,12,31)-1365</f>
        <v>39909</v>
      </c>
      <c r="D679" s="4" t="s">
        <v>21</v>
      </c>
      <c r="E679" s="4">
        <v>39</v>
      </c>
      <c r="F679" s="4">
        <v>2413.5300000000002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2">C679+2</f>
        <v>39911</v>
      </c>
    </row>
    <row r="680" spans="1:21" ht="12" customHeight="1">
      <c r="A680" s="4">
        <v>5887</v>
      </c>
      <c r="B680" s="4">
        <v>41765</v>
      </c>
      <c r="C680" s="5">
        <f>DATE(2012,12,31)-1118</f>
        <v>40156</v>
      </c>
      <c r="D680" s="4" t="s">
        <v>63</v>
      </c>
      <c r="E680" s="4">
        <v>41</v>
      </c>
      <c r="F680" s="4">
        <v>204.99</v>
      </c>
      <c r="G680" s="4">
        <v>0.03</v>
      </c>
      <c r="H680" s="4" t="s">
        <v>22</v>
      </c>
      <c r="I680" s="6">
        <v>-95.990499999999997</v>
      </c>
      <c r="J680" s="4">
        <v>4.9800000000000004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2"/>
        <v>40158</v>
      </c>
    </row>
    <row r="681" spans="1:21" ht="12" customHeight="1">
      <c r="A681" s="4">
        <v>5949</v>
      </c>
      <c r="B681" s="4">
        <v>42242</v>
      </c>
      <c r="C681" s="5">
        <f t="shared" ref="C681:C683" si="303">DATE(2012,12,31)-1370</f>
        <v>39904</v>
      </c>
      <c r="D681" s="4" t="s">
        <v>45</v>
      </c>
      <c r="E681" s="4">
        <v>23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4">C681+1</f>
        <v>39905</v>
      </c>
    </row>
    <row r="682" spans="1:21" ht="12" customHeight="1">
      <c r="A682" s="4">
        <v>5950</v>
      </c>
      <c r="B682" s="4">
        <v>42242</v>
      </c>
      <c r="C682" s="5">
        <f t="shared" si="303"/>
        <v>39904</v>
      </c>
      <c r="D682" s="4" t="s">
        <v>45</v>
      </c>
      <c r="E682" s="4">
        <v>15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4"/>
        <v>39905</v>
      </c>
    </row>
    <row r="683" spans="1:21" ht="12" customHeight="1">
      <c r="A683" s="4">
        <v>5951</v>
      </c>
      <c r="B683" s="4">
        <v>42242</v>
      </c>
      <c r="C683" s="5">
        <f t="shared" si="303"/>
        <v>39904</v>
      </c>
      <c r="D683" s="4" t="s">
        <v>45</v>
      </c>
      <c r="E683" s="4">
        <v>23</v>
      </c>
      <c r="F683" s="4">
        <v>2287.1</v>
      </c>
      <c r="G683" s="4">
        <v>7.0000000000000007E-2</v>
      </c>
      <c r="H683" s="4" t="s">
        <v>22</v>
      </c>
      <c r="I683" s="6">
        <v>231.49</v>
      </c>
      <c r="J683" s="4">
        <v>99.99</v>
      </c>
      <c r="K683" s="4">
        <v>19.989999999999998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4"/>
        <v>39905</v>
      </c>
    </row>
    <row r="684" spans="1:21" ht="12" customHeight="1">
      <c r="A684" s="4">
        <v>6770</v>
      </c>
      <c r="B684" s="4">
        <v>48198</v>
      </c>
      <c r="C684" s="5">
        <f t="shared" ref="C684:C685" si="305">DATE(2012,12,31)-1137</f>
        <v>40137</v>
      </c>
      <c r="D684" s="4" t="s">
        <v>78</v>
      </c>
      <c r="E684" s="4">
        <v>7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0.56000000000000005</v>
      </c>
      <c r="U684" s="5">
        <f t="shared" si="304"/>
        <v>40138</v>
      </c>
    </row>
    <row r="685" spans="1:21" ht="12" customHeight="1">
      <c r="A685" s="4">
        <v>6771</v>
      </c>
      <c r="B685" s="4">
        <v>48198</v>
      </c>
      <c r="C685" s="5">
        <f t="shared" si="305"/>
        <v>40137</v>
      </c>
      <c r="D685" s="4" t="s">
        <v>78</v>
      </c>
      <c r="E685" s="4">
        <v>45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0.56999999999999995</v>
      </c>
      <c r="U685" s="5">
        <f>C685+2</f>
        <v>40139</v>
      </c>
    </row>
    <row r="686" spans="1:21" ht="12" customHeight="1">
      <c r="A686" s="4">
        <v>6802</v>
      </c>
      <c r="B686" s="4">
        <v>48453</v>
      </c>
      <c r="C686" s="5">
        <f>DATE(2012,12,31)-1254</f>
        <v>40020</v>
      </c>
      <c r="D686" s="4" t="s">
        <v>63</v>
      </c>
      <c r="E686" s="4">
        <v>50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spans="1:21" ht="12" customHeight="1">
      <c r="A687" s="4">
        <v>6817</v>
      </c>
      <c r="B687" s="4">
        <v>48518</v>
      </c>
      <c r="C687" s="5">
        <f>DATE(2012,12,31)-1369</f>
        <v>39905</v>
      </c>
      <c r="D687" s="4" t="s">
        <v>63</v>
      </c>
      <c r="E687" s="4">
        <v>17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spans="1:21" ht="12" customHeight="1">
      <c r="A688" s="4">
        <v>6952</v>
      </c>
      <c r="B688" s="4">
        <v>49668</v>
      </c>
      <c r="C688" s="5">
        <f>DATE(2012,12,31)-1125</f>
        <v>40149</v>
      </c>
      <c r="D688" s="4" t="s">
        <v>21</v>
      </c>
      <c r="E688" s="4">
        <v>25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spans="1:21" ht="12" customHeight="1">
      <c r="A689" s="4">
        <v>7709</v>
      </c>
      <c r="B689" s="4">
        <v>55265</v>
      </c>
      <c r="C689" s="5">
        <f>DATE(2012,12,31)-1195</f>
        <v>40079</v>
      </c>
      <c r="D689" s="4" t="s">
        <v>21</v>
      </c>
      <c r="E689" s="4">
        <v>39</v>
      </c>
      <c r="F689" s="4">
        <v>706.39250000000004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spans="1:21" ht="12" customHeight="1">
      <c r="A690" s="4">
        <v>8148</v>
      </c>
      <c r="B690" s="4">
        <v>58277</v>
      </c>
      <c r="C690" s="5">
        <f>DATE(2012,12,31)-1437</f>
        <v>39837</v>
      </c>
      <c r="D690" s="4" t="s">
        <v>63</v>
      </c>
      <c r="E690" s="4">
        <v>23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spans="1:21" ht="12" customHeight="1">
      <c r="A691" s="4">
        <v>211</v>
      </c>
      <c r="B691" s="4">
        <v>1411</v>
      </c>
      <c r="C691" s="5">
        <f>DATE(2012,12,31)-1107</f>
        <v>40167</v>
      </c>
      <c r="D691" s="4" t="s">
        <v>30</v>
      </c>
      <c r="E691" s="4">
        <v>39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160.97999999999999</v>
      </c>
      <c r="K691" s="4">
        <v>35.020000000000003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spans="1:21" ht="12" customHeight="1">
      <c r="A692" s="4">
        <v>219</v>
      </c>
      <c r="B692" s="4">
        <v>1444</v>
      </c>
      <c r="C692" s="5">
        <f>DATE(2012,12,31)-1122</f>
        <v>40152</v>
      </c>
      <c r="D692" s="4" t="s">
        <v>63</v>
      </c>
      <c r="E692" s="4">
        <v>2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spans="1:21" ht="12" customHeight="1">
      <c r="A693" s="4">
        <v>664</v>
      </c>
      <c r="B693" s="4">
        <v>4647</v>
      </c>
      <c r="C693" s="5">
        <f t="shared" ref="C693:C694" si="306">DATE(2012,12,31)-1328</f>
        <v>39946</v>
      </c>
      <c r="D693" s="4" t="s">
        <v>63</v>
      </c>
      <c r="E693" s="4">
        <v>7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19.989999999999998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spans="1:21" ht="12" customHeight="1">
      <c r="A694" s="4">
        <v>665</v>
      </c>
      <c r="B694" s="4">
        <v>4647</v>
      </c>
      <c r="C694" s="5">
        <f t="shared" si="306"/>
        <v>39946</v>
      </c>
      <c r="D694" s="4" t="s">
        <v>63</v>
      </c>
      <c r="E694" s="4">
        <v>6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spans="1:21" ht="12" customHeight="1">
      <c r="A695" s="4">
        <v>1142</v>
      </c>
      <c r="B695" s="4">
        <v>8320</v>
      </c>
      <c r="C695" s="5">
        <f>DATE(2012,12,31)-1199</f>
        <v>40075</v>
      </c>
      <c r="D695" s="4" t="s">
        <v>45</v>
      </c>
      <c r="E695" s="4">
        <v>35</v>
      </c>
      <c r="F695" s="4">
        <v>1142.3599999999999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spans="1:21" ht="12" customHeight="1">
      <c r="A696" s="4">
        <v>1553</v>
      </c>
      <c r="B696" s="4">
        <v>11206</v>
      </c>
      <c r="C696" s="5">
        <f>DATE(2012,12,31)-1099</f>
        <v>40175</v>
      </c>
      <c r="D696" s="4" t="s">
        <v>21</v>
      </c>
      <c r="E696" s="4">
        <v>6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spans="1:21" ht="12" customHeight="1">
      <c r="A697" s="4">
        <v>1601</v>
      </c>
      <c r="B697" s="4">
        <v>11585</v>
      </c>
      <c r="C697" s="5">
        <f>DATE(2012,12,31)-1387</f>
        <v>39887</v>
      </c>
      <c r="D697" s="4" t="s">
        <v>63</v>
      </c>
      <c r="E697" s="4">
        <v>2</v>
      </c>
      <c r="F697" s="4">
        <v>200.75300000000001</v>
      </c>
      <c r="G697" s="4">
        <v>0.09</v>
      </c>
      <c r="H697" s="4" t="s">
        <v>22</v>
      </c>
      <c r="I697" s="6">
        <v>-605.37400000000002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0.55000000000000004</v>
      </c>
      <c r="U697" s="5">
        <f>C697+1</f>
        <v>39888</v>
      </c>
    </row>
    <row r="698" spans="1:21" ht="12" customHeight="1">
      <c r="A698" s="4">
        <v>2447</v>
      </c>
      <c r="B698" s="4">
        <v>17795</v>
      </c>
      <c r="C698" s="5">
        <f>DATE(2012,12,31)-1370</f>
        <v>39904</v>
      </c>
      <c r="D698" s="4" t="s">
        <v>63</v>
      </c>
      <c r="E698" s="4">
        <v>1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7">C698+2</f>
        <v>39906</v>
      </c>
    </row>
    <row r="699" spans="1:21" ht="12" customHeight="1">
      <c r="A699" s="4">
        <v>3351</v>
      </c>
      <c r="B699" s="4">
        <v>24003</v>
      </c>
      <c r="C699" s="5">
        <f t="shared" ref="C699:C700" si="308">DATE(2012,12,31)-1157</f>
        <v>40117</v>
      </c>
      <c r="D699" s="4" t="s">
        <v>78</v>
      </c>
      <c r="E699" s="4">
        <v>49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0.56000000000000005</v>
      </c>
      <c r="U699" s="5">
        <f t="shared" si="307"/>
        <v>40119</v>
      </c>
    </row>
    <row r="700" spans="1:21" ht="12" customHeight="1">
      <c r="A700" s="4">
        <v>3352</v>
      </c>
      <c r="B700" s="4">
        <v>24003</v>
      </c>
      <c r="C700" s="5">
        <f t="shared" si="308"/>
        <v>40117</v>
      </c>
      <c r="D700" s="4" t="s">
        <v>78</v>
      </c>
      <c r="E700" s="4">
        <v>50</v>
      </c>
      <c r="F700" s="4">
        <v>1318.49</v>
      </c>
      <c r="G700" s="4">
        <v>0.02</v>
      </c>
      <c r="H700" s="4" t="s">
        <v>22</v>
      </c>
      <c r="I700" s="6">
        <v>4.6900000000000004</v>
      </c>
      <c r="J700" s="4">
        <v>24.98</v>
      </c>
      <c r="K700" s="4">
        <v>8.7899999999999991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spans="1:21" ht="12" customHeight="1">
      <c r="A701" s="4">
        <v>3630</v>
      </c>
      <c r="B701" s="4">
        <v>25927</v>
      </c>
      <c r="C701" s="5">
        <f>DATE(2012,12,31)-1349</f>
        <v>39925</v>
      </c>
      <c r="D701" s="4" t="s">
        <v>63</v>
      </c>
      <c r="E701" s="4">
        <v>43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spans="1:21" ht="12" customHeight="1">
      <c r="A702" s="4">
        <v>4180</v>
      </c>
      <c r="B702" s="4">
        <v>29667</v>
      </c>
      <c r="C702" s="5">
        <f>DATE(2012,12,31)-1256</f>
        <v>40018</v>
      </c>
      <c r="D702" s="4" t="s">
        <v>45</v>
      </c>
      <c r="E702" s="4">
        <v>14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09">C702+1</f>
        <v>40019</v>
      </c>
    </row>
    <row r="703" spans="1:21" ht="12" customHeight="1">
      <c r="A703" s="4">
        <v>4248</v>
      </c>
      <c r="B703" s="4">
        <v>30215</v>
      </c>
      <c r="C703" s="5">
        <f>DATE(2012,12,31)-1404</f>
        <v>39870</v>
      </c>
      <c r="D703" s="4" t="s">
        <v>63</v>
      </c>
      <c r="E703" s="4">
        <v>20</v>
      </c>
      <c r="F703" s="4">
        <v>125.84</v>
      </c>
      <c r="G703" s="4">
        <v>0.1</v>
      </c>
      <c r="H703" s="4" t="s">
        <v>22</v>
      </c>
      <c r="I703" s="6">
        <v>18.420000000000002</v>
      </c>
      <c r="J703" s="4">
        <v>6.88</v>
      </c>
      <c r="K703" s="4">
        <v>2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09"/>
        <v>39871</v>
      </c>
    </row>
    <row r="704" spans="1:21" ht="12" customHeight="1">
      <c r="A704" s="4">
        <v>4638</v>
      </c>
      <c r="B704" s="4">
        <v>32999</v>
      </c>
      <c r="C704" s="5">
        <f>DATE(2012,12,31)-1357</f>
        <v>39917</v>
      </c>
      <c r="D704" s="4" t="s">
        <v>21</v>
      </c>
      <c r="E704" s="4">
        <v>14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35.840000000000003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spans="1:21" ht="12" customHeight="1">
      <c r="A705" s="4">
        <v>5084</v>
      </c>
      <c r="B705" s="4">
        <v>36230</v>
      </c>
      <c r="C705" s="5">
        <f>DATE(2012,12,31)-1300</f>
        <v>39974</v>
      </c>
      <c r="D705" s="4" t="s">
        <v>30</v>
      </c>
      <c r="E705" s="4">
        <v>7</v>
      </c>
      <c r="F705" s="4">
        <v>57.03</v>
      </c>
      <c r="G705" s="4">
        <v>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spans="1:21" ht="12" customHeight="1">
      <c r="A706" s="4">
        <v>5504</v>
      </c>
      <c r="B706" s="4">
        <v>39040</v>
      </c>
      <c r="C706" s="5">
        <f>DATE(2012,12,31)-1320</f>
        <v>39954</v>
      </c>
      <c r="D706" s="4" t="s">
        <v>78</v>
      </c>
      <c r="E706" s="4">
        <v>7</v>
      </c>
      <c r="F706" s="4">
        <v>19.36</v>
      </c>
      <c r="G706" s="4">
        <v>0.04</v>
      </c>
      <c r="H706" s="4" t="s">
        <v>56</v>
      </c>
      <c r="I706" s="6">
        <v>-1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spans="1:21" ht="12" customHeight="1">
      <c r="A707" s="4">
        <v>5864</v>
      </c>
      <c r="B707" s="4">
        <v>41607</v>
      </c>
      <c r="C707" s="5">
        <f>DATE(2012,12,31)-1108</f>
        <v>40166</v>
      </c>
      <c r="D707" s="4" t="s">
        <v>63</v>
      </c>
      <c r="E707" s="4">
        <v>36</v>
      </c>
      <c r="F707" s="4">
        <v>4115.74</v>
      </c>
      <c r="G707" s="4">
        <v>0.1</v>
      </c>
      <c r="H707" s="4" t="s">
        <v>22</v>
      </c>
      <c r="I707" s="6">
        <v>1719.4735000000001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spans="1:21" ht="12" customHeight="1">
      <c r="A708" s="4">
        <v>6773</v>
      </c>
      <c r="B708" s="4">
        <v>48226</v>
      </c>
      <c r="C708" s="5">
        <f>DATE(2012,12,31)-1455</f>
        <v>39819</v>
      </c>
      <c r="D708" s="4" t="s">
        <v>21</v>
      </c>
      <c r="E708" s="4">
        <v>23</v>
      </c>
      <c r="F708" s="4">
        <v>2357.4499999999998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35.840000000000003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spans="1:21" ht="12" customHeight="1">
      <c r="A709" s="4">
        <v>6803</v>
      </c>
      <c r="B709" s="4">
        <v>48455</v>
      </c>
      <c r="C709" s="5">
        <f>DATE(2012,12,31)-1308</f>
        <v>39966</v>
      </c>
      <c r="D709" s="4" t="s">
        <v>78</v>
      </c>
      <c r="E709" s="4">
        <v>34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0">C709+1</f>
        <v>39967</v>
      </c>
    </row>
    <row r="710" spans="1:21" ht="12" customHeight="1">
      <c r="A710" s="4">
        <v>6866</v>
      </c>
      <c r="B710" s="4">
        <v>48929</v>
      </c>
      <c r="C710" s="5">
        <f>DATE(2012,12,31)-1166</f>
        <v>40108</v>
      </c>
      <c r="D710" s="4" t="s">
        <v>30</v>
      </c>
      <c r="E710" s="4">
        <v>1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19.989999999999998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0"/>
        <v>40109</v>
      </c>
    </row>
    <row r="711" spans="1:21" ht="12" customHeight="1">
      <c r="A711" s="4">
        <v>7827</v>
      </c>
      <c r="B711" s="4">
        <v>55940</v>
      </c>
      <c r="C711" s="5">
        <f>DATE(2012,12,31)-1342</f>
        <v>39932</v>
      </c>
      <c r="D711" s="4" t="s">
        <v>45</v>
      </c>
      <c r="E711" s="4">
        <v>29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0"/>
        <v>39933</v>
      </c>
    </row>
    <row r="712" spans="1:21" ht="12" customHeight="1">
      <c r="A712" s="4">
        <v>8109</v>
      </c>
      <c r="B712" s="4">
        <v>57890</v>
      </c>
      <c r="C712" s="5">
        <f>DATE(2012,12,31)-1404</f>
        <v>39870</v>
      </c>
      <c r="D712" s="4" t="s">
        <v>78</v>
      </c>
      <c r="E712" s="4">
        <v>15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spans="1:21" ht="12" customHeight="1">
      <c r="A713" s="4">
        <v>860</v>
      </c>
      <c r="B713" s="4">
        <v>6179</v>
      </c>
      <c r="C713" s="5">
        <f t="shared" ref="C713:C714" si="311">DATE(2012,12,31)-1308</f>
        <v>39966</v>
      </c>
      <c r="D713" s="4" t="s">
        <v>45</v>
      </c>
      <c r="E713" s="4">
        <v>50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9.7799999999999994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spans="1:21" ht="12" customHeight="1">
      <c r="A714" s="4">
        <v>861</v>
      </c>
      <c r="B714" s="4">
        <v>6179</v>
      </c>
      <c r="C714" s="5">
        <f t="shared" si="311"/>
        <v>39966</v>
      </c>
      <c r="D714" s="4" t="s">
        <v>45</v>
      </c>
      <c r="E714" s="4">
        <v>15</v>
      </c>
      <c r="F714" s="4">
        <v>2690.7514999999999</v>
      </c>
      <c r="G714" s="4">
        <v>0</v>
      </c>
      <c r="H714" s="4" t="s">
        <v>22</v>
      </c>
      <c r="I714" s="6">
        <v>234.61199999999999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spans="1:21" ht="12" customHeight="1">
      <c r="A715" s="4">
        <v>141</v>
      </c>
      <c r="B715" s="4">
        <v>900</v>
      </c>
      <c r="C715" s="5">
        <f>DATE(2012,12,31)-1188</f>
        <v>40086</v>
      </c>
      <c r="D715" s="4" t="s">
        <v>45</v>
      </c>
      <c r="E715" s="4">
        <v>29</v>
      </c>
      <c r="F715" s="4">
        <v>1193.6500000000001</v>
      </c>
      <c r="G715" s="4">
        <v>7.0000000000000007E-2</v>
      </c>
      <c r="H715" s="4" t="s">
        <v>22</v>
      </c>
      <c r="I715" s="6">
        <v>507.57749999999999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spans="1:21" ht="12" customHeight="1">
      <c r="A716" s="4">
        <v>394</v>
      </c>
      <c r="B716" s="4">
        <v>2722</v>
      </c>
      <c r="C716" s="5">
        <f>DATE(2012,12,31)-1363</f>
        <v>39911</v>
      </c>
      <c r="D716" s="4" t="s">
        <v>21</v>
      </c>
      <c r="E716" s="4">
        <v>46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spans="1:21" ht="12" customHeight="1">
      <c r="A717" s="4">
        <v>852</v>
      </c>
      <c r="B717" s="4">
        <v>6116</v>
      </c>
      <c r="C717" s="5">
        <f>DATE(2012,12,31)-1382</f>
        <v>39892</v>
      </c>
      <c r="D717" s="4" t="s">
        <v>63</v>
      </c>
      <c r="E717" s="4">
        <v>7</v>
      </c>
      <c r="F717" s="4">
        <v>150.77000000000001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spans="1:21" ht="12" customHeight="1">
      <c r="A718" s="4">
        <v>1358</v>
      </c>
      <c r="B718" s="4">
        <v>9894</v>
      </c>
      <c r="C718" s="5">
        <f>DATE(2012,12,31)-1384</f>
        <v>39890</v>
      </c>
      <c r="D718" s="4" t="s">
        <v>30</v>
      </c>
      <c r="E718" s="4">
        <v>16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spans="1:21" ht="12" customHeight="1">
      <c r="A719" s="4">
        <v>1988</v>
      </c>
      <c r="B719" s="4">
        <v>14182</v>
      </c>
      <c r="C719" s="5">
        <f>DATE(2012,12,31)-1288</f>
        <v>39986</v>
      </c>
      <c r="D719" s="4" t="s">
        <v>21</v>
      </c>
      <c r="E719" s="4">
        <v>23</v>
      </c>
      <c r="F719" s="4">
        <v>2433.5500000000002</v>
      </c>
      <c r="G719" s="4">
        <v>0.05</v>
      </c>
      <c r="H719" s="4" t="s">
        <v>22</v>
      </c>
      <c r="I719" s="6">
        <v>355.93200000000002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0.56999999999999995</v>
      </c>
      <c r="U719" s="5">
        <f>C719+5</f>
        <v>39991</v>
      </c>
    </row>
    <row r="720" spans="1:21" ht="12" customHeight="1">
      <c r="A720" s="4">
        <v>2036</v>
      </c>
      <c r="B720" s="4">
        <v>14528</v>
      </c>
      <c r="C720" s="5">
        <f>DATE(2012,12,31)-1295</f>
        <v>39979</v>
      </c>
      <c r="D720" s="4" t="s">
        <v>78</v>
      </c>
      <c r="E720" s="4">
        <v>14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spans="1:21" ht="12" customHeight="1">
      <c r="A721" s="4">
        <v>2212</v>
      </c>
      <c r="B721" s="4">
        <v>15971</v>
      </c>
      <c r="C721" s="5">
        <f>DATE(2012,12,31)-1235</f>
        <v>40039</v>
      </c>
      <c r="D721" s="4" t="s">
        <v>30</v>
      </c>
      <c r="E721" s="4">
        <v>15</v>
      </c>
      <c r="F721" s="4">
        <v>2172.5149999999999</v>
      </c>
      <c r="G721" s="4">
        <v>0.06</v>
      </c>
      <c r="H721" s="4" t="s">
        <v>22</v>
      </c>
      <c r="I721" s="6">
        <v>32.750999999999998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0.56999999999999995</v>
      </c>
      <c r="U721" s="5">
        <f>C721+1</f>
        <v>40040</v>
      </c>
    </row>
    <row r="722" spans="1:21" ht="12" customHeight="1">
      <c r="A722" s="4">
        <v>2400</v>
      </c>
      <c r="B722" s="4">
        <v>17408</v>
      </c>
      <c r="C722" s="5">
        <f>DATE(2012,12,31)-1314</f>
        <v>39960</v>
      </c>
      <c r="D722" s="4" t="s">
        <v>45</v>
      </c>
      <c r="E722" s="4">
        <v>26</v>
      </c>
      <c r="F722" s="4">
        <v>149.69999999999999</v>
      </c>
      <c r="G722" s="4">
        <v>0.05</v>
      </c>
      <c r="H722" s="4" t="s">
        <v>56</v>
      </c>
      <c r="I722" s="6">
        <v>-132.62950000000001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2">C722+2</f>
        <v>39962</v>
      </c>
    </row>
    <row r="723" spans="1:21" ht="12" customHeight="1">
      <c r="A723" s="4">
        <v>2874</v>
      </c>
      <c r="B723" s="4">
        <v>20711</v>
      </c>
      <c r="C723" s="5">
        <f>DATE(2012,12,31)-1442</f>
        <v>39832</v>
      </c>
      <c r="D723" s="4" t="s">
        <v>78</v>
      </c>
      <c r="E723" s="4">
        <v>5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9.0299999999999994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2"/>
        <v>39834</v>
      </c>
    </row>
    <row r="724" spans="1:21" ht="12" customHeight="1">
      <c r="A724" s="4">
        <v>2980</v>
      </c>
      <c r="B724" s="4">
        <v>21538</v>
      </c>
      <c r="C724" s="5">
        <f>DATE(2012,12,31)-1253</f>
        <v>40021</v>
      </c>
      <c r="D724" s="4" t="s">
        <v>63</v>
      </c>
      <c r="E724" s="4">
        <v>31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0.57999999999999996</v>
      </c>
      <c r="U724" s="5">
        <f t="shared" si="312"/>
        <v>40023</v>
      </c>
    </row>
    <row r="725" spans="1:21" ht="12" customHeight="1">
      <c r="A725" s="4">
        <v>3102</v>
      </c>
      <c r="B725" s="4">
        <v>22242</v>
      </c>
      <c r="C725" s="5">
        <f>DATE(2012,12,31)-1295</f>
        <v>39979</v>
      </c>
      <c r="D725" s="4" t="s">
        <v>45</v>
      </c>
      <c r="E725" s="4">
        <v>50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9.5399999999999991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2"/>
        <v>39981</v>
      </c>
    </row>
    <row r="726" spans="1:21" ht="12" customHeight="1">
      <c r="A726" s="4">
        <v>4556</v>
      </c>
      <c r="B726" s="4">
        <v>32420</v>
      </c>
      <c r="C726" s="5">
        <f>DATE(2012,12,31)-1251</f>
        <v>40023</v>
      </c>
      <c r="D726" s="4" t="s">
        <v>63</v>
      </c>
      <c r="E726" s="4">
        <v>35</v>
      </c>
      <c r="F726" s="4">
        <v>175.08</v>
      </c>
      <c r="G726" s="4">
        <v>7.0000000000000007E-2</v>
      </c>
      <c r="H726" s="4" t="s">
        <v>22</v>
      </c>
      <c r="I726" s="6">
        <v>-168.72</v>
      </c>
      <c r="J726" s="4">
        <v>5.0199999999999996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2"/>
        <v>40025</v>
      </c>
    </row>
    <row r="727" spans="1:21" ht="12" customHeight="1">
      <c r="A727" s="4">
        <v>4732</v>
      </c>
      <c r="B727" s="4">
        <v>33699</v>
      </c>
      <c r="C727" s="5">
        <f t="shared" ref="C727:C728" si="313">DATE(2012,12,31)-1254</f>
        <v>40020</v>
      </c>
      <c r="D727" s="4" t="s">
        <v>21</v>
      </c>
      <c r="E727" s="4">
        <v>18</v>
      </c>
      <c r="F727" s="4">
        <v>290.07</v>
      </c>
      <c r="G727" s="4">
        <v>7.0000000000000007E-2</v>
      </c>
      <c r="H727" s="4" t="s">
        <v>22</v>
      </c>
      <c r="I727" s="6">
        <v>-114.2</v>
      </c>
      <c r="J727" s="4">
        <v>16.739999999999998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spans="1:21" ht="12" customHeight="1">
      <c r="A728" s="4">
        <v>4734</v>
      </c>
      <c r="B728" s="4">
        <v>33699</v>
      </c>
      <c r="C728" s="5">
        <f t="shared" si="313"/>
        <v>40020</v>
      </c>
      <c r="D728" s="4" t="s">
        <v>21</v>
      </c>
      <c r="E728" s="4">
        <v>31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spans="1:21" ht="12" customHeight="1">
      <c r="A729" s="4">
        <v>4754</v>
      </c>
      <c r="B729" s="4">
        <v>33797</v>
      </c>
      <c r="C729" s="5">
        <f t="shared" ref="C729:C731" si="314">DATE(2012,12,31)-1450</f>
        <v>39824</v>
      </c>
      <c r="D729" s="4" t="s">
        <v>45</v>
      </c>
      <c r="E729" s="4">
        <v>20</v>
      </c>
      <c r="F729" s="4">
        <v>4531.34</v>
      </c>
      <c r="G729" s="4">
        <v>0.08</v>
      </c>
      <c r="H729" s="4" t="s">
        <v>31</v>
      </c>
      <c r="I729" s="6">
        <v>653.67999999999995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0.56999999999999995</v>
      </c>
      <c r="U729" s="5">
        <f>C729+0</f>
        <v>39824</v>
      </c>
    </row>
    <row r="730" spans="1:21" ht="12" customHeight="1">
      <c r="A730" s="4">
        <v>4755</v>
      </c>
      <c r="B730" s="4">
        <v>33797</v>
      </c>
      <c r="C730" s="5">
        <f t="shared" si="314"/>
        <v>39824</v>
      </c>
      <c r="D730" s="4" t="s">
        <v>45</v>
      </c>
      <c r="E730" s="4">
        <v>44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5">C730+1</f>
        <v>39825</v>
      </c>
    </row>
    <row r="731" spans="1:21" ht="12" customHeight="1">
      <c r="A731" s="4">
        <v>4756</v>
      </c>
      <c r="B731" s="4">
        <v>33797</v>
      </c>
      <c r="C731" s="5">
        <f t="shared" si="314"/>
        <v>39824</v>
      </c>
      <c r="D731" s="4" t="s">
        <v>45</v>
      </c>
      <c r="E731" s="4">
        <v>18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5"/>
        <v>39825</v>
      </c>
    </row>
    <row r="732" spans="1:21" ht="12" customHeight="1">
      <c r="A732" s="4">
        <v>5134</v>
      </c>
      <c r="B732" s="4">
        <v>36609</v>
      </c>
      <c r="C732" s="5">
        <f>DATE(2012,12,31)-1327</f>
        <v>39947</v>
      </c>
      <c r="D732" s="4" t="s">
        <v>45</v>
      </c>
      <c r="E732" s="4">
        <v>8</v>
      </c>
      <c r="F732" s="4">
        <v>45.73</v>
      </c>
      <c r="G732" s="4">
        <v>0</v>
      </c>
      <c r="H732" s="4" t="s">
        <v>22</v>
      </c>
      <c r="I732" s="6">
        <v>-23.29</v>
      </c>
      <c r="J732" s="4">
        <v>4.9800000000000004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spans="1:21" ht="12" customHeight="1">
      <c r="A733" s="4">
        <v>5361</v>
      </c>
      <c r="B733" s="4">
        <v>38087</v>
      </c>
      <c r="C733" s="5">
        <f>DATE(2012,12,31)-1409</f>
        <v>39865</v>
      </c>
      <c r="D733" s="4" t="s">
        <v>78</v>
      </c>
      <c r="E733" s="4">
        <v>18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19.989999999999998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6">C733+0</f>
        <v>39865</v>
      </c>
    </row>
    <row r="734" spans="1:21" ht="12" customHeight="1">
      <c r="A734" s="4">
        <v>5393</v>
      </c>
      <c r="B734" s="4">
        <v>38341</v>
      </c>
      <c r="C734" s="5">
        <f>DATE(2012,12,31)-1323</f>
        <v>39951</v>
      </c>
      <c r="D734" s="4" t="s">
        <v>63</v>
      </c>
      <c r="E734" s="4">
        <v>38</v>
      </c>
      <c r="F734" s="4">
        <v>623.12649999999996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0.56999999999999995</v>
      </c>
      <c r="U734" s="5">
        <f t="shared" si="316"/>
        <v>39951</v>
      </c>
    </row>
    <row r="735" spans="1:21" ht="12" customHeight="1">
      <c r="A735" s="4">
        <v>5436</v>
      </c>
      <c r="B735" s="4">
        <v>38599</v>
      </c>
      <c r="C735" s="5">
        <f>DATE(2012,12,31)-1162</f>
        <v>40112</v>
      </c>
      <c r="D735" s="4" t="s">
        <v>30</v>
      </c>
      <c r="E735" s="4">
        <v>27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spans="1:21" ht="12" customHeight="1">
      <c r="A736" s="4">
        <v>5451</v>
      </c>
      <c r="B736" s="4">
        <v>38721</v>
      </c>
      <c r="C736" s="5">
        <f t="shared" ref="C736:C737" si="317">DATE(2012,12,31)-1378</f>
        <v>39896</v>
      </c>
      <c r="D736" s="4" t="s">
        <v>78</v>
      </c>
      <c r="E736" s="4">
        <v>17</v>
      </c>
      <c r="F736" s="4">
        <v>107.56</v>
      </c>
      <c r="G736" s="4">
        <v>0.1</v>
      </c>
      <c r="H736" s="4" t="s">
        <v>22</v>
      </c>
      <c r="I736" s="6">
        <v>-25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spans="1:21" ht="12" customHeight="1">
      <c r="A737" s="4">
        <v>5452</v>
      </c>
      <c r="B737" s="4">
        <v>38721</v>
      </c>
      <c r="C737" s="5">
        <f t="shared" si="317"/>
        <v>39896</v>
      </c>
      <c r="D737" s="4" t="s">
        <v>78</v>
      </c>
      <c r="E737" s="4">
        <v>15</v>
      </c>
      <c r="F737" s="4">
        <v>1386.69</v>
      </c>
      <c r="G737" s="4">
        <v>0.05</v>
      </c>
      <c r="H737" s="4" t="s">
        <v>22</v>
      </c>
      <c r="I737" s="6">
        <v>363</v>
      </c>
      <c r="J737" s="4">
        <v>90.48</v>
      </c>
      <c r="K737" s="4">
        <v>19.989999999999998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spans="1:21" ht="12" customHeight="1">
      <c r="A738" s="4">
        <v>6180</v>
      </c>
      <c r="B738" s="4">
        <v>43813</v>
      </c>
      <c r="C738" s="5">
        <f>DATE(2012,12,31)-1259</f>
        <v>40015</v>
      </c>
      <c r="D738" s="4" t="s">
        <v>45</v>
      </c>
      <c r="E738" s="4">
        <v>23</v>
      </c>
      <c r="F738" s="4">
        <v>384.21</v>
      </c>
      <c r="G738" s="4">
        <v>0.04</v>
      </c>
      <c r="H738" s="4" t="s">
        <v>22</v>
      </c>
      <c r="I738" s="6">
        <v>-266.22000000000003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spans="1:21" ht="12" customHeight="1">
      <c r="A739" s="4">
        <v>6298</v>
      </c>
      <c r="B739" s="4">
        <v>44583</v>
      </c>
      <c r="C739" s="5">
        <f>DATE(2012,12,31)-1184</f>
        <v>40090</v>
      </c>
      <c r="D739" s="4" t="s">
        <v>21</v>
      </c>
      <c r="E739" s="4">
        <v>6</v>
      </c>
      <c r="F739" s="4">
        <v>17.59</v>
      </c>
      <c r="G739" s="4">
        <v>0.1</v>
      </c>
      <c r="H739" s="4" t="s">
        <v>22</v>
      </c>
      <c r="I739" s="6">
        <v>-19.739999999999998</v>
      </c>
      <c r="J739" s="4">
        <v>2.2200000000000002</v>
      </c>
      <c r="K739" s="4">
        <v>5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0.55000000000000004</v>
      </c>
      <c r="U739" s="5">
        <f>C739+5</f>
        <v>40095</v>
      </c>
    </row>
    <row r="740" spans="1:21" ht="12" customHeight="1">
      <c r="A740" s="4">
        <v>6711</v>
      </c>
      <c r="B740" s="4">
        <v>47813</v>
      </c>
      <c r="C740" s="5">
        <f>DATE(2012,12,31)-1222</f>
        <v>40052</v>
      </c>
      <c r="D740" s="4" t="s">
        <v>30</v>
      </c>
      <c r="E740" s="4">
        <v>50</v>
      </c>
      <c r="F740" s="4">
        <v>343</v>
      </c>
      <c r="G740" s="4">
        <v>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spans="1:21" ht="12" customHeight="1">
      <c r="A741" s="4">
        <v>6805</v>
      </c>
      <c r="B741" s="4">
        <v>48455</v>
      </c>
      <c r="C741" s="5">
        <f>DATE(2012,12,31)-1308</f>
        <v>39966</v>
      </c>
      <c r="D741" s="4" t="s">
        <v>78</v>
      </c>
      <c r="E741" s="4">
        <v>17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0.56999999999999995</v>
      </c>
      <c r="U741" s="5">
        <f>C741+1</f>
        <v>39967</v>
      </c>
    </row>
    <row r="742" spans="1:21" ht="12" customHeight="1">
      <c r="A742" s="4">
        <v>6865</v>
      </c>
      <c r="B742" s="4">
        <v>48929</v>
      </c>
      <c r="C742" s="5">
        <f>DATE(2012,12,31)-1166</f>
        <v>40108</v>
      </c>
      <c r="D742" s="4" t="s">
        <v>30</v>
      </c>
      <c r="E742" s="4">
        <v>45</v>
      </c>
      <c r="F742" s="4">
        <v>2096.6999999999998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spans="1:21" ht="12" customHeight="1">
      <c r="A743" s="4">
        <v>6981</v>
      </c>
      <c r="B743" s="4">
        <v>49891</v>
      </c>
      <c r="C743" s="5">
        <f>DATE(2012,12,31)-1206</f>
        <v>40068</v>
      </c>
      <c r="D743" s="4" t="s">
        <v>45</v>
      </c>
      <c r="E743" s="4">
        <v>40</v>
      </c>
      <c r="F743" s="4">
        <v>259.83</v>
      </c>
      <c r="G743" s="4">
        <v>0</v>
      </c>
      <c r="H743" s="4" t="s">
        <v>22</v>
      </c>
      <c r="I743" s="6">
        <v>80.733000000000004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spans="1:21" ht="12" customHeight="1">
      <c r="A744" s="4">
        <v>6995</v>
      </c>
      <c r="B744" s="4">
        <v>49984</v>
      </c>
      <c r="C744" s="5">
        <f t="shared" ref="C744:C745" si="318">DATE(2012,12,31)-1330</f>
        <v>39944</v>
      </c>
      <c r="D744" s="4" t="s">
        <v>21</v>
      </c>
      <c r="E744" s="4">
        <v>14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spans="1:21" ht="12" customHeight="1">
      <c r="A745" s="4">
        <v>6996</v>
      </c>
      <c r="B745" s="4">
        <v>49984</v>
      </c>
      <c r="C745" s="5">
        <f t="shared" si="318"/>
        <v>39944</v>
      </c>
      <c r="D745" s="4" t="s">
        <v>21</v>
      </c>
      <c r="E745" s="4">
        <v>32</v>
      </c>
      <c r="F745" s="4">
        <v>227.87</v>
      </c>
      <c r="G745" s="4">
        <v>0.02</v>
      </c>
      <c r="H745" s="4" t="s">
        <v>22</v>
      </c>
      <c r="I745" s="6">
        <v>-130.61000000000001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19">C745+0</f>
        <v>39944</v>
      </c>
    </row>
    <row r="746" spans="1:21" ht="12" customHeight="1">
      <c r="A746" s="4">
        <v>7179</v>
      </c>
      <c r="B746" s="4">
        <v>51233</v>
      </c>
      <c r="C746" s="5">
        <f>DATE(2012,12,31)-1118</f>
        <v>40156</v>
      </c>
      <c r="D746" s="4" t="s">
        <v>21</v>
      </c>
      <c r="E746" s="4">
        <v>3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19"/>
        <v>40156</v>
      </c>
    </row>
    <row r="747" spans="1:21" ht="12" customHeight="1">
      <c r="A747" s="4">
        <v>7445</v>
      </c>
      <c r="B747" s="4">
        <v>53123</v>
      </c>
      <c r="C747" s="5">
        <f>DATE(2012,12,31)-1218</f>
        <v>40056</v>
      </c>
      <c r="D747" s="4" t="s">
        <v>45</v>
      </c>
      <c r="E747" s="4">
        <v>25</v>
      </c>
      <c r="F747" s="4">
        <v>265.75</v>
      </c>
      <c r="G747" s="4">
        <v>0.06</v>
      </c>
      <c r="H747" s="4" t="s">
        <v>22</v>
      </c>
      <c r="I747" s="6">
        <v>13.999499999999999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0">C747+2</f>
        <v>40058</v>
      </c>
    </row>
    <row r="748" spans="1:21" ht="12" customHeight="1">
      <c r="A748" s="4">
        <v>7734</v>
      </c>
      <c r="B748" s="4">
        <v>55392</v>
      </c>
      <c r="C748" s="5">
        <f>DATE(2012,12,31)-1304</f>
        <v>39970</v>
      </c>
      <c r="D748" s="4" t="s">
        <v>78</v>
      </c>
      <c r="E748" s="4">
        <v>39</v>
      </c>
      <c r="F748" s="4">
        <v>104.97</v>
      </c>
      <c r="G748" s="4">
        <v>7.0000000000000007E-2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0"/>
        <v>39972</v>
      </c>
    </row>
    <row r="749" spans="1:21" ht="12" customHeight="1">
      <c r="A749" s="4">
        <v>7822</v>
      </c>
      <c r="B749" s="4">
        <v>55909</v>
      </c>
      <c r="C749" s="5">
        <f>DATE(2012,12,31)-1322</f>
        <v>39952</v>
      </c>
      <c r="D749" s="4" t="s">
        <v>21</v>
      </c>
      <c r="E749" s="4">
        <v>3</v>
      </c>
      <c r="F749" s="4">
        <v>526.76</v>
      </c>
      <c r="G749" s="4">
        <v>7.0000000000000007E-2</v>
      </c>
      <c r="H749" s="4" t="s">
        <v>22</v>
      </c>
      <c r="I749" s="6">
        <v>-93.828500000000005</v>
      </c>
      <c r="J749" s="4">
        <v>172.99</v>
      </c>
      <c r="K749" s="4">
        <v>19.989999999999998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spans="1:21" ht="12" customHeight="1">
      <c r="A750" s="4">
        <v>217</v>
      </c>
      <c r="B750" s="4">
        <v>1444</v>
      </c>
      <c r="C750" s="5">
        <f>DATE(2012,12,31)-1122</f>
        <v>40152</v>
      </c>
      <c r="D750" s="4" t="s">
        <v>63</v>
      </c>
      <c r="E750" s="4">
        <v>32</v>
      </c>
      <c r="F750" s="4">
        <v>21717.360000000001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1">C750+2</f>
        <v>40154</v>
      </c>
    </row>
    <row r="751" spans="1:21" ht="12" customHeight="1">
      <c r="A751" s="4">
        <v>480</v>
      </c>
      <c r="B751" s="4">
        <v>3332</v>
      </c>
      <c r="C751" s="5">
        <f>DATE(2012,12,31)-1153</f>
        <v>40121</v>
      </c>
      <c r="D751" s="4" t="s">
        <v>78</v>
      </c>
      <c r="E751" s="4">
        <v>6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1"/>
        <v>40123</v>
      </c>
    </row>
    <row r="752" spans="1:21" ht="12" customHeight="1">
      <c r="A752" s="4">
        <v>494</v>
      </c>
      <c r="B752" s="4">
        <v>3397</v>
      </c>
      <c r="C752" s="5">
        <f>DATE(2012,12,31)-1288</f>
        <v>39986</v>
      </c>
      <c r="D752" s="4" t="s">
        <v>63</v>
      </c>
      <c r="E752" s="4">
        <v>43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1"/>
        <v>39988</v>
      </c>
    </row>
    <row r="753" spans="1:21" ht="12" customHeight="1">
      <c r="A753" s="4">
        <v>529</v>
      </c>
      <c r="B753" s="4">
        <v>3589</v>
      </c>
      <c r="C753" s="5">
        <f>DATE(2012,12,31)-1316</f>
        <v>39958</v>
      </c>
      <c r="D753" s="4" t="s">
        <v>30</v>
      </c>
      <c r="E753" s="4">
        <v>23</v>
      </c>
      <c r="F753" s="4">
        <v>72.930000000000007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1"/>
        <v>39960</v>
      </c>
    </row>
    <row r="754" spans="1:21" ht="12" customHeight="1">
      <c r="A754" s="4">
        <v>662</v>
      </c>
      <c r="B754" s="4">
        <v>4647</v>
      </c>
      <c r="C754" s="5">
        <f>DATE(2012,12,31)-1328</f>
        <v>39946</v>
      </c>
      <c r="D754" s="4" t="s">
        <v>63</v>
      </c>
      <c r="E754" s="4">
        <v>33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spans="1:21" ht="12" customHeight="1">
      <c r="A755" s="4">
        <v>886</v>
      </c>
      <c r="B755" s="4">
        <v>6369</v>
      </c>
      <c r="C755" s="5">
        <f>DATE(2012,12,31)-1108</f>
        <v>40166</v>
      </c>
      <c r="D755" s="4" t="s">
        <v>30</v>
      </c>
      <c r="E755" s="4">
        <v>30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spans="1:21" ht="12" customHeight="1">
      <c r="A756" s="4">
        <v>1004</v>
      </c>
      <c r="B756" s="4">
        <v>7297</v>
      </c>
      <c r="C756" s="5">
        <f>DATE(2012,12,31)-1204</f>
        <v>40070</v>
      </c>
      <c r="D756" s="4" t="s">
        <v>30</v>
      </c>
      <c r="E756" s="4">
        <v>4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2">C756+1</f>
        <v>40071</v>
      </c>
    </row>
    <row r="757" spans="1:21" ht="12" customHeight="1">
      <c r="A757" s="4">
        <v>1159</v>
      </c>
      <c r="B757" s="4">
        <v>8422</v>
      </c>
      <c r="C757" s="5">
        <f>DATE(2012,12,31)-1357</f>
        <v>39917</v>
      </c>
      <c r="D757" s="4" t="s">
        <v>63</v>
      </c>
      <c r="E757" s="4">
        <v>18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2"/>
        <v>39918</v>
      </c>
    </row>
    <row r="758" spans="1:21" ht="12" customHeight="1">
      <c r="A758" s="4">
        <v>1525</v>
      </c>
      <c r="B758" s="4">
        <v>11008</v>
      </c>
      <c r="C758" s="5">
        <f>DATE(2012,12,31)-1406</f>
        <v>39868</v>
      </c>
      <c r="D758" s="4" t="s">
        <v>78</v>
      </c>
      <c r="E758" s="4">
        <v>17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138.13999999999999</v>
      </c>
      <c r="K758" s="4">
        <v>35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spans="1:21" ht="12" customHeight="1">
      <c r="A759" s="4">
        <v>1600</v>
      </c>
      <c r="B759" s="4">
        <v>11585</v>
      </c>
      <c r="C759" s="5">
        <f>DATE(2012,12,31)-1387</f>
        <v>39887</v>
      </c>
      <c r="D759" s="4" t="s">
        <v>63</v>
      </c>
      <c r="E759" s="4">
        <v>17</v>
      </c>
      <c r="F759" s="4">
        <v>281.83999999999997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spans="1:21" ht="12" customHeight="1">
      <c r="A760" s="4">
        <v>1973</v>
      </c>
      <c r="B760" s="4">
        <v>14114</v>
      </c>
      <c r="C760" s="5">
        <f>DATE(2012,12,31)-1365</f>
        <v>39909</v>
      </c>
      <c r="D760" s="4" t="s">
        <v>78</v>
      </c>
      <c r="E760" s="4">
        <v>29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2.1800000000000002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spans="1:21" ht="12" customHeight="1">
      <c r="A761" s="4">
        <v>2255</v>
      </c>
      <c r="B761" s="4">
        <v>16229</v>
      </c>
      <c r="C761" s="5">
        <f>DATE(2012,12,31)-1373</f>
        <v>39901</v>
      </c>
      <c r="D761" s="4" t="s">
        <v>30</v>
      </c>
      <c r="E761" s="4">
        <v>19</v>
      </c>
      <c r="F761" s="4">
        <v>568.74350000000004</v>
      </c>
      <c r="G761" s="4">
        <v>0.05</v>
      </c>
      <c r="H761" s="4" t="s">
        <v>22</v>
      </c>
      <c r="I761" s="6">
        <v>143.79300000000001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3">C761+2</f>
        <v>39903</v>
      </c>
    </row>
    <row r="762" spans="1:21" ht="12" customHeight="1">
      <c r="A762" s="4">
        <v>2401</v>
      </c>
      <c r="B762" s="4">
        <v>17408</v>
      </c>
      <c r="C762" s="5">
        <f>DATE(2012,12,31)-1314</f>
        <v>39960</v>
      </c>
      <c r="D762" s="4" t="s">
        <v>45</v>
      </c>
      <c r="E762" s="4">
        <v>41</v>
      </c>
      <c r="F762" s="4">
        <v>728.12699999999995</v>
      </c>
      <c r="G762" s="4">
        <v>0.02</v>
      </c>
      <c r="H762" s="4" t="s">
        <v>22</v>
      </c>
      <c r="I762" s="6">
        <v>49.787999999999997</v>
      </c>
      <c r="J762" s="4">
        <v>20.99</v>
      </c>
      <c r="K762" s="4">
        <v>4.8099999999999996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0.57999999999999996</v>
      </c>
      <c r="U762" s="5">
        <f t="shared" si="323"/>
        <v>39962</v>
      </c>
    </row>
    <row r="763" spans="1:21" ht="12" customHeight="1">
      <c r="A763" s="4">
        <v>3354</v>
      </c>
      <c r="B763" s="4">
        <v>24003</v>
      </c>
      <c r="C763" s="5">
        <f>DATE(2012,12,31)-1157</f>
        <v>40117</v>
      </c>
      <c r="D763" s="4" t="s">
        <v>78</v>
      </c>
      <c r="E763" s="4">
        <v>4</v>
      </c>
      <c r="F763" s="4">
        <v>129.78649999999999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3"/>
        <v>40119</v>
      </c>
    </row>
    <row r="764" spans="1:21" ht="12" customHeight="1">
      <c r="A764" s="4">
        <v>3459</v>
      </c>
      <c r="B764" s="4">
        <v>24644</v>
      </c>
      <c r="C764" s="5">
        <f>DATE(2012,12,31)-1252</f>
        <v>40022</v>
      </c>
      <c r="D764" s="4" t="s">
        <v>78</v>
      </c>
      <c r="E764" s="4">
        <v>46</v>
      </c>
      <c r="F764" s="4">
        <v>5897.47</v>
      </c>
      <c r="G764" s="4">
        <v>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spans="1:21" ht="12" customHeight="1">
      <c r="A765" s="4">
        <v>3918</v>
      </c>
      <c r="B765" s="4">
        <v>27938</v>
      </c>
      <c r="C765" s="5">
        <f>DATE(2012,12,31)-1336</f>
        <v>39938</v>
      </c>
      <c r="D765" s="4" t="s">
        <v>63</v>
      </c>
      <c r="E765" s="4">
        <v>40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spans="1:21" ht="12" customHeight="1">
      <c r="A766" s="4">
        <v>4127</v>
      </c>
      <c r="B766" s="4">
        <v>29346</v>
      </c>
      <c r="C766" s="5">
        <f>DATE(2012,12,31)-1233</f>
        <v>40041</v>
      </c>
      <c r="D766" s="4" t="s">
        <v>21</v>
      </c>
      <c r="E766" s="4">
        <v>2</v>
      </c>
      <c r="F766" s="4">
        <v>29.06</v>
      </c>
      <c r="G766" s="4">
        <v>0.1</v>
      </c>
      <c r="H766" s="4" t="s">
        <v>22</v>
      </c>
      <c r="I766" s="6">
        <v>-16.149999999999999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spans="1:21" ht="12" customHeight="1">
      <c r="A767" s="4">
        <v>4247</v>
      </c>
      <c r="B767" s="4">
        <v>30215</v>
      </c>
      <c r="C767" s="5">
        <f>DATE(2012,12,31)-1404</f>
        <v>39870</v>
      </c>
      <c r="D767" s="4" t="s">
        <v>63</v>
      </c>
      <c r="E767" s="4">
        <v>23</v>
      </c>
      <c r="F767" s="4">
        <v>3637.7280000000001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4">C767+2</f>
        <v>39872</v>
      </c>
    </row>
    <row r="768" spans="1:21" ht="12" customHeight="1">
      <c r="A768" s="4">
        <v>4449</v>
      </c>
      <c r="B768" s="4">
        <v>31715</v>
      </c>
      <c r="C768" s="5">
        <f>DATE(2012,12,31)-1452</f>
        <v>39822</v>
      </c>
      <c r="D768" s="4" t="s">
        <v>45</v>
      </c>
      <c r="E768" s="4">
        <v>24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4"/>
        <v>39824</v>
      </c>
    </row>
    <row r="769" spans="1:21" ht="12" customHeight="1">
      <c r="A769" s="4">
        <v>4557</v>
      </c>
      <c r="B769" s="4">
        <v>32420</v>
      </c>
      <c r="C769" s="5">
        <f>DATE(2012,12,31)-1251</f>
        <v>40023</v>
      </c>
      <c r="D769" s="4" t="s">
        <v>63</v>
      </c>
      <c r="E769" s="4">
        <v>19</v>
      </c>
      <c r="F769" s="4">
        <v>5369.46</v>
      </c>
      <c r="G769" s="4">
        <v>7.0000000000000007E-2</v>
      </c>
      <c r="H769" s="4" t="s">
        <v>31</v>
      </c>
      <c r="I769" s="6">
        <v>-439.62</v>
      </c>
      <c r="J769" s="4">
        <v>280.98</v>
      </c>
      <c r="K769" s="4">
        <v>57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4"/>
        <v>40025</v>
      </c>
    </row>
    <row r="770" spans="1:21" ht="12" customHeight="1">
      <c r="A770" s="4">
        <v>4784</v>
      </c>
      <c r="B770" s="4">
        <v>33959</v>
      </c>
      <c r="C770" s="5">
        <f>DATE(2012,12,31)-1249</f>
        <v>40025</v>
      </c>
      <c r="D770" s="4" t="s">
        <v>78</v>
      </c>
      <c r="E770" s="4">
        <v>23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spans="1:21" ht="12" customHeight="1">
      <c r="A771" s="4">
        <v>5265</v>
      </c>
      <c r="B771" s="4">
        <v>37447</v>
      </c>
      <c r="C771" s="5">
        <f>DATE(2012,12,31)-1272</f>
        <v>40002</v>
      </c>
      <c r="D771" s="4" t="s">
        <v>21</v>
      </c>
      <c r="E771" s="4">
        <v>23</v>
      </c>
      <c r="F771" s="4">
        <v>139.44999999999999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spans="1:21" ht="12" customHeight="1">
      <c r="A772" s="4">
        <v>5394</v>
      </c>
      <c r="B772" s="4">
        <v>38341</v>
      </c>
      <c r="C772" s="5">
        <f t="shared" ref="C772:C773" si="325">DATE(2012,12,31)-1323</f>
        <v>39951</v>
      </c>
      <c r="D772" s="4" t="s">
        <v>63</v>
      </c>
      <c r="E772" s="4">
        <v>15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spans="1:21" ht="12" customHeight="1">
      <c r="A773" s="4">
        <v>5395</v>
      </c>
      <c r="B773" s="4">
        <v>38341</v>
      </c>
      <c r="C773" s="5">
        <f t="shared" si="325"/>
        <v>39951</v>
      </c>
      <c r="D773" s="4" t="s">
        <v>63</v>
      </c>
      <c r="E773" s="4">
        <v>5</v>
      </c>
      <c r="F773" s="4">
        <v>64.25</v>
      </c>
      <c r="G773" s="4">
        <v>7.0000000000000007E-2</v>
      </c>
      <c r="H773" s="4" t="s">
        <v>22</v>
      </c>
      <c r="I773" s="6">
        <v>-7.94</v>
      </c>
      <c r="J773" s="4">
        <v>12.28</v>
      </c>
      <c r="K773" s="4">
        <v>4.8600000000000003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spans="1:21" ht="12" customHeight="1">
      <c r="A774" s="4">
        <v>5470</v>
      </c>
      <c r="B774" s="4">
        <v>38882</v>
      </c>
      <c r="C774" s="5">
        <f>DATE(2012,12,31)-1113</f>
        <v>40161</v>
      </c>
      <c r="D774" s="4" t="s">
        <v>78</v>
      </c>
      <c r="E774" s="4">
        <v>40</v>
      </c>
      <c r="F774" s="4">
        <v>2169.4899999999998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4.8499999999999996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spans="1:21" ht="12" customHeight="1">
      <c r="A775" s="4">
        <v>5614</v>
      </c>
      <c r="B775" s="4">
        <v>39780</v>
      </c>
      <c r="C775" s="5">
        <f>DATE(2012,12,31)-1303</f>
        <v>39971</v>
      </c>
      <c r="D775" s="4" t="s">
        <v>21</v>
      </c>
      <c r="E775" s="4">
        <v>48</v>
      </c>
      <c r="F775" s="4">
        <v>2208.31</v>
      </c>
      <c r="G775" s="4">
        <v>0.04</v>
      </c>
      <c r="H775" s="4" t="s">
        <v>22</v>
      </c>
      <c r="I775" s="6">
        <v>569.08000000000004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spans="1:21" ht="12" customHeight="1">
      <c r="A776" s="4">
        <v>5733</v>
      </c>
      <c r="B776" s="4">
        <v>40704</v>
      </c>
      <c r="C776" s="5">
        <f>DATE(2012,12,31)-1454</f>
        <v>39820</v>
      </c>
      <c r="D776" s="4" t="s">
        <v>21</v>
      </c>
      <c r="E776" s="4">
        <v>6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0.56000000000000005</v>
      </c>
      <c r="U776" s="5">
        <f t="shared" ref="U776:U777" si="326">C776+5</f>
        <v>39825</v>
      </c>
    </row>
    <row r="777" spans="1:21" ht="12" customHeight="1">
      <c r="A777" s="4">
        <v>5840</v>
      </c>
      <c r="B777" s="4">
        <v>41415</v>
      </c>
      <c r="C777" s="5">
        <f>DATE(2012,12,31)-1147</f>
        <v>40127</v>
      </c>
      <c r="D777" s="4" t="s">
        <v>21</v>
      </c>
      <c r="E777" s="4">
        <v>10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6"/>
        <v>40132</v>
      </c>
    </row>
    <row r="778" spans="1:21" ht="12" customHeight="1">
      <c r="A778" s="4">
        <v>5898</v>
      </c>
      <c r="B778" s="4">
        <v>41825</v>
      </c>
      <c r="C778" s="5">
        <f>DATE(2012,12,31)-1227</f>
        <v>40047</v>
      </c>
      <c r="D778" s="4" t="s">
        <v>78</v>
      </c>
      <c r="E778" s="4">
        <v>50</v>
      </c>
      <c r="F778" s="4">
        <v>7817.45</v>
      </c>
      <c r="G778" s="4">
        <v>0.03</v>
      </c>
      <c r="H778" s="4" t="s">
        <v>31</v>
      </c>
      <c r="I778" s="6">
        <v>-1303.5999999999999</v>
      </c>
      <c r="J778" s="4">
        <v>150.88999999999999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spans="1:21" ht="12" customHeight="1">
      <c r="A779" s="4">
        <v>6459</v>
      </c>
      <c r="B779" s="4">
        <v>45988</v>
      </c>
      <c r="C779" s="5">
        <f>DATE(2012,12,31)-1217</f>
        <v>40057</v>
      </c>
      <c r="D779" s="4" t="s">
        <v>78</v>
      </c>
      <c r="E779" s="4">
        <v>43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spans="1:21" ht="12" customHeight="1">
      <c r="A780" s="4">
        <v>6980</v>
      </c>
      <c r="B780" s="4">
        <v>49891</v>
      </c>
      <c r="C780" s="5">
        <f>DATE(2012,12,31)-1206</f>
        <v>40068</v>
      </c>
      <c r="D780" s="4" t="s">
        <v>45</v>
      </c>
      <c r="E780" s="4">
        <v>19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spans="1:21" ht="12" customHeight="1">
      <c r="A781" s="4">
        <v>7295</v>
      </c>
      <c r="B781" s="4">
        <v>52006</v>
      </c>
      <c r="C781" s="5">
        <f>DATE(2012,12,31)-1286</f>
        <v>39988</v>
      </c>
      <c r="D781" s="4" t="s">
        <v>63</v>
      </c>
      <c r="E781" s="4">
        <v>42</v>
      </c>
      <c r="F781" s="4">
        <v>375.76</v>
      </c>
      <c r="G781" s="4">
        <v>0</v>
      </c>
      <c r="H781" s="4" t="s">
        <v>22</v>
      </c>
      <c r="I781" s="6">
        <v>-241.63</v>
      </c>
      <c r="J781" s="4">
        <v>8.3699999999999992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7">C781+2</f>
        <v>39990</v>
      </c>
    </row>
    <row r="782" spans="1:21" ht="12" customHeight="1">
      <c r="A782" s="4">
        <v>166</v>
      </c>
      <c r="B782" s="4">
        <v>1031</v>
      </c>
      <c r="C782" s="5">
        <f>DATE(2012,12,31)-1218</f>
        <v>40056</v>
      </c>
      <c r="D782" s="4" t="s">
        <v>63</v>
      </c>
      <c r="E782" s="4">
        <v>34</v>
      </c>
      <c r="F782" s="4">
        <v>226.1</v>
      </c>
      <c r="G782" s="4">
        <v>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7"/>
        <v>40058</v>
      </c>
    </row>
    <row r="783" spans="1:21" ht="12" customHeight="1">
      <c r="A783" s="4">
        <v>311</v>
      </c>
      <c r="B783" s="4">
        <v>2150</v>
      </c>
      <c r="C783" s="5">
        <f>DATE(2012,12,31)-1308</f>
        <v>39966</v>
      </c>
      <c r="D783" s="4" t="s">
        <v>63</v>
      </c>
      <c r="E783" s="4">
        <v>21</v>
      </c>
      <c r="F783" s="4">
        <v>3905.75</v>
      </c>
      <c r="G783" s="4">
        <v>0.01</v>
      </c>
      <c r="H783" s="4" t="s">
        <v>31</v>
      </c>
      <c r="I783" s="6">
        <v>55.301850000000002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7"/>
        <v>39968</v>
      </c>
    </row>
    <row r="784" spans="1:21" ht="12" customHeight="1">
      <c r="A784" s="4">
        <v>320</v>
      </c>
      <c r="B784" s="4">
        <v>2211</v>
      </c>
      <c r="C784" s="5">
        <f t="shared" ref="C784:C786" si="328">DATE(2012,12,31)-1281</f>
        <v>39993</v>
      </c>
      <c r="D784" s="4" t="s">
        <v>30</v>
      </c>
      <c r="E784" s="4">
        <v>22</v>
      </c>
      <c r="F784" s="4">
        <v>1651.09</v>
      </c>
      <c r="G784" s="4">
        <v>0.05</v>
      </c>
      <c r="H784" s="4" t="s">
        <v>22</v>
      </c>
      <c r="I784" s="6">
        <v>-2.3800000000000239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spans="1:21" ht="12" customHeight="1">
      <c r="A785" s="4">
        <v>321</v>
      </c>
      <c r="B785" s="4">
        <v>2211</v>
      </c>
      <c r="C785" s="5">
        <f t="shared" si="328"/>
        <v>39993</v>
      </c>
      <c r="D785" s="4" t="s">
        <v>30</v>
      </c>
      <c r="E785" s="4">
        <v>14</v>
      </c>
      <c r="F785" s="4">
        <v>95.89</v>
      </c>
      <c r="G785" s="4">
        <v>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29">C785+2</f>
        <v>39995</v>
      </c>
    </row>
    <row r="786" spans="1:21" ht="12" customHeight="1">
      <c r="A786" s="4">
        <v>322</v>
      </c>
      <c r="B786" s="4">
        <v>2211</v>
      </c>
      <c r="C786" s="5">
        <f t="shared" si="328"/>
        <v>39993</v>
      </c>
      <c r="D786" s="4" t="s">
        <v>30</v>
      </c>
      <c r="E786" s="4">
        <v>23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29"/>
        <v>39995</v>
      </c>
    </row>
    <row r="787" spans="1:21" ht="12" customHeight="1">
      <c r="A787" s="4">
        <v>345</v>
      </c>
      <c r="B787" s="4">
        <v>2370</v>
      </c>
      <c r="C787" s="5">
        <f t="shared" ref="C787:C788" si="330">DATE(2012,12,31)-1445</f>
        <v>39829</v>
      </c>
      <c r="D787" s="4" t="s">
        <v>78</v>
      </c>
      <c r="E787" s="4">
        <v>6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29"/>
        <v>39831</v>
      </c>
    </row>
    <row r="788" spans="1:21" ht="12" customHeight="1">
      <c r="A788" s="4">
        <v>346</v>
      </c>
      <c r="B788" s="4">
        <v>2370</v>
      </c>
      <c r="C788" s="5">
        <f t="shared" si="330"/>
        <v>39829</v>
      </c>
      <c r="D788" s="4" t="s">
        <v>78</v>
      </c>
      <c r="E788" s="4">
        <v>30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29"/>
        <v>39831</v>
      </c>
    </row>
    <row r="789" spans="1:21" ht="12" customHeight="1">
      <c r="A789" s="4">
        <v>462</v>
      </c>
      <c r="B789" s="4">
        <v>3138</v>
      </c>
      <c r="C789" s="5">
        <f>DATE(2012,12,31)-1422</f>
        <v>39852</v>
      </c>
      <c r="D789" s="4" t="s">
        <v>45</v>
      </c>
      <c r="E789" s="4">
        <v>4</v>
      </c>
      <c r="F789" s="4">
        <v>718.03</v>
      </c>
      <c r="G789" s="4">
        <v>7.0000000000000007E-2</v>
      </c>
      <c r="H789" s="4" t="s">
        <v>56</v>
      </c>
      <c r="I789" s="6">
        <v>-427.47</v>
      </c>
      <c r="J789" s="4">
        <v>179.99</v>
      </c>
      <c r="K789" s="4">
        <v>19.989999999999998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spans="1:21" ht="12" customHeight="1">
      <c r="A790" s="4">
        <v>675</v>
      </c>
      <c r="B790" s="4">
        <v>4708</v>
      </c>
      <c r="C790" s="5">
        <f>DATE(2012,12,31)-1188</f>
        <v>40086</v>
      </c>
      <c r="D790" s="4" t="s">
        <v>78</v>
      </c>
      <c r="E790" s="4">
        <v>29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spans="1:21" ht="12" customHeight="1">
      <c r="A791" s="4">
        <v>720</v>
      </c>
      <c r="B791" s="4">
        <v>5155</v>
      </c>
      <c r="C791" s="5">
        <f>DATE(2012,12,31)-1299</f>
        <v>39975</v>
      </c>
      <c r="D791" s="4" t="s">
        <v>30</v>
      </c>
      <c r="E791" s="4">
        <v>14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39.979999999999997</v>
      </c>
      <c r="K791" s="4">
        <v>4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spans="1:21" ht="12" customHeight="1">
      <c r="A792" s="4">
        <v>898</v>
      </c>
      <c r="B792" s="4">
        <v>6464</v>
      </c>
      <c r="C792" s="5">
        <f t="shared" ref="C792:C793" si="331">DATE(2012,12,31)-1313</f>
        <v>39961</v>
      </c>
      <c r="D792" s="4" t="s">
        <v>63</v>
      </c>
      <c r="E792" s="4">
        <v>1</v>
      </c>
      <c r="F792" s="4">
        <v>57.84</v>
      </c>
      <c r="G792" s="4">
        <v>7.0000000000000007E-2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0.56000000000000005</v>
      </c>
      <c r="U792" s="5">
        <f t="shared" ref="U792:U793" si="332">C792+2</f>
        <v>39963</v>
      </c>
    </row>
    <row r="793" spans="1:21" ht="12" customHeight="1">
      <c r="A793" s="4">
        <v>899</v>
      </c>
      <c r="B793" s="4">
        <v>6464</v>
      </c>
      <c r="C793" s="5">
        <f t="shared" si="331"/>
        <v>39961</v>
      </c>
      <c r="D793" s="4" t="s">
        <v>63</v>
      </c>
      <c r="E793" s="4">
        <v>42</v>
      </c>
      <c r="F793" s="4">
        <v>3991.99</v>
      </c>
      <c r="G793" s="4">
        <v>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2"/>
        <v>39963</v>
      </c>
    </row>
    <row r="794" spans="1:21" ht="12" customHeight="1">
      <c r="A794" s="4">
        <v>1270</v>
      </c>
      <c r="B794" s="4">
        <v>9248</v>
      </c>
      <c r="C794" s="5">
        <f>DATE(2012,12,31)-1104</f>
        <v>40170</v>
      </c>
      <c r="D794" s="4" t="s">
        <v>45</v>
      </c>
      <c r="E794" s="4">
        <v>41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spans="1:21" ht="12" customHeight="1">
      <c r="A795" s="4">
        <v>1333</v>
      </c>
      <c r="B795" s="4">
        <v>9733</v>
      </c>
      <c r="C795" s="5">
        <f>DATE(2012,12,31)-1385</f>
        <v>39889</v>
      </c>
      <c r="D795" s="4" t="s">
        <v>45</v>
      </c>
      <c r="E795" s="4">
        <v>39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spans="1:21" ht="12" customHeight="1">
      <c r="A796" s="4">
        <v>1472</v>
      </c>
      <c r="B796" s="4">
        <v>10629</v>
      </c>
      <c r="C796" s="5">
        <f t="shared" ref="C796:C797" si="333">DATE(2012,12,31)-1207</f>
        <v>40067</v>
      </c>
      <c r="D796" s="4" t="s">
        <v>78</v>
      </c>
      <c r="E796" s="4">
        <v>39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8.3699999999999992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4">C796+2</f>
        <v>40069</v>
      </c>
    </row>
    <row r="797" spans="1:21" ht="12" customHeight="1">
      <c r="A797" s="4">
        <v>1473</v>
      </c>
      <c r="B797" s="4">
        <v>10629</v>
      </c>
      <c r="C797" s="5">
        <f t="shared" si="333"/>
        <v>40067</v>
      </c>
      <c r="D797" s="4" t="s">
        <v>78</v>
      </c>
      <c r="E797" s="4">
        <v>14</v>
      </c>
      <c r="F797" s="4">
        <v>98.37</v>
      </c>
      <c r="G797" s="4">
        <v>0.09</v>
      </c>
      <c r="H797" s="4" t="s">
        <v>56</v>
      </c>
      <c r="I797" s="6">
        <v>-76.540000000000006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4"/>
        <v>40069</v>
      </c>
    </row>
    <row r="798" spans="1:21" ht="12" customHeight="1">
      <c r="A798" s="4">
        <v>1914</v>
      </c>
      <c r="B798" s="4">
        <v>13729</v>
      </c>
      <c r="C798" s="5">
        <f>DATE(2012,12,31)-1460</f>
        <v>39814</v>
      </c>
      <c r="D798" s="4" t="s">
        <v>45</v>
      </c>
      <c r="E798" s="4">
        <v>9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4"/>
        <v>39816</v>
      </c>
    </row>
    <row r="799" spans="1:21" ht="12" customHeight="1">
      <c r="A799" s="4">
        <v>2641</v>
      </c>
      <c r="B799" s="4">
        <v>19111</v>
      </c>
      <c r="C799" s="5">
        <f>DATE(2012,12,31)-1184</f>
        <v>40090</v>
      </c>
      <c r="D799" s="4" t="s">
        <v>21</v>
      </c>
      <c r="E799" s="4">
        <v>24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spans="1:21" ht="12" customHeight="1">
      <c r="A800" s="4">
        <v>2904</v>
      </c>
      <c r="B800" s="4">
        <v>20965</v>
      </c>
      <c r="C800" s="5">
        <f t="shared" ref="C800:C801" si="335">DATE(2012,12,31)-1107</f>
        <v>40167</v>
      </c>
      <c r="D800" s="4" t="s">
        <v>78</v>
      </c>
      <c r="E800" s="4">
        <v>38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9.7100000000000009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0.56999999999999995</v>
      </c>
      <c r="U800" s="5">
        <f t="shared" ref="U800:U801" si="336">C800+3</f>
        <v>40170</v>
      </c>
    </row>
    <row r="801" spans="1:21" ht="12" customHeight="1">
      <c r="A801" s="4">
        <v>2905</v>
      </c>
      <c r="B801" s="4">
        <v>20965</v>
      </c>
      <c r="C801" s="5">
        <f t="shared" si="335"/>
        <v>40167</v>
      </c>
      <c r="D801" s="4" t="s">
        <v>78</v>
      </c>
      <c r="E801" s="4">
        <v>8</v>
      </c>
      <c r="F801" s="4">
        <v>1264.2304999999999</v>
      </c>
      <c r="G801" s="4">
        <v>7.0000000000000007E-2</v>
      </c>
      <c r="H801" s="4" t="s">
        <v>22</v>
      </c>
      <c r="I801" s="6">
        <v>-444.68599999999998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0.56000000000000005</v>
      </c>
      <c r="U801" s="5">
        <f t="shared" si="336"/>
        <v>40170</v>
      </c>
    </row>
    <row r="802" spans="1:21" ht="12" customHeight="1">
      <c r="A802" s="4">
        <v>3255</v>
      </c>
      <c r="B802" s="4">
        <v>23303</v>
      </c>
      <c r="C802" s="5">
        <f>DATE(2012,12,31)-1290</f>
        <v>39984</v>
      </c>
      <c r="D802" s="4" t="s">
        <v>45</v>
      </c>
      <c r="E802" s="4">
        <v>39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spans="1:21" ht="12" customHeight="1">
      <c r="A803" s="4">
        <v>3274</v>
      </c>
      <c r="B803" s="4">
        <v>23398</v>
      </c>
      <c r="C803" s="5">
        <f>DATE(2012,12,31)-1389</f>
        <v>39885</v>
      </c>
      <c r="D803" s="4" t="s">
        <v>63</v>
      </c>
      <c r="E803" s="4">
        <v>19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spans="1:21" ht="12" customHeight="1">
      <c r="A804" s="4">
        <v>3928</v>
      </c>
      <c r="B804" s="4">
        <v>28002</v>
      </c>
      <c r="C804" s="5">
        <f>DATE(2012,12,31)-1178</f>
        <v>40096</v>
      </c>
      <c r="D804" s="4" t="s">
        <v>78</v>
      </c>
      <c r="E804" s="4">
        <v>5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spans="1:21" ht="12" customHeight="1">
      <c r="A805" s="4">
        <v>4175</v>
      </c>
      <c r="B805" s="4">
        <v>29633</v>
      </c>
      <c r="C805" s="5">
        <f>DATE(2012,12,31)-1288</f>
        <v>39986</v>
      </c>
      <c r="D805" s="4" t="s">
        <v>78</v>
      </c>
      <c r="E805" s="4">
        <v>11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7">C805+1</f>
        <v>39987</v>
      </c>
    </row>
    <row r="806" spans="1:21" ht="12" customHeight="1">
      <c r="A806" s="4">
        <v>5302</v>
      </c>
      <c r="B806" s="4">
        <v>37760</v>
      </c>
      <c r="C806" s="5">
        <f t="shared" ref="C806:C807" si="338">DATE(2012,12,31)-1235</f>
        <v>40039</v>
      </c>
      <c r="D806" s="4" t="s">
        <v>30</v>
      </c>
      <c r="E806" s="4">
        <v>18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7"/>
        <v>40040</v>
      </c>
    </row>
    <row r="807" spans="1:21" ht="12" customHeight="1">
      <c r="A807" s="4">
        <v>5303</v>
      </c>
      <c r="B807" s="4">
        <v>37760</v>
      </c>
      <c r="C807" s="5">
        <f t="shared" si="338"/>
        <v>40039</v>
      </c>
      <c r="D807" s="4" t="s">
        <v>30</v>
      </c>
      <c r="E807" s="4">
        <v>38</v>
      </c>
      <c r="F807" s="4">
        <v>2773.0314999999996</v>
      </c>
      <c r="G807" s="4">
        <v>0.04</v>
      </c>
      <c r="H807" s="4" t="s">
        <v>22</v>
      </c>
      <c r="I807" s="6">
        <v>897.86699999999996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0.55000000000000004</v>
      </c>
      <c r="U807" s="5">
        <f>C807+2</f>
        <v>40041</v>
      </c>
    </row>
    <row r="808" spans="1:21" ht="12" customHeight="1">
      <c r="A808" s="4">
        <v>6122</v>
      </c>
      <c r="B808" s="4">
        <v>43362</v>
      </c>
      <c r="C808" s="5">
        <f t="shared" ref="C808:C809" si="339">DATE(2012,12,31)-1449</f>
        <v>39825</v>
      </c>
      <c r="D808" s="4" t="s">
        <v>78</v>
      </c>
      <c r="E808" s="4">
        <v>45</v>
      </c>
      <c r="F808" s="4">
        <v>15963.09</v>
      </c>
      <c r="G808" s="4">
        <v>0.03</v>
      </c>
      <c r="H808" s="4" t="s">
        <v>31</v>
      </c>
      <c r="I808" s="6">
        <v>4276.7299999999996</v>
      </c>
      <c r="J808" s="4">
        <v>350.98</v>
      </c>
      <c r="K808" s="4">
        <v>30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spans="1:21" ht="12" customHeight="1">
      <c r="A809" s="4">
        <v>6123</v>
      </c>
      <c r="B809" s="4">
        <v>43362</v>
      </c>
      <c r="C809" s="5">
        <f t="shared" si="339"/>
        <v>39825</v>
      </c>
      <c r="D809" s="4" t="s">
        <v>78</v>
      </c>
      <c r="E809" s="4">
        <v>33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0">C809+2</f>
        <v>39827</v>
      </c>
    </row>
    <row r="810" spans="1:21" ht="12" customHeight="1">
      <c r="A810" s="4">
        <v>6232</v>
      </c>
      <c r="B810" s="4">
        <v>44134</v>
      </c>
      <c r="C810" s="5">
        <f>DATE(2012,12,31)-1158</f>
        <v>40116</v>
      </c>
      <c r="D810" s="4" t="s">
        <v>30</v>
      </c>
      <c r="E810" s="4">
        <v>35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17.670000000000002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0"/>
        <v>40118</v>
      </c>
    </row>
    <row r="811" spans="1:21" ht="12" customHeight="1">
      <c r="A811" s="4">
        <v>6235</v>
      </c>
      <c r="B811" s="4">
        <v>44196</v>
      </c>
      <c r="C811" s="5">
        <f>DATE(2012,12,31)-1227</f>
        <v>40047</v>
      </c>
      <c r="D811" s="4" t="s">
        <v>45</v>
      </c>
      <c r="E811" s="4">
        <v>12</v>
      </c>
      <c r="F811" s="4">
        <v>653.78599999999994</v>
      </c>
      <c r="G811" s="4">
        <v>0.09</v>
      </c>
      <c r="H811" s="4" t="s">
        <v>22</v>
      </c>
      <c r="I811" s="6">
        <v>-83.467999999999989</v>
      </c>
      <c r="J811" s="4">
        <v>65.989999999999995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0.56999999999999995</v>
      </c>
      <c r="U811" s="5">
        <f>C811+1</f>
        <v>40048</v>
      </c>
    </row>
    <row r="812" spans="1:21" ht="12" customHeight="1">
      <c r="A812" s="4">
        <v>6756</v>
      </c>
      <c r="B812" s="4">
        <v>48135</v>
      </c>
      <c r="C812" s="5">
        <f>DATE(2012,12,31)-1352</f>
        <v>39922</v>
      </c>
      <c r="D812" s="4" t="s">
        <v>30</v>
      </c>
      <c r="E812" s="4">
        <v>20</v>
      </c>
      <c r="F812" s="4">
        <v>3960.99</v>
      </c>
      <c r="G812" s="4">
        <v>0.09</v>
      </c>
      <c r="H812" s="4" t="s">
        <v>56</v>
      </c>
      <c r="I812" s="6">
        <v>631.33000000000004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spans="1:21" ht="12" customHeight="1">
      <c r="A813" s="4">
        <v>7241</v>
      </c>
      <c r="B813" s="4">
        <v>51623</v>
      </c>
      <c r="C813" s="5">
        <f>DATE(2012,12,31)-1448</f>
        <v>39826</v>
      </c>
      <c r="D813" s="4" t="s">
        <v>78</v>
      </c>
      <c r="E813" s="4">
        <v>17</v>
      </c>
      <c r="F813" s="4">
        <v>39.229999999999997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spans="1:21" ht="12" customHeight="1">
      <c r="A814" s="4">
        <v>7338</v>
      </c>
      <c r="B814" s="4">
        <v>52291</v>
      </c>
      <c r="C814" s="5">
        <f t="shared" ref="C814:C815" si="341">DATE(2012,12,31)-1159</f>
        <v>40115</v>
      </c>
      <c r="D814" s="4" t="s">
        <v>78</v>
      </c>
      <c r="E814" s="4">
        <v>48</v>
      </c>
      <c r="F814" s="4">
        <v>287.54000000000002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spans="1:21" ht="12" customHeight="1">
      <c r="A815" s="4">
        <v>7339</v>
      </c>
      <c r="B815" s="4">
        <v>52291</v>
      </c>
      <c r="C815" s="5">
        <f t="shared" si="341"/>
        <v>40115</v>
      </c>
      <c r="D815" s="4" t="s">
        <v>78</v>
      </c>
      <c r="E815" s="4">
        <v>5</v>
      </c>
      <c r="F815" s="4">
        <v>88.314999999999998</v>
      </c>
      <c r="G815" s="4">
        <v>0.01</v>
      </c>
      <c r="H815" s="4" t="s">
        <v>22</v>
      </c>
      <c r="I815" s="6">
        <v>-72.401999999999987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0.56999999999999995</v>
      </c>
      <c r="U815" s="5">
        <f t="shared" ref="U815:U816" si="342">C815+1</f>
        <v>40116</v>
      </c>
    </row>
    <row r="816" spans="1:21" ht="12" customHeight="1">
      <c r="A816" s="4">
        <v>7820</v>
      </c>
      <c r="B816" s="4">
        <v>55908</v>
      </c>
      <c r="C816" s="5">
        <f>DATE(2012,12,31)-1318</f>
        <v>39956</v>
      </c>
      <c r="D816" s="4" t="s">
        <v>30</v>
      </c>
      <c r="E816" s="4">
        <v>44</v>
      </c>
      <c r="F816" s="4">
        <v>1844.97</v>
      </c>
      <c r="G816" s="4">
        <v>0.03</v>
      </c>
      <c r="H816" s="4" t="s">
        <v>22</v>
      </c>
      <c r="I816" s="6">
        <v>807.38100000000009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2"/>
        <v>39957</v>
      </c>
    </row>
    <row r="817" spans="1:21" ht="12" customHeight="1">
      <c r="A817" s="4">
        <v>8137</v>
      </c>
      <c r="B817" s="4">
        <v>58151</v>
      </c>
      <c r="C817" s="5">
        <f t="shared" ref="C817:C818" si="343">DATE(2012,12,31)-1189</f>
        <v>40085</v>
      </c>
      <c r="D817" s="4" t="s">
        <v>30</v>
      </c>
      <c r="E817" s="4">
        <v>33</v>
      </c>
      <c r="F817" s="4">
        <v>211.48</v>
      </c>
      <c r="G817" s="4">
        <v>0.1</v>
      </c>
      <c r="H817" s="4" t="s">
        <v>22</v>
      </c>
      <c r="I817" s="6">
        <v>18.147500000000001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4">C817+0</f>
        <v>40085</v>
      </c>
    </row>
    <row r="818" spans="1:21" ht="12" customHeight="1">
      <c r="A818" s="4">
        <v>8138</v>
      </c>
      <c r="B818" s="4">
        <v>58151</v>
      </c>
      <c r="C818" s="5">
        <f t="shared" si="343"/>
        <v>40085</v>
      </c>
      <c r="D818" s="4" t="s">
        <v>30</v>
      </c>
      <c r="E818" s="4">
        <v>38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142.86000000000001</v>
      </c>
      <c r="K818" s="4">
        <v>19.989999999999998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0.56000000000000005</v>
      </c>
      <c r="U818" s="5">
        <f t="shared" si="344"/>
        <v>40085</v>
      </c>
    </row>
    <row r="819" spans="1:21" ht="12" customHeight="1">
      <c r="A819" s="4">
        <v>8216</v>
      </c>
      <c r="B819" s="4">
        <v>58727</v>
      </c>
      <c r="C819" s="5">
        <f>DATE(2012,12,31)-1274</f>
        <v>40000</v>
      </c>
      <c r="D819" s="4" t="s">
        <v>63</v>
      </c>
      <c r="E819" s="4">
        <v>20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5">C819+1</f>
        <v>40001</v>
      </c>
    </row>
    <row r="820" spans="1:21" ht="12" customHeight="1">
      <c r="A820" s="4">
        <v>663</v>
      </c>
      <c r="B820" s="4">
        <v>4647</v>
      </c>
      <c r="C820" s="5">
        <f>DATE(2012,12,31)-1328</f>
        <v>39946</v>
      </c>
      <c r="D820" s="4" t="s">
        <v>63</v>
      </c>
      <c r="E820" s="4">
        <v>34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0.56000000000000005</v>
      </c>
      <c r="U820" s="5">
        <f t="shared" si="345"/>
        <v>39947</v>
      </c>
    </row>
    <row r="821" spans="1:21" ht="12" customHeight="1">
      <c r="A821" s="4">
        <v>1158</v>
      </c>
      <c r="B821" s="4">
        <v>8422</v>
      </c>
      <c r="C821" s="5">
        <f>DATE(2012,12,31)-1357</f>
        <v>39917</v>
      </c>
      <c r="D821" s="4" t="s">
        <v>63</v>
      </c>
      <c r="E821" s="4">
        <v>33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spans="1:21" ht="12" customHeight="1">
      <c r="A822" s="4">
        <v>1859</v>
      </c>
      <c r="B822" s="4">
        <v>13378</v>
      </c>
      <c r="C822" s="5">
        <f>DATE(2012,12,31)-1197</f>
        <v>40077</v>
      </c>
      <c r="D822" s="4" t="s">
        <v>21</v>
      </c>
      <c r="E822" s="4">
        <v>16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0.55000000000000004</v>
      </c>
      <c r="U822" s="5">
        <f>C822+5</f>
        <v>40082</v>
      </c>
    </row>
    <row r="823" spans="1:21" ht="12" customHeight="1">
      <c r="A823" s="4">
        <v>1932</v>
      </c>
      <c r="B823" s="4">
        <v>13824</v>
      </c>
      <c r="C823" s="5">
        <f>DATE(2012,12,31)-1100</f>
        <v>40174</v>
      </c>
      <c r="D823" s="4" t="s">
        <v>21</v>
      </c>
      <c r="E823" s="4">
        <v>19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spans="1:21" ht="12" customHeight="1">
      <c r="A824" s="4">
        <v>3927</v>
      </c>
      <c r="B824" s="4">
        <v>28001</v>
      </c>
      <c r="C824" s="5">
        <f>DATE(2012,12,31)-1296</f>
        <v>39978</v>
      </c>
      <c r="D824" s="4" t="s">
        <v>78</v>
      </c>
      <c r="E824" s="4">
        <v>21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6">C824+2</f>
        <v>39980</v>
      </c>
    </row>
    <row r="825" spans="1:21" ht="12" customHeight="1">
      <c r="A825" s="4">
        <v>3950</v>
      </c>
      <c r="B825" s="4">
        <v>28161</v>
      </c>
      <c r="C825" s="5">
        <f>DATE(2012,12,31)-1295</f>
        <v>39979</v>
      </c>
      <c r="D825" s="4" t="s">
        <v>45</v>
      </c>
      <c r="E825" s="4">
        <v>15</v>
      </c>
      <c r="F825" s="4">
        <v>5028.3100000000004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6"/>
        <v>39981</v>
      </c>
    </row>
    <row r="826" spans="1:21" ht="12" customHeight="1">
      <c r="A826" s="4">
        <v>4132</v>
      </c>
      <c r="B826" s="4">
        <v>29350</v>
      </c>
      <c r="C826" s="5">
        <f>DATE(2012,12,31)-1224</f>
        <v>40050</v>
      </c>
      <c r="D826" s="4" t="s">
        <v>30</v>
      </c>
      <c r="E826" s="4">
        <v>10</v>
      </c>
      <c r="F826" s="4">
        <v>150.33000000000001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spans="1:21" ht="12" customHeight="1">
      <c r="A827" s="4">
        <v>5267</v>
      </c>
      <c r="B827" s="4">
        <v>37473</v>
      </c>
      <c r="C827" s="5">
        <f>DATE(2012,12,31)-1187</f>
        <v>40087</v>
      </c>
      <c r="D827" s="4" t="s">
        <v>21</v>
      </c>
      <c r="E827" s="4">
        <v>8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spans="1:21" ht="12" customHeight="1">
      <c r="A828" s="4">
        <v>5706</v>
      </c>
      <c r="B828" s="4">
        <v>40356</v>
      </c>
      <c r="C828" s="5">
        <f>DATE(2012,12,31)-1108</f>
        <v>40166</v>
      </c>
      <c r="D828" s="4" t="s">
        <v>45</v>
      </c>
      <c r="E828" s="4">
        <v>48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4.0599999999999996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spans="1:21" ht="12" customHeight="1">
      <c r="A829" s="4">
        <v>6014</v>
      </c>
      <c r="B829" s="4">
        <v>42599</v>
      </c>
      <c r="C829" s="5">
        <f>DATE(2012,12,31)-1365</f>
        <v>39909</v>
      </c>
      <c r="D829" s="4" t="s">
        <v>63</v>
      </c>
      <c r="E829" s="4">
        <v>31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0.55000000000000004</v>
      </c>
      <c r="U829" s="5">
        <f t="shared" ref="U829:U830" si="347">C829+1</f>
        <v>39910</v>
      </c>
    </row>
    <row r="830" spans="1:21" ht="12" customHeight="1">
      <c r="A830" s="4">
        <v>6691</v>
      </c>
      <c r="B830" s="4">
        <v>47617</v>
      </c>
      <c r="C830" s="5">
        <f>DATE(2012,12,31)-1119</f>
        <v>40155</v>
      </c>
      <c r="D830" s="4" t="s">
        <v>45</v>
      </c>
      <c r="E830" s="4">
        <v>17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19.989999999999998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7"/>
        <v>40156</v>
      </c>
    </row>
    <row r="831" spans="1:21" ht="12" customHeight="1">
      <c r="A831" s="4">
        <v>6880</v>
      </c>
      <c r="B831" s="4">
        <v>49056</v>
      </c>
      <c r="C831" s="5">
        <f>DATE(2012,12,31)-1187</f>
        <v>40087</v>
      </c>
      <c r="D831" s="4" t="s">
        <v>30</v>
      </c>
      <c r="E831" s="4">
        <v>46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8">C831+2</f>
        <v>40089</v>
      </c>
    </row>
    <row r="832" spans="1:21" ht="12" customHeight="1">
      <c r="A832" s="4">
        <v>220</v>
      </c>
      <c r="B832" s="4">
        <v>1444</v>
      </c>
      <c r="C832" s="5">
        <f>DATE(2012,12,31)-1122</f>
        <v>40152</v>
      </c>
      <c r="D832" s="4" t="s">
        <v>63</v>
      </c>
      <c r="E832" s="4">
        <v>24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17.149999999999999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0.57999999999999996</v>
      </c>
      <c r="U832" s="5">
        <f t="shared" si="348"/>
        <v>40154</v>
      </c>
    </row>
    <row r="833" spans="1:21" ht="12" customHeight="1">
      <c r="A833" s="4">
        <v>284</v>
      </c>
      <c r="B833" s="4">
        <v>1985</v>
      </c>
      <c r="C833" s="5">
        <f>DATE(2012,12,31)-1217</f>
        <v>40057</v>
      </c>
      <c r="D833" s="4" t="s">
        <v>45</v>
      </c>
      <c r="E833" s="4">
        <v>1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8"/>
        <v>40059</v>
      </c>
    </row>
    <row r="834" spans="1:21" ht="12" customHeight="1">
      <c r="A834" s="4">
        <v>495</v>
      </c>
      <c r="B834" s="4">
        <v>3397</v>
      </c>
      <c r="C834" s="5">
        <f>DATE(2012,12,31)-1288</f>
        <v>39986</v>
      </c>
      <c r="D834" s="4" t="s">
        <v>63</v>
      </c>
      <c r="E834" s="4">
        <v>11</v>
      </c>
      <c r="F834" s="4">
        <v>30.61</v>
      </c>
      <c r="G834" s="4">
        <v>0.09</v>
      </c>
      <c r="H834" s="4" t="s">
        <v>22</v>
      </c>
      <c r="I834" s="6">
        <v>-3.3809999999999998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49">C834+1</f>
        <v>39987</v>
      </c>
    </row>
    <row r="835" spans="1:21" ht="12" customHeight="1">
      <c r="A835" s="4">
        <v>1003</v>
      </c>
      <c r="B835" s="4">
        <v>7297</v>
      </c>
      <c r="C835" s="5">
        <f>DATE(2012,12,31)-1204</f>
        <v>40070</v>
      </c>
      <c r="D835" s="4" t="s">
        <v>30</v>
      </c>
      <c r="E835" s="4">
        <v>7</v>
      </c>
      <c r="F835" s="4">
        <v>296.83999999999997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0.55000000000000004</v>
      </c>
      <c r="U835" s="5">
        <f t="shared" si="349"/>
        <v>40071</v>
      </c>
    </row>
    <row r="836" spans="1:21" ht="12" customHeight="1">
      <c r="A836" s="4">
        <v>1314</v>
      </c>
      <c r="B836" s="4">
        <v>9635</v>
      </c>
      <c r="C836" s="5">
        <f>DATE(2012,12,31)-1358</f>
        <v>39916</v>
      </c>
      <c r="D836" s="4" t="s">
        <v>78</v>
      </c>
      <c r="E836" s="4">
        <v>1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spans="1:21" ht="12" customHeight="1">
      <c r="A837" s="4">
        <v>1971</v>
      </c>
      <c r="B837" s="4">
        <v>14112</v>
      </c>
      <c r="C837" s="5">
        <f>DATE(2012,12,31)-1256</f>
        <v>40018</v>
      </c>
      <c r="D837" s="4" t="s">
        <v>21</v>
      </c>
      <c r="E837" s="4">
        <v>1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0.57999999999999996</v>
      </c>
      <c r="U837" s="5">
        <f>C837+0</f>
        <v>40018</v>
      </c>
    </row>
    <row r="838" spans="1:21" ht="12" customHeight="1">
      <c r="A838" s="4">
        <v>1974</v>
      </c>
      <c r="B838" s="4">
        <v>14114</v>
      </c>
      <c r="C838" s="5">
        <f t="shared" ref="C838:C839" si="350">DATE(2012,12,31)-1365</f>
        <v>39909</v>
      </c>
      <c r="D838" s="4" t="s">
        <v>78</v>
      </c>
      <c r="E838" s="4">
        <v>38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spans="1:21" ht="12" customHeight="1">
      <c r="A839" s="4">
        <v>1975</v>
      </c>
      <c r="B839" s="4">
        <v>14114</v>
      </c>
      <c r="C839" s="5">
        <f t="shared" si="350"/>
        <v>39909</v>
      </c>
      <c r="D839" s="4" t="s">
        <v>78</v>
      </c>
      <c r="E839" s="4">
        <v>41</v>
      </c>
      <c r="F839" s="4">
        <v>241.9</v>
      </c>
      <c r="G839" s="4">
        <v>0.05</v>
      </c>
      <c r="H839" s="4" t="s">
        <v>22</v>
      </c>
      <c r="I839" s="6">
        <v>-136.69999999999999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0.55000000000000004</v>
      </c>
      <c r="U839" s="5">
        <f>C839+0</f>
        <v>39909</v>
      </c>
    </row>
    <row r="840" spans="1:21" ht="12" customHeight="1">
      <c r="A840" s="4">
        <v>2849</v>
      </c>
      <c r="B840" s="4">
        <v>20518</v>
      </c>
      <c r="C840" s="5">
        <f t="shared" ref="C840:C841" si="351">DATE(2012,12,31)-1183</f>
        <v>40091</v>
      </c>
      <c r="D840" s="4" t="s">
        <v>78</v>
      </c>
      <c r="E840" s="4">
        <v>49</v>
      </c>
      <c r="F840" s="4">
        <v>8252.360999999999</v>
      </c>
      <c r="G840" s="4">
        <v>7.0000000000000007E-2</v>
      </c>
      <c r="H840" s="4" t="s">
        <v>22</v>
      </c>
      <c r="I840" s="6">
        <v>2418.5610000000001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2">C840+1</f>
        <v>40092</v>
      </c>
    </row>
    <row r="841" spans="1:21" ht="12" customHeight="1">
      <c r="A841" s="4">
        <v>2850</v>
      </c>
      <c r="B841" s="4">
        <v>20518</v>
      </c>
      <c r="C841" s="5">
        <f t="shared" si="351"/>
        <v>40091</v>
      </c>
      <c r="D841" s="4" t="s">
        <v>78</v>
      </c>
      <c r="E841" s="4">
        <v>7</v>
      </c>
      <c r="F841" s="4">
        <v>2205.84</v>
      </c>
      <c r="G841" s="4">
        <v>0.01</v>
      </c>
      <c r="H841" s="4" t="s">
        <v>31</v>
      </c>
      <c r="I841" s="6">
        <v>-313.13040000000001</v>
      </c>
      <c r="J841" s="4">
        <v>297.48</v>
      </c>
      <c r="K841" s="4">
        <v>18.059999999999999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2"/>
        <v>40092</v>
      </c>
    </row>
    <row r="842" spans="1:21" ht="12" customHeight="1">
      <c r="A842" s="4">
        <v>2897</v>
      </c>
      <c r="B842" s="4">
        <v>20903</v>
      </c>
      <c r="C842" s="5">
        <f>DATE(2012,12,31)-1321</f>
        <v>39953</v>
      </c>
      <c r="D842" s="4" t="s">
        <v>30</v>
      </c>
      <c r="E842" s="4">
        <v>4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35.840000000000003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2"/>
        <v>39954</v>
      </c>
    </row>
    <row r="843" spans="1:21" ht="12" customHeight="1">
      <c r="A843" s="4">
        <v>3458</v>
      </c>
      <c r="B843" s="4">
        <v>24644</v>
      </c>
      <c r="C843" s="5">
        <f>DATE(2012,12,31)-1252</f>
        <v>40022</v>
      </c>
      <c r="D843" s="4" t="s">
        <v>78</v>
      </c>
      <c r="E843" s="4">
        <v>40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0.56000000000000005</v>
      </c>
      <c r="U843" s="5">
        <f>C843+2</f>
        <v>40024</v>
      </c>
    </row>
    <row r="844" spans="1:21" ht="12" customHeight="1">
      <c r="A844" s="4">
        <v>3570</v>
      </c>
      <c r="B844" s="4">
        <v>25472</v>
      </c>
      <c r="C844" s="5">
        <f>DATE(2012,12,31)-1320</f>
        <v>39954</v>
      </c>
      <c r="D844" s="4" t="s">
        <v>30</v>
      </c>
      <c r="E844" s="4">
        <v>40</v>
      </c>
      <c r="F844" s="4">
        <v>194.02</v>
      </c>
      <c r="G844" s="4">
        <v>0.03</v>
      </c>
      <c r="H844" s="4" t="s">
        <v>22</v>
      </c>
      <c r="I844" s="6">
        <v>80.349999999999994</v>
      </c>
      <c r="J844" s="4">
        <v>4.9800000000000004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spans="1:21" ht="12" customHeight="1">
      <c r="A845" s="4">
        <v>3629</v>
      </c>
      <c r="B845" s="4">
        <v>25927</v>
      </c>
      <c r="C845" s="5">
        <f>DATE(2012,12,31)-1349</f>
        <v>39925</v>
      </c>
      <c r="D845" s="4" t="s">
        <v>63</v>
      </c>
      <c r="E845" s="4">
        <v>14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spans="1:21" ht="12" customHeight="1">
      <c r="A846" s="4">
        <v>3739</v>
      </c>
      <c r="B846" s="4">
        <v>26724</v>
      </c>
      <c r="C846" s="5">
        <f>DATE(2012,12,31)-1424</f>
        <v>39850</v>
      </c>
      <c r="D846" s="4" t="s">
        <v>78</v>
      </c>
      <c r="E846" s="4">
        <v>2</v>
      </c>
      <c r="F846" s="4">
        <v>1838.18</v>
      </c>
      <c r="G846" s="4">
        <v>0.09</v>
      </c>
      <c r="H846" s="4" t="s">
        <v>22</v>
      </c>
      <c r="I846" s="6">
        <v>-2531.4825000000001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3">C846+2</f>
        <v>39852</v>
      </c>
    </row>
    <row r="847" spans="1:21" ht="12" customHeight="1">
      <c r="A847" s="4">
        <v>3776</v>
      </c>
      <c r="B847" s="4">
        <v>26949</v>
      </c>
      <c r="C847" s="5">
        <f>DATE(2012,12,31)-1234</f>
        <v>40040</v>
      </c>
      <c r="D847" s="4" t="s">
        <v>78</v>
      </c>
      <c r="E847" s="4">
        <v>48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3"/>
        <v>40042</v>
      </c>
    </row>
    <row r="848" spans="1:21" ht="12" customHeight="1">
      <c r="A848" s="4">
        <v>3949</v>
      </c>
      <c r="B848" s="4">
        <v>28161</v>
      </c>
      <c r="C848" s="5">
        <f t="shared" ref="C848:C849" si="354">DATE(2012,12,31)-1295</f>
        <v>39979</v>
      </c>
      <c r="D848" s="4" t="s">
        <v>45</v>
      </c>
      <c r="E848" s="4">
        <v>10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0.56000000000000005</v>
      </c>
      <c r="U848" s="5">
        <f>C848+1</f>
        <v>39980</v>
      </c>
    </row>
    <row r="849" spans="1:21" ht="12" customHeight="1">
      <c r="A849" s="4">
        <v>3951</v>
      </c>
      <c r="B849" s="4">
        <v>28161</v>
      </c>
      <c r="C849" s="5">
        <f t="shared" si="354"/>
        <v>39979</v>
      </c>
      <c r="D849" s="4" t="s">
        <v>45</v>
      </c>
      <c r="E849" s="4">
        <v>41</v>
      </c>
      <c r="F849" s="4">
        <v>1085.6099999999999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5">C849+2</f>
        <v>39981</v>
      </c>
    </row>
    <row r="850" spans="1:21" ht="12" customHeight="1">
      <c r="A850" s="4">
        <v>4131</v>
      </c>
      <c r="B850" s="4">
        <v>29350</v>
      </c>
      <c r="C850" s="5">
        <f t="shared" ref="C850:C851" si="356">DATE(2012,12,31)-1224</f>
        <v>40050</v>
      </c>
      <c r="D850" s="4" t="s">
        <v>30</v>
      </c>
      <c r="E850" s="4">
        <v>47</v>
      </c>
      <c r="F850" s="4">
        <v>2519.5500000000002</v>
      </c>
      <c r="G850" s="4">
        <v>0.05</v>
      </c>
      <c r="H850" s="4" t="s">
        <v>22</v>
      </c>
      <c r="I850" s="6">
        <v>592.52650000000006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5"/>
        <v>40052</v>
      </c>
    </row>
    <row r="851" spans="1:21" ht="12" customHeight="1">
      <c r="A851" s="4">
        <v>4133</v>
      </c>
      <c r="B851" s="4">
        <v>29350</v>
      </c>
      <c r="C851" s="5">
        <f t="shared" si="356"/>
        <v>40050</v>
      </c>
      <c r="D851" s="4" t="s">
        <v>30</v>
      </c>
      <c r="E851" s="4">
        <v>46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36.549999999999997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spans="1:21" ht="12" customHeight="1">
      <c r="A852" s="4">
        <v>4639</v>
      </c>
      <c r="B852" s="4">
        <v>33025</v>
      </c>
      <c r="C852" s="5">
        <f>DATE(2012,12,31)-1437</f>
        <v>39837</v>
      </c>
      <c r="D852" s="4" t="s">
        <v>21</v>
      </c>
      <c r="E852" s="4">
        <v>5</v>
      </c>
      <c r="F852" s="4">
        <v>318.31</v>
      </c>
      <c r="G852" s="4">
        <v>0.08</v>
      </c>
      <c r="H852" s="4" t="s">
        <v>22</v>
      </c>
      <c r="I852" s="6">
        <v>-19.059999999999999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0.57999999999999996</v>
      </c>
      <c r="U852" s="5">
        <f>C852+5</f>
        <v>39842</v>
      </c>
    </row>
    <row r="853" spans="1:21" ht="12" customHeight="1">
      <c r="A853" s="4">
        <v>4733</v>
      </c>
      <c r="B853" s="4">
        <v>33699</v>
      </c>
      <c r="C853" s="5">
        <f>DATE(2012,12,31)-1254</f>
        <v>40020</v>
      </c>
      <c r="D853" s="4" t="s">
        <v>21</v>
      </c>
      <c r="E853" s="4">
        <v>13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spans="1:21" ht="12" customHeight="1">
      <c r="A854" s="4">
        <v>4757</v>
      </c>
      <c r="B854" s="4">
        <v>33797</v>
      </c>
      <c r="C854" s="5">
        <f t="shared" ref="C854:C855" si="357">DATE(2012,12,31)-1450</f>
        <v>39824</v>
      </c>
      <c r="D854" s="4" t="s">
        <v>45</v>
      </c>
      <c r="E854" s="4">
        <v>29</v>
      </c>
      <c r="F854" s="4">
        <v>138.16999999999999</v>
      </c>
      <c r="G854" s="4">
        <v>0.05</v>
      </c>
      <c r="H854" s="4" t="s">
        <v>56</v>
      </c>
      <c r="I854" s="6">
        <v>-103.78</v>
      </c>
      <c r="J854" s="4">
        <v>4.1399999999999997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spans="1:21" ht="12" customHeight="1">
      <c r="A855" s="4">
        <v>4758</v>
      </c>
      <c r="B855" s="4">
        <v>33797</v>
      </c>
      <c r="C855" s="5">
        <f t="shared" si="357"/>
        <v>39824</v>
      </c>
      <c r="D855" s="4" t="s">
        <v>45</v>
      </c>
      <c r="E855" s="4">
        <v>18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spans="1:21" ht="12" customHeight="1">
      <c r="A856" s="4">
        <v>4874</v>
      </c>
      <c r="B856" s="4">
        <v>34689</v>
      </c>
      <c r="C856" s="5">
        <f>DATE(2012,12,31)-1134</f>
        <v>40140</v>
      </c>
      <c r="D856" s="4" t="s">
        <v>21</v>
      </c>
      <c r="E856" s="4">
        <v>36</v>
      </c>
      <c r="F856" s="4">
        <v>572.4</v>
      </c>
      <c r="G856" s="4">
        <v>7.0000000000000007E-2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0.57999999999999996</v>
      </c>
      <c r="U856" s="5">
        <f>C856+7</f>
        <v>40147</v>
      </c>
    </row>
    <row r="857" spans="1:21" ht="12" customHeight="1">
      <c r="A857" s="4">
        <v>5299</v>
      </c>
      <c r="B857" s="4">
        <v>37731</v>
      </c>
      <c r="C857" s="5">
        <f>DATE(2012,12,31)-1153</f>
        <v>40121</v>
      </c>
      <c r="D857" s="4" t="s">
        <v>78</v>
      </c>
      <c r="E857" s="4">
        <v>25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spans="1:21" ht="12" customHeight="1">
      <c r="A858" s="4">
        <v>5427</v>
      </c>
      <c r="B858" s="4">
        <v>38564</v>
      </c>
      <c r="C858" s="5">
        <f>DATE(2012,12,31)-1155</f>
        <v>40119</v>
      </c>
      <c r="D858" s="4" t="s">
        <v>78</v>
      </c>
      <c r="E858" s="4">
        <v>37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spans="1:21" ht="12" customHeight="1">
      <c r="A859" s="4">
        <v>5503</v>
      </c>
      <c r="B859" s="4">
        <v>39040</v>
      </c>
      <c r="C859" s="5">
        <f>DATE(2012,12,31)-1320</f>
        <v>39954</v>
      </c>
      <c r="D859" s="4" t="s">
        <v>78</v>
      </c>
      <c r="E859" s="4">
        <v>26</v>
      </c>
      <c r="F859" s="4">
        <v>1204.5094999999999</v>
      </c>
      <c r="G859" s="4">
        <v>0.03</v>
      </c>
      <c r="H859" s="4" t="s">
        <v>22</v>
      </c>
      <c r="I859" s="6">
        <v>-221.25399999999999</v>
      </c>
      <c r="J859" s="4">
        <v>55.99</v>
      </c>
      <c r="K859" s="4">
        <v>5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8">C859+1</f>
        <v>39955</v>
      </c>
    </row>
    <row r="860" spans="1:21" ht="12" customHeight="1">
      <c r="A860" s="4">
        <v>5567</v>
      </c>
      <c r="B860" s="4">
        <v>39426</v>
      </c>
      <c r="C860" s="5">
        <f>DATE(2012,12,31)-1315</f>
        <v>39959</v>
      </c>
      <c r="D860" s="4" t="s">
        <v>78</v>
      </c>
      <c r="E860" s="4">
        <v>21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8"/>
        <v>39960</v>
      </c>
    </row>
    <row r="861" spans="1:21" ht="12" customHeight="1">
      <c r="A861" s="4">
        <v>5613</v>
      </c>
      <c r="B861" s="4">
        <v>39780</v>
      </c>
      <c r="C861" s="5">
        <f>DATE(2012,12,31)-1303</f>
        <v>39971</v>
      </c>
      <c r="D861" s="4" t="s">
        <v>21</v>
      </c>
      <c r="E861" s="4">
        <v>33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spans="1:21" ht="12" customHeight="1">
      <c r="A862" s="4">
        <v>6150</v>
      </c>
      <c r="B862" s="4">
        <v>43553</v>
      </c>
      <c r="C862" s="5">
        <f>DATE(2012,12,31)-1327</f>
        <v>39947</v>
      </c>
      <c r="D862" s="4" t="s">
        <v>45</v>
      </c>
      <c r="E862" s="4">
        <v>29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4.9800000000000004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spans="1:21" ht="12" customHeight="1">
      <c r="A863" s="4">
        <v>6299</v>
      </c>
      <c r="B863" s="4">
        <v>44583</v>
      </c>
      <c r="C863" s="5">
        <f>DATE(2012,12,31)-1184</f>
        <v>40090</v>
      </c>
      <c r="D863" s="4" t="s">
        <v>21</v>
      </c>
      <c r="E863" s="4">
        <v>21</v>
      </c>
      <c r="F863" s="4">
        <v>315.07</v>
      </c>
      <c r="G863" s="4">
        <v>0.02</v>
      </c>
      <c r="H863" s="4" t="s">
        <v>22</v>
      </c>
      <c r="I863" s="6">
        <v>95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spans="1:21" ht="12" customHeight="1">
      <c r="A864" s="4">
        <v>6512</v>
      </c>
      <c r="B864" s="4">
        <v>46341</v>
      </c>
      <c r="C864" s="5">
        <f>DATE(2012,12,31)-1110</f>
        <v>40164</v>
      </c>
      <c r="D864" s="4" t="s">
        <v>30</v>
      </c>
      <c r="E864" s="4">
        <v>23</v>
      </c>
      <c r="F864" s="4">
        <v>39.130000000000003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spans="1:21" ht="12" customHeight="1">
      <c r="A865" s="4">
        <v>6693</v>
      </c>
      <c r="B865" s="4">
        <v>47621</v>
      </c>
      <c r="C865" s="5">
        <f>DATE(2012,12,31)-1269</f>
        <v>40005</v>
      </c>
      <c r="D865" s="4" t="s">
        <v>78</v>
      </c>
      <c r="E865" s="4">
        <v>16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spans="1:21" ht="12" customHeight="1">
      <c r="A866" s="4">
        <v>7156</v>
      </c>
      <c r="B866" s="4">
        <v>51047</v>
      </c>
      <c r="C866" s="5">
        <f t="shared" ref="C866:C867" si="359">DATE(2012,12,31)-1361</f>
        <v>39913</v>
      </c>
      <c r="D866" s="4" t="s">
        <v>63</v>
      </c>
      <c r="E866" s="4">
        <v>28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4.8600000000000003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0">C866+1</f>
        <v>39914</v>
      </c>
    </row>
    <row r="867" spans="1:21" ht="12" customHeight="1">
      <c r="A867" s="4">
        <v>7157</v>
      </c>
      <c r="B867" s="4">
        <v>51047</v>
      </c>
      <c r="C867" s="5">
        <f t="shared" si="359"/>
        <v>39913</v>
      </c>
      <c r="D867" s="4" t="s">
        <v>63</v>
      </c>
      <c r="E867" s="4">
        <v>38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34.200000000000003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0"/>
        <v>39914</v>
      </c>
    </row>
    <row r="868" spans="1:21" ht="12" customHeight="1">
      <c r="A868" s="4">
        <v>7821</v>
      </c>
      <c r="B868" s="4">
        <v>55909</v>
      </c>
      <c r="C868" s="5">
        <f>DATE(2012,12,31)-1322</f>
        <v>39952</v>
      </c>
      <c r="D868" s="4" t="s">
        <v>21</v>
      </c>
      <c r="E868" s="4">
        <v>2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0.56999999999999995</v>
      </c>
      <c r="U868" s="5">
        <f>C868+7</f>
        <v>39959</v>
      </c>
    </row>
    <row r="869" spans="1:21" ht="12" customHeight="1">
      <c r="A869" s="4">
        <v>7866</v>
      </c>
      <c r="B869" s="4">
        <v>56260</v>
      </c>
      <c r="C869" s="5">
        <f>DATE(2012,12,31)-1234</f>
        <v>40040</v>
      </c>
      <c r="D869" s="4" t="s">
        <v>45</v>
      </c>
      <c r="E869" s="4">
        <v>34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spans="1:21" ht="12" customHeight="1">
      <c r="A870" s="4">
        <v>8156</v>
      </c>
      <c r="B870" s="4">
        <v>58337</v>
      </c>
      <c r="C870" s="5">
        <f>DATE(2012,12,31)-1313</f>
        <v>39961</v>
      </c>
      <c r="D870" s="4" t="s">
        <v>21</v>
      </c>
      <c r="E870" s="4">
        <v>18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0.56000000000000005</v>
      </c>
      <c r="U870" s="5">
        <f t="shared" ref="U870:U871" si="361">C870+2</f>
        <v>39963</v>
      </c>
    </row>
    <row r="871" spans="1:21" ht="12" customHeight="1">
      <c r="A871" s="4">
        <v>8161</v>
      </c>
      <c r="B871" s="4">
        <v>58343</v>
      </c>
      <c r="C871" s="5">
        <f>DATE(2012,12,31)-1452</f>
        <v>39822</v>
      </c>
      <c r="D871" s="4" t="s">
        <v>45</v>
      </c>
      <c r="E871" s="4">
        <v>39</v>
      </c>
      <c r="F871" s="4">
        <v>121.87</v>
      </c>
      <c r="G871" s="4">
        <v>7.0000000000000007E-2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1"/>
        <v>39824</v>
      </c>
    </row>
    <row r="872" spans="1:21" ht="12" customHeight="1">
      <c r="A872" s="4">
        <v>47</v>
      </c>
      <c r="B872" s="4">
        <v>290</v>
      </c>
      <c r="C872" s="5">
        <f>DATE(2012,12,31)-1456</f>
        <v>39818</v>
      </c>
      <c r="D872" s="4" t="s">
        <v>45</v>
      </c>
      <c r="E872" s="4">
        <v>24</v>
      </c>
      <c r="F872" s="4">
        <v>188.73</v>
      </c>
      <c r="G872" s="4">
        <v>0.05</v>
      </c>
      <c r="H872" s="4" t="s">
        <v>22</v>
      </c>
      <c r="I872" s="6">
        <v>-32.479999999999997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2">C872+1</f>
        <v>39819</v>
      </c>
    </row>
    <row r="873" spans="1:21" ht="12" customHeight="1">
      <c r="A873" s="4">
        <v>181</v>
      </c>
      <c r="B873" s="4">
        <v>1189</v>
      </c>
      <c r="C873" s="5">
        <f>DATE(2012,12,31)-1363</f>
        <v>39911</v>
      </c>
      <c r="D873" s="4" t="s">
        <v>78</v>
      </c>
      <c r="E873" s="4">
        <v>27</v>
      </c>
      <c r="F873" s="4">
        <v>129.1</v>
      </c>
      <c r="G873" s="4">
        <v>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2"/>
        <v>39912</v>
      </c>
    </row>
    <row r="874" spans="1:21" ht="12" customHeight="1">
      <c r="A874" s="4">
        <v>450</v>
      </c>
      <c r="B874" s="4">
        <v>3073</v>
      </c>
      <c r="C874" s="5">
        <f t="shared" ref="C874:C876" si="363">DATE(2012,12,31)-1454</f>
        <v>39820</v>
      </c>
      <c r="D874" s="4" t="s">
        <v>63</v>
      </c>
      <c r="E874" s="4">
        <v>3</v>
      </c>
      <c r="F874" s="4">
        <v>10.58</v>
      </c>
      <c r="G874" s="4">
        <v>0.05</v>
      </c>
      <c r="H874" s="4" t="s">
        <v>22</v>
      </c>
      <c r="I874" s="6">
        <v>-11.580500000000001</v>
      </c>
      <c r="J874" s="4">
        <v>1.98</v>
      </c>
      <c r="K874" s="4">
        <v>4.7699999999999996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2"/>
        <v>39821</v>
      </c>
    </row>
    <row r="875" spans="1:21" ht="12" customHeight="1">
      <c r="A875" s="4">
        <v>451</v>
      </c>
      <c r="B875" s="4">
        <v>3073</v>
      </c>
      <c r="C875" s="5">
        <f t="shared" si="363"/>
        <v>39820</v>
      </c>
      <c r="D875" s="4" t="s">
        <v>63</v>
      </c>
      <c r="E875" s="4">
        <v>3</v>
      </c>
      <c r="F875" s="4">
        <v>2119.67</v>
      </c>
      <c r="G875" s="4">
        <v>7.0000000000000007E-2</v>
      </c>
      <c r="H875" s="4" t="s">
        <v>56</v>
      </c>
      <c r="I875" s="6">
        <v>-2314.7399999999998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2"/>
        <v>39821</v>
      </c>
    </row>
    <row r="876" spans="1:21" ht="12" customHeight="1">
      <c r="A876" s="4">
        <v>452</v>
      </c>
      <c r="B876" s="4">
        <v>3073</v>
      </c>
      <c r="C876" s="5">
        <f t="shared" si="363"/>
        <v>39820</v>
      </c>
      <c r="D876" s="4" t="s">
        <v>63</v>
      </c>
      <c r="E876" s="4">
        <v>7</v>
      </c>
      <c r="F876" s="4">
        <v>45923.76</v>
      </c>
      <c r="G876" s="4">
        <v>7.0000000000000007E-2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2"/>
        <v>39821</v>
      </c>
    </row>
    <row r="877" spans="1:21" ht="12" customHeight="1">
      <c r="A877" s="4">
        <v>566</v>
      </c>
      <c r="B877" s="4">
        <v>3841</v>
      </c>
      <c r="C877" s="5">
        <f t="shared" ref="C877:C879" si="364">DATE(2012,12,31)-1184</f>
        <v>40090</v>
      </c>
      <c r="D877" s="4" t="s">
        <v>45</v>
      </c>
      <c r="E877" s="4">
        <v>19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5">C877+2</f>
        <v>40092</v>
      </c>
    </row>
    <row r="878" spans="1:21" ht="12" customHeight="1">
      <c r="A878" s="4">
        <v>567</v>
      </c>
      <c r="B878" s="4">
        <v>3841</v>
      </c>
      <c r="C878" s="5">
        <f t="shared" si="364"/>
        <v>40090</v>
      </c>
      <c r="D878" s="4" t="s">
        <v>45</v>
      </c>
      <c r="E878" s="4">
        <v>20</v>
      </c>
      <c r="F878" s="4">
        <v>25409.63</v>
      </c>
      <c r="G878" s="4">
        <v>0.02</v>
      </c>
      <c r="H878" s="4" t="s">
        <v>22</v>
      </c>
      <c r="I878" s="6">
        <v>11535.281999999999</v>
      </c>
      <c r="J878" s="4">
        <v>1270.99</v>
      </c>
      <c r="K878" s="4">
        <v>19.989999999999998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5"/>
        <v>40092</v>
      </c>
    </row>
    <row r="879" spans="1:21" ht="12" customHeight="1">
      <c r="A879" s="4">
        <v>568</v>
      </c>
      <c r="B879" s="4">
        <v>3841</v>
      </c>
      <c r="C879" s="5">
        <f t="shared" si="364"/>
        <v>40090</v>
      </c>
      <c r="D879" s="4" t="s">
        <v>45</v>
      </c>
      <c r="E879" s="4">
        <v>43</v>
      </c>
      <c r="F879" s="4">
        <v>7308.2829999999994</v>
      </c>
      <c r="G879" s="4">
        <v>0.05</v>
      </c>
      <c r="H879" s="4" t="s">
        <v>56</v>
      </c>
      <c r="I879" s="6">
        <v>1680.2280000000001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5"/>
        <v>40092</v>
      </c>
    </row>
    <row r="880" spans="1:21" ht="12" customHeight="1">
      <c r="A880" s="4">
        <v>930</v>
      </c>
      <c r="B880" s="4">
        <v>6727</v>
      </c>
      <c r="C880" s="5">
        <f>DATE(2012,12,31)-1220</f>
        <v>40054</v>
      </c>
      <c r="D880" s="4" t="s">
        <v>21</v>
      </c>
      <c r="E880" s="4">
        <v>12</v>
      </c>
      <c r="F880" s="4">
        <v>33.43</v>
      </c>
      <c r="G880" s="4">
        <v>0.06</v>
      </c>
      <c r="H880" s="4" t="s">
        <v>22</v>
      </c>
      <c r="I880" s="6">
        <v>8.4700000000000006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spans="1:21" ht="12" customHeight="1">
      <c r="A881" s="4">
        <v>1041</v>
      </c>
      <c r="B881" s="4">
        <v>7623</v>
      </c>
      <c r="C881" s="5">
        <f t="shared" ref="C881:C883" si="366">DATE(2012,12,31)-1160</f>
        <v>40114</v>
      </c>
      <c r="D881" s="4" t="s">
        <v>78</v>
      </c>
      <c r="E881" s="4">
        <v>18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300.64999999999998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7">C881+2</f>
        <v>40116</v>
      </c>
    </row>
    <row r="882" spans="1:21" ht="12" customHeight="1">
      <c r="A882" s="4">
        <v>1042</v>
      </c>
      <c r="B882" s="4">
        <v>7623</v>
      </c>
      <c r="C882" s="5">
        <f t="shared" si="366"/>
        <v>40114</v>
      </c>
      <c r="D882" s="4" t="s">
        <v>78</v>
      </c>
      <c r="E882" s="4">
        <v>37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19.989999999999998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7"/>
        <v>40116</v>
      </c>
    </row>
    <row r="883" spans="1:21" ht="12" customHeight="1">
      <c r="A883" s="4">
        <v>1043</v>
      </c>
      <c r="B883" s="4">
        <v>7623</v>
      </c>
      <c r="C883" s="5">
        <f t="shared" si="366"/>
        <v>40114</v>
      </c>
      <c r="D883" s="4" t="s">
        <v>78</v>
      </c>
      <c r="E883" s="4">
        <v>32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4.6500000000000004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8">C883+1</f>
        <v>40115</v>
      </c>
    </row>
    <row r="884" spans="1:21" ht="12" customHeight="1">
      <c r="A884" s="4">
        <v>1112</v>
      </c>
      <c r="B884" s="4">
        <v>8162</v>
      </c>
      <c r="C884" s="5">
        <f t="shared" ref="C884:C886" si="369">DATE(2012,12,31)-1181</f>
        <v>40093</v>
      </c>
      <c r="D884" s="4" t="s">
        <v>63</v>
      </c>
      <c r="E884" s="4">
        <v>25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8"/>
        <v>40094</v>
      </c>
    </row>
    <row r="885" spans="1:21" ht="12" customHeight="1">
      <c r="A885" s="4">
        <v>1113</v>
      </c>
      <c r="B885" s="4">
        <v>8162</v>
      </c>
      <c r="C885" s="5">
        <f t="shared" si="369"/>
        <v>40093</v>
      </c>
      <c r="D885" s="4" t="s">
        <v>63</v>
      </c>
      <c r="E885" s="4">
        <v>32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19.989999999999998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8"/>
        <v>40094</v>
      </c>
    </row>
    <row r="886" spans="1:21" ht="12" customHeight="1">
      <c r="A886" s="4">
        <v>1114</v>
      </c>
      <c r="B886" s="4">
        <v>8162</v>
      </c>
      <c r="C886" s="5">
        <f t="shared" si="369"/>
        <v>40093</v>
      </c>
      <c r="D886" s="4" t="s">
        <v>63</v>
      </c>
      <c r="E886" s="4">
        <v>42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19.989999999999998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0">C886+2</f>
        <v>40095</v>
      </c>
    </row>
    <row r="887" spans="1:21" ht="12" customHeight="1">
      <c r="A887" s="4">
        <v>1595</v>
      </c>
      <c r="B887" s="4">
        <v>11527</v>
      </c>
      <c r="C887" s="5">
        <f>DATE(2012,12,31)-1278</f>
        <v>39996</v>
      </c>
      <c r="D887" s="4" t="s">
        <v>63</v>
      </c>
      <c r="E887" s="4">
        <v>45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0"/>
        <v>39998</v>
      </c>
    </row>
    <row r="888" spans="1:21" ht="12" customHeight="1">
      <c r="A888" s="4">
        <v>1816</v>
      </c>
      <c r="B888" s="4">
        <v>13028</v>
      </c>
      <c r="C888" s="5">
        <f>DATE(2012,12,31)-1363</f>
        <v>39911</v>
      </c>
      <c r="D888" s="4" t="s">
        <v>78</v>
      </c>
      <c r="E888" s="4">
        <v>39</v>
      </c>
      <c r="F888" s="4">
        <v>1357.53</v>
      </c>
      <c r="G888" s="4">
        <v>0.05</v>
      </c>
      <c r="H888" s="4" t="s">
        <v>22</v>
      </c>
      <c r="I888" s="6">
        <v>562.91999999999996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spans="1:21" ht="12" customHeight="1">
      <c r="A889" s="4">
        <v>1840</v>
      </c>
      <c r="B889" s="4">
        <v>13252</v>
      </c>
      <c r="C889" s="5">
        <f t="shared" ref="C889:C890" si="371">DATE(2012,12,31)-1380</f>
        <v>39894</v>
      </c>
      <c r="D889" s="4" t="s">
        <v>45</v>
      </c>
      <c r="E889" s="4">
        <v>44</v>
      </c>
      <c r="F889" s="4">
        <v>7312.86</v>
      </c>
      <c r="G889" s="4">
        <v>0.03</v>
      </c>
      <c r="H889" s="4" t="s">
        <v>31</v>
      </c>
      <c r="I889" s="6">
        <v>1279.3699999999999</v>
      </c>
      <c r="J889" s="4">
        <v>160.97999999999999</v>
      </c>
      <c r="K889" s="4">
        <v>30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spans="1:21" ht="12" customHeight="1">
      <c r="A890" s="4">
        <v>1841</v>
      </c>
      <c r="B890" s="4">
        <v>13252</v>
      </c>
      <c r="C890" s="5">
        <f t="shared" si="371"/>
        <v>39894</v>
      </c>
      <c r="D890" s="4" t="s">
        <v>45</v>
      </c>
      <c r="E890" s="4">
        <v>39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2">C890+2</f>
        <v>39896</v>
      </c>
    </row>
    <row r="891" spans="1:21" ht="12" customHeight="1">
      <c r="A891" s="4">
        <v>2392</v>
      </c>
      <c r="B891" s="4">
        <v>17317</v>
      </c>
      <c r="C891" s="5">
        <f>DATE(2012,12,31)-1124</f>
        <v>40150</v>
      </c>
      <c r="D891" s="4" t="s">
        <v>45</v>
      </c>
      <c r="E891" s="4">
        <v>7</v>
      </c>
      <c r="F891" s="4">
        <v>34.659999999999997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2"/>
        <v>40152</v>
      </c>
    </row>
    <row r="892" spans="1:21" ht="12" customHeight="1">
      <c r="A892" s="4">
        <v>2408</v>
      </c>
      <c r="B892" s="4">
        <v>17446</v>
      </c>
      <c r="C892" s="5">
        <f>DATE(2012,12,31)-1301</f>
        <v>39973</v>
      </c>
      <c r="D892" s="4" t="s">
        <v>78</v>
      </c>
      <c r="E892" s="4">
        <v>15</v>
      </c>
      <c r="F892" s="4">
        <v>138.84</v>
      </c>
      <c r="G892" s="4">
        <v>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2"/>
        <v>39975</v>
      </c>
    </row>
    <row r="893" spans="1:21" ht="12" customHeight="1">
      <c r="A893" s="4">
        <v>2603</v>
      </c>
      <c r="B893" s="4">
        <v>18816</v>
      </c>
      <c r="C893" s="5">
        <f>DATE(2012,12,31)-1406</f>
        <v>39868</v>
      </c>
      <c r="D893" s="4" t="s">
        <v>78</v>
      </c>
      <c r="E893" s="4">
        <v>12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0.56000000000000005</v>
      </c>
      <c r="U893" s="5">
        <f t="shared" si="372"/>
        <v>39870</v>
      </c>
    </row>
    <row r="894" spans="1:21" ht="12" customHeight="1">
      <c r="A894" s="4">
        <v>2697</v>
      </c>
      <c r="B894" s="4">
        <v>19522</v>
      </c>
      <c r="C894" s="5">
        <f t="shared" ref="C894:C895" si="373">DATE(2012,12,31)-1168</f>
        <v>40106</v>
      </c>
      <c r="D894" s="4" t="s">
        <v>63</v>
      </c>
      <c r="E894" s="4">
        <v>44</v>
      </c>
      <c r="F894" s="4">
        <v>161.80000000000001</v>
      </c>
      <c r="G894" s="4">
        <v>0.06</v>
      </c>
      <c r="H894" s="4" t="s">
        <v>22</v>
      </c>
      <c r="I894" s="6">
        <v>21.335000000000001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4">C894+1</f>
        <v>40107</v>
      </c>
    </row>
    <row r="895" spans="1:21" ht="12" customHeight="1">
      <c r="A895" s="4">
        <v>2698</v>
      </c>
      <c r="B895" s="4">
        <v>19522</v>
      </c>
      <c r="C895" s="5">
        <f t="shared" si="373"/>
        <v>40106</v>
      </c>
      <c r="D895" s="4" t="s">
        <v>63</v>
      </c>
      <c r="E895" s="4">
        <v>37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0.56000000000000005</v>
      </c>
      <c r="U895" s="5">
        <f t="shared" si="374"/>
        <v>40107</v>
      </c>
    </row>
    <row r="896" spans="1:21" ht="12" customHeight="1">
      <c r="A896" s="4">
        <v>2797</v>
      </c>
      <c r="B896" s="4">
        <v>20162</v>
      </c>
      <c r="C896" s="5">
        <f>DATE(2012,12,31)-1422</f>
        <v>39852</v>
      </c>
      <c r="D896" s="4" t="s">
        <v>63</v>
      </c>
      <c r="E896" s="4">
        <v>38</v>
      </c>
      <c r="F896" s="4">
        <v>607.41999999999996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4"/>
        <v>39853</v>
      </c>
    </row>
    <row r="897" spans="1:21" ht="12" customHeight="1">
      <c r="A897" s="4">
        <v>2872</v>
      </c>
      <c r="B897" s="4">
        <v>20710</v>
      </c>
      <c r="C897" s="5">
        <f t="shared" ref="C897:C898" si="375">DATE(2012,12,31)-1128</f>
        <v>40146</v>
      </c>
      <c r="D897" s="4" t="s">
        <v>30</v>
      </c>
      <c r="E897" s="4">
        <v>31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4"/>
        <v>40147</v>
      </c>
    </row>
    <row r="898" spans="1:21" ht="12" customHeight="1">
      <c r="A898" s="4">
        <v>2873</v>
      </c>
      <c r="B898" s="4">
        <v>20710</v>
      </c>
      <c r="C898" s="5">
        <f t="shared" si="375"/>
        <v>40146</v>
      </c>
      <c r="D898" s="4" t="s">
        <v>30</v>
      </c>
      <c r="E898" s="4">
        <v>26</v>
      </c>
      <c r="F898" s="4">
        <v>67.400000000000006</v>
      </c>
      <c r="G898" s="4">
        <v>7.0000000000000007E-2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spans="1:21" ht="12" customHeight="1">
      <c r="A899" s="4">
        <v>2925</v>
      </c>
      <c r="B899" s="4">
        <v>21190</v>
      </c>
      <c r="C899" s="5">
        <f>DATE(2012,12,31)-1313</f>
        <v>39961</v>
      </c>
      <c r="D899" s="4" t="s">
        <v>63</v>
      </c>
      <c r="E899" s="4">
        <v>28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spans="1:21" ht="12" customHeight="1">
      <c r="A900" s="4">
        <v>3114</v>
      </c>
      <c r="B900" s="4">
        <v>22371</v>
      </c>
      <c r="C900" s="5">
        <f>DATE(2012,12,31)-1367</f>
        <v>39907</v>
      </c>
      <c r="D900" s="4" t="s">
        <v>30</v>
      </c>
      <c r="E900" s="4">
        <v>8</v>
      </c>
      <c r="F900" s="4">
        <v>70.55</v>
      </c>
      <c r="G900" s="4">
        <v>0</v>
      </c>
      <c r="H900" s="4" t="s">
        <v>22</v>
      </c>
      <c r="I900" s="6">
        <v>-66.170999999999992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spans="1:21" ht="12" customHeight="1">
      <c r="A901" s="4">
        <v>3145</v>
      </c>
      <c r="B901" s="4">
        <v>22562</v>
      </c>
      <c r="C901" s="5">
        <f t="shared" ref="C901:C903" si="376">DATE(2012,12,31)-1375</f>
        <v>39899</v>
      </c>
      <c r="D901" s="4" t="s">
        <v>63</v>
      </c>
      <c r="E901" s="4">
        <v>46</v>
      </c>
      <c r="F901" s="4">
        <v>9304.2000000000007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7">C901+2</f>
        <v>39901</v>
      </c>
    </row>
    <row r="902" spans="1:21" ht="12" customHeight="1">
      <c r="A902" s="4">
        <v>3146</v>
      </c>
      <c r="B902" s="4">
        <v>22562</v>
      </c>
      <c r="C902" s="5">
        <f t="shared" si="376"/>
        <v>39899</v>
      </c>
      <c r="D902" s="4" t="s">
        <v>63</v>
      </c>
      <c r="E902" s="4">
        <v>31</v>
      </c>
      <c r="F902" s="4">
        <v>1685.05</v>
      </c>
      <c r="G902" s="4">
        <v>0.1</v>
      </c>
      <c r="H902" s="4" t="s">
        <v>22</v>
      </c>
      <c r="I902" s="6">
        <v>518.07000000000005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7"/>
        <v>39901</v>
      </c>
    </row>
    <row r="903" spans="1:21" ht="12" customHeight="1">
      <c r="A903" s="4">
        <v>3147</v>
      </c>
      <c r="B903" s="4">
        <v>22562</v>
      </c>
      <c r="C903" s="5">
        <f t="shared" si="376"/>
        <v>39899</v>
      </c>
      <c r="D903" s="4" t="s">
        <v>63</v>
      </c>
      <c r="E903" s="4">
        <v>3</v>
      </c>
      <c r="F903" s="4">
        <v>57.48</v>
      </c>
      <c r="G903" s="4">
        <v>0</v>
      </c>
      <c r="H903" s="4" t="s">
        <v>22</v>
      </c>
      <c r="I903" s="6">
        <v>-28.09</v>
      </c>
      <c r="J903" s="4">
        <v>16.059999999999999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spans="1:21" ht="12" customHeight="1">
      <c r="A904" s="4">
        <v>3270</v>
      </c>
      <c r="B904" s="4">
        <v>23392</v>
      </c>
      <c r="C904" s="5">
        <f>DATE(2012,12,31)-1233</f>
        <v>40041</v>
      </c>
      <c r="D904" s="4" t="s">
        <v>63</v>
      </c>
      <c r="E904" s="4">
        <v>24</v>
      </c>
      <c r="F904" s="4">
        <v>4276.0960000000005</v>
      </c>
      <c r="G904" s="4">
        <v>0</v>
      </c>
      <c r="H904" s="4" t="s">
        <v>22</v>
      </c>
      <c r="I904" s="6">
        <v>-505.98447900000014</v>
      </c>
      <c r="J904" s="4">
        <v>209.37</v>
      </c>
      <c r="K904" s="4">
        <v>69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spans="1:21" ht="12" customHeight="1">
      <c r="A905" s="4">
        <v>3401</v>
      </c>
      <c r="B905" s="4">
        <v>24228</v>
      </c>
      <c r="C905" s="5">
        <f>DATE(2012,12,31)-1263</f>
        <v>40011</v>
      </c>
      <c r="D905" s="4" t="s">
        <v>21</v>
      </c>
      <c r="E905" s="4">
        <v>31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spans="1:21" ht="12" customHeight="1">
      <c r="A906" s="4">
        <v>3402</v>
      </c>
      <c r="B906" s="4">
        <v>24231</v>
      </c>
      <c r="C906" s="5">
        <f>DATE(2012,12,31)-1242</f>
        <v>40032</v>
      </c>
      <c r="D906" s="4" t="s">
        <v>45</v>
      </c>
      <c r="E906" s="4">
        <v>48</v>
      </c>
      <c r="F906" s="4">
        <v>2482.0340000000001</v>
      </c>
      <c r="G906" s="4">
        <v>0.08</v>
      </c>
      <c r="H906" s="4" t="s">
        <v>22</v>
      </c>
      <c r="I906" s="6">
        <v>421.89299999999997</v>
      </c>
      <c r="J906" s="4">
        <v>65.989999999999995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0.57999999999999996</v>
      </c>
      <c r="U906" s="5">
        <f>C906+0</f>
        <v>40032</v>
      </c>
    </row>
    <row r="907" spans="1:21" ht="12" customHeight="1">
      <c r="A907" s="4">
        <v>3462</v>
      </c>
      <c r="B907" s="4">
        <v>24647</v>
      </c>
      <c r="C907" s="5">
        <f t="shared" ref="C907:C908" si="378">DATE(2012,12,31)-1306</f>
        <v>39968</v>
      </c>
      <c r="D907" s="4" t="s">
        <v>45</v>
      </c>
      <c r="E907" s="4">
        <v>3</v>
      </c>
      <c r="F907" s="4">
        <v>3029.97</v>
      </c>
      <c r="G907" s="4">
        <v>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spans="1:21" ht="12" customHeight="1">
      <c r="A908" s="4">
        <v>3463</v>
      </c>
      <c r="B908" s="4">
        <v>24647</v>
      </c>
      <c r="C908" s="5">
        <f t="shared" si="378"/>
        <v>39968</v>
      </c>
      <c r="D908" s="4" t="s">
        <v>45</v>
      </c>
      <c r="E908" s="4">
        <v>34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spans="1:21" ht="12" customHeight="1">
      <c r="A909" s="4">
        <v>3697</v>
      </c>
      <c r="B909" s="4">
        <v>26432</v>
      </c>
      <c r="C909" s="5">
        <f t="shared" ref="C909:C911" si="379">DATE(2012,12,31)-1097</f>
        <v>40177</v>
      </c>
      <c r="D909" s="4" t="s">
        <v>21</v>
      </c>
      <c r="E909" s="4">
        <v>37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0.56000000000000005</v>
      </c>
      <c r="U909" s="5">
        <f>C909+7</f>
        <v>40184</v>
      </c>
    </row>
    <row r="910" spans="1:21" ht="12" customHeight="1">
      <c r="A910" s="4">
        <v>3698</v>
      </c>
      <c r="B910" s="4">
        <v>26432</v>
      </c>
      <c r="C910" s="5">
        <f t="shared" si="379"/>
        <v>40177</v>
      </c>
      <c r="D910" s="4" t="s">
        <v>21</v>
      </c>
      <c r="E910" s="4">
        <v>48</v>
      </c>
      <c r="F910" s="4">
        <v>27820.34</v>
      </c>
      <c r="G910" s="4">
        <v>0.08</v>
      </c>
      <c r="H910" s="4" t="s">
        <v>22</v>
      </c>
      <c r="I910" s="6">
        <v>11630.146000000001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spans="1:21" ht="12" customHeight="1">
      <c r="A911" s="4">
        <v>3699</v>
      </c>
      <c r="B911" s="4">
        <v>26432</v>
      </c>
      <c r="C911" s="5">
        <f t="shared" si="379"/>
        <v>40177</v>
      </c>
      <c r="D911" s="4" t="s">
        <v>21</v>
      </c>
      <c r="E911" s="4">
        <v>11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spans="1:21" ht="12" customHeight="1">
      <c r="A912" s="4">
        <v>4015</v>
      </c>
      <c r="B912" s="4">
        <v>28647</v>
      </c>
      <c r="C912" s="5">
        <f>DATE(2012,12,31)-1388</f>
        <v>39886</v>
      </c>
      <c r="D912" s="4" t="s">
        <v>78</v>
      </c>
      <c r="E912" s="4">
        <v>38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spans="1:21" ht="12" customHeight="1">
      <c r="A913" s="4">
        <v>4018</v>
      </c>
      <c r="B913" s="4">
        <v>28736</v>
      </c>
      <c r="C913" s="5">
        <f>DATE(2012,12,31)-1350</f>
        <v>39924</v>
      </c>
      <c r="D913" s="4" t="s">
        <v>30</v>
      </c>
      <c r="E913" s="4">
        <v>26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spans="1:21" ht="12" customHeight="1">
      <c r="A914" s="4">
        <v>4312</v>
      </c>
      <c r="B914" s="4">
        <v>30725</v>
      </c>
      <c r="C914" s="5">
        <f>DATE(2012,12,31)-1099</f>
        <v>40175</v>
      </c>
      <c r="D914" s="4" t="s">
        <v>63</v>
      </c>
      <c r="E914" s="4">
        <v>39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spans="1:21" ht="12" customHeight="1">
      <c r="A915" s="4">
        <v>4503</v>
      </c>
      <c r="B915" s="4">
        <v>32038</v>
      </c>
      <c r="C915" s="5">
        <f>DATE(2012,12,31)-1293</f>
        <v>39981</v>
      </c>
      <c r="D915" s="4" t="s">
        <v>21</v>
      </c>
      <c r="E915" s="4">
        <v>26</v>
      </c>
      <c r="F915" s="4">
        <v>342.4</v>
      </c>
      <c r="G915" s="4">
        <v>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spans="1:21" ht="12" customHeight="1">
      <c r="A916" s="4">
        <v>4598</v>
      </c>
      <c r="B916" s="4">
        <v>32741</v>
      </c>
      <c r="C916" s="5">
        <f>DATE(2012,12,31)-1415</f>
        <v>39859</v>
      </c>
      <c r="D916" s="4" t="s">
        <v>21</v>
      </c>
      <c r="E916" s="4">
        <v>13</v>
      </c>
      <c r="F916" s="4">
        <v>136.24</v>
      </c>
      <c r="G916" s="4">
        <v>7.0000000000000007E-2</v>
      </c>
      <c r="H916" s="4" t="s">
        <v>22</v>
      </c>
      <c r="I916" s="6">
        <v>-81.77</v>
      </c>
      <c r="J916" s="4">
        <v>9.7100000000000009</v>
      </c>
      <c r="K916" s="4">
        <v>9.4499999999999993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spans="1:21" ht="12" customHeight="1">
      <c r="A917" s="4">
        <v>4662</v>
      </c>
      <c r="B917" s="4">
        <v>33217</v>
      </c>
      <c r="C917" s="5">
        <f t="shared" ref="C917:C918" si="380">DATE(2012,12,31)-1390</f>
        <v>39884</v>
      </c>
      <c r="D917" s="4" t="s">
        <v>30</v>
      </c>
      <c r="E917" s="4">
        <v>20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1">C917+1</f>
        <v>39885</v>
      </c>
    </row>
    <row r="918" spans="1:21" ht="12" customHeight="1">
      <c r="A918" s="4">
        <v>4663</v>
      </c>
      <c r="B918" s="4">
        <v>33217</v>
      </c>
      <c r="C918" s="5">
        <f t="shared" si="380"/>
        <v>39884</v>
      </c>
      <c r="D918" s="4" t="s">
        <v>30</v>
      </c>
      <c r="E918" s="4">
        <v>34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1"/>
        <v>39885</v>
      </c>
    </row>
    <row r="919" spans="1:21" ht="12" customHeight="1">
      <c r="A919" s="4">
        <v>4903</v>
      </c>
      <c r="B919" s="4">
        <v>34882</v>
      </c>
      <c r="C919" s="5">
        <f>DATE(2012,12,31)-1256</f>
        <v>40018</v>
      </c>
      <c r="D919" s="4" t="s">
        <v>78</v>
      </c>
      <c r="E919" s="4">
        <v>43</v>
      </c>
      <c r="F919" s="4">
        <v>84.61</v>
      </c>
      <c r="G919" s="4">
        <v>0.03</v>
      </c>
      <c r="H919" s="4" t="s">
        <v>22</v>
      </c>
      <c r="I919" s="6">
        <v>-15.099500000000001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1"/>
        <v>40019</v>
      </c>
    </row>
    <row r="920" spans="1:21" ht="12" customHeight="1">
      <c r="A920" s="4">
        <v>4921</v>
      </c>
      <c r="B920" s="4">
        <v>35041</v>
      </c>
      <c r="C920" s="5">
        <f>DATE(2012,12,31)-1356</f>
        <v>39918</v>
      </c>
      <c r="D920" s="4" t="s">
        <v>45</v>
      </c>
      <c r="E920" s="4">
        <v>28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2">C920+0</f>
        <v>39918</v>
      </c>
    </row>
    <row r="921" spans="1:21" ht="12" customHeight="1">
      <c r="A921" s="4">
        <v>5097</v>
      </c>
      <c r="B921" s="4">
        <v>36355</v>
      </c>
      <c r="C921" s="5">
        <f t="shared" ref="C921:C924" si="383">DATE(2012,12,31)-1125</f>
        <v>40149</v>
      </c>
      <c r="D921" s="4" t="s">
        <v>63</v>
      </c>
      <c r="E921" s="4">
        <v>9</v>
      </c>
      <c r="F921" s="4">
        <v>61.43</v>
      </c>
      <c r="G921" s="4">
        <v>0.09</v>
      </c>
      <c r="H921" s="4" t="s">
        <v>56</v>
      </c>
      <c r="I921" s="6">
        <v>-42.975499999999997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2"/>
        <v>40149</v>
      </c>
    </row>
    <row r="922" spans="1:21" ht="12" customHeight="1">
      <c r="A922" s="4">
        <v>5098</v>
      </c>
      <c r="B922" s="4">
        <v>36355</v>
      </c>
      <c r="C922" s="5">
        <f t="shared" si="383"/>
        <v>40149</v>
      </c>
      <c r="D922" s="4" t="s">
        <v>63</v>
      </c>
      <c r="E922" s="4">
        <v>6</v>
      </c>
      <c r="F922" s="4">
        <v>129.5</v>
      </c>
      <c r="G922" s="4">
        <v>0.02</v>
      </c>
      <c r="H922" s="4" t="s">
        <v>22</v>
      </c>
      <c r="I922" s="6">
        <v>65.489999999999995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2"/>
        <v>40149</v>
      </c>
    </row>
    <row r="923" spans="1:21" ht="12" customHeight="1">
      <c r="A923" s="4">
        <v>5099</v>
      </c>
      <c r="B923" s="4">
        <v>36355</v>
      </c>
      <c r="C923" s="5">
        <f t="shared" si="383"/>
        <v>40149</v>
      </c>
      <c r="D923" s="4" t="s">
        <v>63</v>
      </c>
      <c r="E923" s="4">
        <v>10</v>
      </c>
      <c r="F923" s="4">
        <v>125.95</v>
      </c>
      <c r="G923" s="4">
        <v>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0.55000000000000004</v>
      </c>
      <c r="U923" s="5">
        <f t="shared" ref="U923:U924" si="384">C923+1</f>
        <v>40150</v>
      </c>
    </row>
    <row r="924" spans="1:21" ht="12" customHeight="1">
      <c r="A924" s="4">
        <v>5100</v>
      </c>
      <c r="B924" s="4">
        <v>36355</v>
      </c>
      <c r="C924" s="5">
        <f t="shared" si="383"/>
        <v>40149</v>
      </c>
      <c r="D924" s="4" t="s">
        <v>63</v>
      </c>
      <c r="E924" s="4">
        <v>43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0.55000000000000004</v>
      </c>
      <c r="U924" s="5">
        <f t="shared" si="384"/>
        <v>40150</v>
      </c>
    </row>
    <row r="925" spans="1:21" ht="12" customHeight="1">
      <c r="A925" s="4">
        <v>5104</v>
      </c>
      <c r="B925" s="4">
        <v>36358</v>
      </c>
      <c r="C925" s="5">
        <f t="shared" ref="C925:C926" si="385">DATE(2012,12,31)-1328</f>
        <v>39946</v>
      </c>
      <c r="D925" s="4" t="s">
        <v>45</v>
      </c>
      <c r="E925" s="4">
        <v>28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spans="1:21" ht="12" customHeight="1">
      <c r="A926" s="4">
        <v>5105</v>
      </c>
      <c r="B926" s="4">
        <v>36358</v>
      </c>
      <c r="C926" s="5">
        <f t="shared" si="385"/>
        <v>39946</v>
      </c>
      <c r="D926" s="4" t="s">
        <v>45</v>
      </c>
      <c r="E926" s="4">
        <v>22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spans="1:21" ht="12" customHeight="1">
      <c r="A927" s="4">
        <v>5161</v>
      </c>
      <c r="B927" s="4">
        <v>36739</v>
      </c>
      <c r="C927" s="5">
        <f t="shared" ref="C927:C928" si="386">DATE(2012,12,31)-1180</f>
        <v>40094</v>
      </c>
      <c r="D927" s="4" t="s">
        <v>45</v>
      </c>
      <c r="E927" s="4">
        <v>16</v>
      </c>
      <c r="F927" s="4">
        <v>68.040000000000006</v>
      </c>
      <c r="G927" s="4">
        <v>7.0000000000000007E-2</v>
      </c>
      <c r="H927" s="4" t="s">
        <v>22</v>
      </c>
      <c r="I927" s="6">
        <v>-55.521999999999998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spans="1:21" ht="12" customHeight="1">
      <c r="A928" s="4">
        <v>5162</v>
      </c>
      <c r="B928" s="4">
        <v>36739</v>
      </c>
      <c r="C928" s="5">
        <f t="shared" si="386"/>
        <v>40094</v>
      </c>
      <c r="D928" s="4" t="s">
        <v>45</v>
      </c>
      <c r="E928" s="4">
        <v>27</v>
      </c>
      <c r="F928" s="4">
        <v>331.17</v>
      </c>
      <c r="G928" s="4">
        <v>7.0000000000000007E-2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0.55000000000000004</v>
      </c>
      <c r="U928" s="5">
        <f>C928+0</f>
        <v>40094</v>
      </c>
    </row>
    <row r="929" spans="1:21" ht="12" customHeight="1">
      <c r="A929" s="4">
        <v>5287</v>
      </c>
      <c r="B929" s="4">
        <v>37638</v>
      </c>
      <c r="C929" s="5">
        <f>DATE(2012,12,31)-1440</f>
        <v>39834</v>
      </c>
      <c r="D929" s="4" t="s">
        <v>21</v>
      </c>
      <c r="E929" s="4">
        <v>33</v>
      </c>
      <c r="F929" s="4">
        <v>139.97999999999999</v>
      </c>
      <c r="G929" s="4">
        <v>7.0000000000000007E-2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spans="1:21" ht="12" customHeight="1">
      <c r="A930" s="4">
        <v>5300</v>
      </c>
      <c r="B930" s="4">
        <v>37734</v>
      </c>
      <c r="C930" s="5">
        <f t="shared" ref="C930:C931" si="387">DATE(2012,12,31)-1101</f>
        <v>40173</v>
      </c>
      <c r="D930" s="4" t="s">
        <v>78</v>
      </c>
      <c r="E930" s="4">
        <v>15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8">C930+1</f>
        <v>40174</v>
      </c>
    </row>
    <row r="931" spans="1:21" ht="12" customHeight="1">
      <c r="A931" s="4">
        <v>5301</v>
      </c>
      <c r="B931" s="4">
        <v>37734</v>
      </c>
      <c r="C931" s="5">
        <f t="shared" si="387"/>
        <v>40173</v>
      </c>
      <c r="D931" s="4" t="s">
        <v>78</v>
      </c>
      <c r="E931" s="4">
        <v>42</v>
      </c>
      <c r="F931" s="4">
        <v>601.52</v>
      </c>
      <c r="G931" s="4">
        <v>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8"/>
        <v>40174</v>
      </c>
    </row>
    <row r="932" spans="1:21" ht="12" customHeight="1">
      <c r="A932" s="4">
        <v>5324</v>
      </c>
      <c r="B932" s="4">
        <v>37859</v>
      </c>
      <c r="C932" s="5">
        <f>DATE(2012,12,31)-1372</f>
        <v>39902</v>
      </c>
      <c r="D932" s="4" t="s">
        <v>78</v>
      </c>
      <c r="E932" s="4">
        <v>2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spans="1:21" ht="12" customHeight="1">
      <c r="A933" s="4">
        <v>5398</v>
      </c>
      <c r="B933" s="4">
        <v>38371</v>
      </c>
      <c r="C933" s="5">
        <f>DATE(2012,12,31)-1149</f>
        <v>40125</v>
      </c>
      <c r="D933" s="4" t="s">
        <v>45</v>
      </c>
      <c r="E933" s="4">
        <v>24</v>
      </c>
      <c r="F933" s="4">
        <v>2004.4</v>
      </c>
      <c r="G933" s="4">
        <v>0.05</v>
      </c>
      <c r="H933" s="4" t="s">
        <v>56</v>
      </c>
      <c r="I933" s="6">
        <v>544.29999999999995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89">C933+1</f>
        <v>40126</v>
      </c>
    </row>
    <row r="934" spans="1:21" ht="12" customHeight="1">
      <c r="A934" s="4">
        <v>5511</v>
      </c>
      <c r="B934" s="4">
        <v>39076</v>
      </c>
      <c r="C934" s="5">
        <f>DATE(2012,12,31)-1116</f>
        <v>40158</v>
      </c>
      <c r="D934" s="4" t="s">
        <v>78</v>
      </c>
      <c r="E934" s="4">
        <v>41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89"/>
        <v>40159</v>
      </c>
    </row>
    <row r="935" spans="1:21" ht="12" customHeight="1">
      <c r="A935" s="4">
        <v>5533</v>
      </c>
      <c r="B935" s="4">
        <v>39173</v>
      </c>
      <c r="C935" s="5">
        <f t="shared" ref="C935:C936" si="390">DATE(2012,12,31)-1445</f>
        <v>39829</v>
      </c>
      <c r="D935" s="4" t="s">
        <v>78</v>
      </c>
      <c r="E935" s="4">
        <v>36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2.1800000000000002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1">C935+2</f>
        <v>39831</v>
      </c>
    </row>
    <row r="936" spans="1:21" ht="12" customHeight="1">
      <c r="A936" s="4">
        <v>5534</v>
      </c>
      <c r="B936" s="4">
        <v>39173</v>
      </c>
      <c r="C936" s="5">
        <f t="shared" si="390"/>
        <v>39829</v>
      </c>
      <c r="D936" s="4" t="s">
        <v>78</v>
      </c>
      <c r="E936" s="4">
        <v>2</v>
      </c>
      <c r="F936" s="4">
        <v>373.27</v>
      </c>
      <c r="G936" s="4">
        <v>0.05</v>
      </c>
      <c r="H936" s="4" t="s">
        <v>31</v>
      </c>
      <c r="I936" s="6">
        <v>-433.29014300000011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1"/>
        <v>39831</v>
      </c>
    </row>
    <row r="937" spans="1:21" ht="12" customHeight="1">
      <c r="A937" s="4">
        <v>5557</v>
      </c>
      <c r="B937" s="4">
        <v>39335</v>
      </c>
      <c r="C937" s="5">
        <f t="shared" ref="C937:C938" si="392">DATE(2012,12,31)-1316</f>
        <v>39958</v>
      </c>
      <c r="D937" s="4" t="s">
        <v>45</v>
      </c>
      <c r="E937" s="4">
        <v>24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4.7699999999999996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spans="1:21" ht="12" customHeight="1">
      <c r="A938" s="4">
        <v>5558</v>
      </c>
      <c r="B938" s="4">
        <v>39335</v>
      </c>
      <c r="C938" s="5">
        <f t="shared" si="392"/>
        <v>39958</v>
      </c>
      <c r="D938" s="4" t="s">
        <v>45</v>
      </c>
      <c r="E938" s="4">
        <v>34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3">C938+2</f>
        <v>39960</v>
      </c>
    </row>
    <row r="939" spans="1:21" ht="12" customHeight="1">
      <c r="A939" s="4">
        <v>5605</v>
      </c>
      <c r="B939" s="4">
        <v>39744</v>
      </c>
      <c r="C939" s="5">
        <f t="shared" ref="C939:C941" si="394">DATE(2012,12,31)-1274</f>
        <v>40000</v>
      </c>
      <c r="D939" s="4" t="s">
        <v>63</v>
      </c>
      <c r="E939" s="4">
        <v>6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3"/>
        <v>40002</v>
      </c>
    </row>
    <row r="940" spans="1:21" ht="12" customHeight="1">
      <c r="A940" s="4">
        <v>5606</v>
      </c>
      <c r="B940" s="4">
        <v>39744</v>
      </c>
      <c r="C940" s="5">
        <f t="shared" si="394"/>
        <v>40000</v>
      </c>
      <c r="D940" s="4" t="s">
        <v>63</v>
      </c>
      <c r="E940" s="4">
        <v>9</v>
      </c>
      <c r="F940" s="4">
        <v>519.95349999999996</v>
      </c>
      <c r="G940" s="4">
        <v>0</v>
      </c>
      <c r="H940" s="4" t="s">
        <v>22</v>
      </c>
      <c r="I940" s="6">
        <v>-107.98699999999999</v>
      </c>
      <c r="J940" s="4">
        <v>65.989999999999995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0.55000000000000004</v>
      </c>
      <c r="U940" s="5">
        <f t="shared" si="393"/>
        <v>40002</v>
      </c>
    </row>
    <row r="941" spans="1:21" ht="12" customHeight="1">
      <c r="A941" s="4">
        <v>5607</v>
      </c>
      <c r="B941" s="4">
        <v>39744</v>
      </c>
      <c r="C941" s="5">
        <f t="shared" si="394"/>
        <v>40000</v>
      </c>
      <c r="D941" s="4" t="s">
        <v>63</v>
      </c>
      <c r="E941" s="4">
        <v>41</v>
      </c>
      <c r="F941" s="4">
        <v>5636.3074999999999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0.57999999999999996</v>
      </c>
      <c r="U941" s="5">
        <f>C941+1</f>
        <v>40001</v>
      </c>
    </row>
    <row r="942" spans="1:21" ht="12" customHeight="1">
      <c r="A942" s="4">
        <v>5939</v>
      </c>
      <c r="B942" s="4">
        <v>42144</v>
      </c>
      <c r="C942" s="5">
        <f>DATE(2012,12,31)-1145</f>
        <v>40129</v>
      </c>
      <c r="D942" s="4" t="s">
        <v>63</v>
      </c>
      <c r="E942" s="4">
        <v>10</v>
      </c>
      <c r="F942" s="4">
        <v>670.03</v>
      </c>
      <c r="G942" s="4">
        <v>0.01</v>
      </c>
      <c r="H942" s="4" t="s">
        <v>56</v>
      </c>
      <c r="I942" s="6">
        <v>-326.47000000000003</v>
      </c>
      <c r="J942" s="4">
        <v>64.650000000000006</v>
      </c>
      <c r="K942" s="4">
        <v>35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5">C942+2</f>
        <v>40131</v>
      </c>
    </row>
    <row r="943" spans="1:21" ht="12" customHeight="1">
      <c r="A943" s="4">
        <v>6094</v>
      </c>
      <c r="B943" s="4">
        <v>43172</v>
      </c>
      <c r="C943" s="5">
        <f>DATE(2012,12,31)-1277</f>
        <v>39997</v>
      </c>
      <c r="D943" s="4" t="s">
        <v>21</v>
      </c>
      <c r="E943" s="4">
        <v>19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5"/>
        <v>39999</v>
      </c>
    </row>
    <row r="944" spans="1:21" ht="12" customHeight="1">
      <c r="A944" s="4">
        <v>6175</v>
      </c>
      <c r="B944" s="4">
        <v>43779</v>
      </c>
      <c r="C944" s="5">
        <f>DATE(2012,12,31)-1228</f>
        <v>40046</v>
      </c>
      <c r="D944" s="4" t="s">
        <v>30</v>
      </c>
      <c r="E944" s="4">
        <v>20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spans="1:21" ht="12" customHeight="1">
      <c r="A945" s="4">
        <v>6241</v>
      </c>
      <c r="B945" s="4">
        <v>44225</v>
      </c>
      <c r="C945" s="5">
        <f>DATE(2012,12,31)-1368</f>
        <v>39906</v>
      </c>
      <c r="D945" s="4" t="s">
        <v>30</v>
      </c>
      <c r="E945" s="4">
        <v>29</v>
      </c>
      <c r="F945" s="4">
        <v>1958.32</v>
      </c>
      <c r="G945" s="4">
        <v>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6">C945+2</f>
        <v>39908</v>
      </c>
    </row>
    <row r="946" spans="1:21" ht="12" customHeight="1">
      <c r="A946" s="4">
        <v>6265</v>
      </c>
      <c r="B946" s="4">
        <v>44352</v>
      </c>
      <c r="C946" s="5">
        <f>DATE(2012,12,31)-1203</f>
        <v>40071</v>
      </c>
      <c r="D946" s="4" t="s">
        <v>45</v>
      </c>
      <c r="E946" s="4">
        <v>25</v>
      </c>
      <c r="F946" s="4">
        <v>81.760000000000005</v>
      </c>
      <c r="G946" s="4">
        <v>0.06</v>
      </c>
      <c r="H946" s="4" t="s">
        <v>22</v>
      </c>
      <c r="I946" s="6">
        <v>8.5299999999999994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6"/>
        <v>40073</v>
      </c>
    </row>
    <row r="947" spans="1:21" ht="12" customHeight="1">
      <c r="A947" s="4">
        <v>6286</v>
      </c>
      <c r="B947" s="4">
        <v>44487</v>
      </c>
      <c r="C947" s="5">
        <f t="shared" ref="C947:C948" si="397">DATE(2012,12,31)-1207</f>
        <v>40067</v>
      </c>
      <c r="D947" s="4" t="s">
        <v>78</v>
      </c>
      <c r="E947" s="4">
        <v>4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spans="1:21" ht="12" customHeight="1">
      <c r="A948" s="4">
        <v>6287</v>
      </c>
      <c r="B948" s="4">
        <v>44487</v>
      </c>
      <c r="C948" s="5">
        <f t="shared" si="397"/>
        <v>40067</v>
      </c>
      <c r="D948" s="4" t="s">
        <v>78</v>
      </c>
      <c r="E948" s="4">
        <v>37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spans="1:21" ht="12" customHeight="1">
      <c r="A949" s="4">
        <v>6325</v>
      </c>
      <c r="B949" s="4">
        <v>44775</v>
      </c>
      <c r="C949" s="5">
        <f>DATE(2012,12,31)-1189</f>
        <v>40085</v>
      </c>
      <c r="D949" s="4" t="s">
        <v>63</v>
      </c>
      <c r="E949" s="4">
        <v>29</v>
      </c>
      <c r="F949" s="4">
        <v>209.3</v>
      </c>
      <c r="G949" s="4">
        <v>7.0000000000000007E-2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spans="1:21" ht="12" customHeight="1">
      <c r="A950" s="4">
        <v>6552</v>
      </c>
      <c r="B950" s="4">
        <v>46597</v>
      </c>
      <c r="C950" s="5">
        <f t="shared" ref="C950:C952" si="398">DATE(2012,12,31)-1096</f>
        <v>40178</v>
      </c>
      <c r="D950" s="4" t="s">
        <v>45</v>
      </c>
      <c r="E950" s="4">
        <v>47</v>
      </c>
      <c r="F950" s="4">
        <v>8216.5929999999989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spans="1:21" ht="12" customHeight="1">
      <c r="A951" s="4">
        <v>6553</v>
      </c>
      <c r="B951" s="4">
        <v>46597</v>
      </c>
      <c r="C951" s="5">
        <f t="shared" si="398"/>
        <v>40178</v>
      </c>
      <c r="D951" s="4" t="s">
        <v>45</v>
      </c>
      <c r="E951" s="4">
        <v>10</v>
      </c>
      <c r="F951" s="4">
        <v>130.36000000000001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4.9800000000000004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399">C951+2</f>
        <v>40180</v>
      </c>
    </row>
    <row r="952" spans="1:21" ht="12" customHeight="1">
      <c r="A952" s="4">
        <v>6554</v>
      </c>
      <c r="B952" s="4">
        <v>46597</v>
      </c>
      <c r="C952" s="5">
        <f t="shared" si="398"/>
        <v>40178</v>
      </c>
      <c r="D952" s="4" t="s">
        <v>45</v>
      </c>
      <c r="E952" s="4">
        <v>1</v>
      </c>
      <c r="F952" s="4">
        <v>200.57</v>
      </c>
      <c r="G952" s="4">
        <v>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399"/>
        <v>40180</v>
      </c>
    </row>
    <row r="953" spans="1:21" ht="12" customHeight="1">
      <c r="A953" s="4">
        <v>6951</v>
      </c>
      <c r="B953" s="4">
        <v>49666</v>
      </c>
      <c r="C953" s="5">
        <f>DATE(2012,12,31)-1243</f>
        <v>40031</v>
      </c>
      <c r="D953" s="4" t="s">
        <v>21</v>
      </c>
      <c r="E953" s="4">
        <v>46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0.56000000000000005</v>
      </c>
      <c r="U953" s="5">
        <f>C953+4</f>
        <v>40035</v>
      </c>
    </row>
    <row r="954" spans="1:21" ht="12" customHeight="1">
      <c r="A954" s="4">
        <v>7279</v>
      </c>
      <c r="B954" s="4">
        <v>51943</v>
      </c>
      <c r="C954" s="5">
        <f t="shared" ref="C954:C956" si="400">DATE(2012,12,31)-1347</f>
        <v>39927</v>
      </c>
      <c r="D954" s="4" t="s">
        <v>30</v>
      </c>
      <c r="E954" s="4">
        <v>11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1">C954+1</f>
        <v>39928</v>
      </c>
    </row>
    <row r="955" spans="1:21" ht="12" customHeight="1">
      <c r="A955" s="4">
        <v>7280</v>
      </c>
      <c r="B955" s="4">
        <v>51943</v>
      </c>
      <c r="C955" s="5">
        <f t="shared" si="400"/>
        <v>39927</v>
      </c>
      <c r="D955" s="4" t="s">
        <v>30</v>
      </c>
      <c r="E955" s="4">
        <v>13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1"/>
        <v>39928</v>
      </c>
    </row>
    <row r="956" spans="1:21" ht="12" customHeight="1">
      <c r="A956" s="4">
        <v>7281</v>
      </c>
      <c r="B956" s="4">
        <v>51943</v>
      </c>
      <c r="C956" s="5">
        <f t="shared" si="400"/>
        <v>39927</v>
      </c>
      <c r="D956" s="4" t="s">
        <v>30</v>
      </c>
      <c r="E956" s="4">
        <v>28</v>
      </c>
      <c r="F956" s="4">
        <v>140.02000000000001</v>
      </c>
      <c r="G956" s="4">
        <v>0.03</v>
      </c>
      <c r="H956" s="4" t="s">
        <v>22</v>
      </c>
      <c r="I956" s="6">
        <v>66.709999999999994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spans="1:21" ht="12" customHeight="1">
      <c r="A957" s="4">
        <v>7448</v>
      </c>
      <c r="B957" s="4">
        <v>53152</v>
      </c>
      <c r="C957" s="5">
        <f>DATE(2012,12,31)-1397</f>
        <v>39877</v>
      </c>
      <c r="D957" s="4" t="s">
        <v>63</v>
      </c>
      <c r="E957" s="4">
        <v>36</v>
      </c>
      <c r="F957" s="4">
        <v>2051.8235</v>
      </c>
      <c r="G957" s="4">
        <v>0.01</v>
      </c>
      <c r="H957" s="4" t="s">
        <v>56</v>
      </c>
      <c r="I957" s="6">
        <v>350.36099999999999</v>
      </c>
      <c r="J957" s="4">
        <v>65.989999999999995</v>
      </c>
      <c r="K957" s="4">
        <v>8.8000000000000007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0.57999999999999996</v>
      </c>
      <c r="U957" s="5">
        <f>C957+0</f>
        <v>39877</v>
      </c>
    </row>
    <row r="958" spans="1:21" ht="12" customHeight="1">
      <c r="A958" s="4">
        <v>7898</v>
      </c>
      <c r="B958" s="4">
        <v>56486</v>
      </c>
      <c r="C958" s="5">
        <f>DATE(2012,12,31)-1313</f>
        <v>39961</v>
      </c>
      <c r="D958" s="4" t="s">
        <v>78</v>
      </c>
      <c r="E958" s="4">
        <v>11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spans="1:21" ht="12" customHeight="1">
      <c r="A959" s="4">
        <v>7979</v>
      </c>
      <c r="B959" s="4">
        <v>57061</v>
      </c>
      <c r="C959" s="5">
        <f t="shared" ref="C959:C961" si="402">DATE(2012,12,31)-1127</f>
        <v>40147</v>
      </c>
      <c r="D959" s="4" t="s">
        <v>21</v>
      </c>
      <c r="E959" s="4">
        <v>21</v>
      </c>
      <c r="F959" s="4">
        <v>470.79</v>
      </c>
      <c r="G959" s="4">
        <v>0.04</v>
      </c>
      <c r="H959" s="4" t="s">
        <v>22</v>
      </c>
      <c r="I959" s="6">
        <v>-80.108999999999995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spans="1:21" ht="12" customHeight="1">
      <c r="A960" s="4">
        <v>7980</v>
      </c>
      <c r="B960" s="4">
        <v>57061</v>
      </c>
      <c r="C960" s="5">
        <f t="shared" si="402"/>
        <v>40147</v>
      </c>
      <c r="D960" s="4" t="s">
        <v>21</v>
      </c>
      <c r="E960" s="4">
        <v>6</v>
      </c>
      <c r="F960" s="4">
        <v>36.56</v>
      </c>
      <c r="G960" s="4">
        <v>7.0000000000000007E-2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spans="1:21" ht="12" customHeight="1">
      <c r="A961" s="4">
        <v>7981</v>
      </c>
      <c r="B961" s="4">
        <v>57061</v>
      </c>
      <c r="C961" s="5">
        <f t="shared" si="402"/>
        <v>40147</v>
      </c>
      <c r="D961" s="4" t="s">
        <v>21</v>
      </c>
      <c r="E961" s="4">
        <v>3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spans="1:21" ht="12" customHeight="1">
      <c r="A962" s="4">
        <v>8054</v>
      </c>
      <c r="B962" s="4">
        <v>57504</v>
      </c>
      <c r="C962" s="5">
        <f>DATE(2012,12,31)-1245</f>
        <v>40029</v>
      </c>
      <c r="D962" s="4" t="s">
        <v>45</v>
      </c>
      <c r="E962" s="4">
        <v>44</v>
      </c>
      <c r="F962" s="4">
        <v>357.48</v>
      </c>
      <c r="G962" s="4">
        <v>0.01</v>
      </c>
      <c r="H962" s="4" t="s">
        <v>22</v>
      </c>
      <c r="I962" s="6">
        <v>160.02000000000001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3">C962+3</f>
        <v>40032</v>
      </c>
    </row>
    <row r="963" spans="1:21" ht="12" customHeight="1">
      <c r="A963" s="4">
        <v>8083</v>
      </c>
      <c r="B963" s="4">
        <v>57666</v>
      </c>
      <c r="C963" s="5">
        <f t="shared" ref="C963:C964" si="404">DATE(2012,12,31)-1319</f>
        <v>39955</v>
      </c>
      <c r="D963" s="4" t="s">
        <v>45</v>
      </c>
      <c r="E963" s="4">
        <v>45</v>
      </c>
      <c r="F963" s="4">
        <v>1206.1500000000001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0.56999999999999995</v>
      </c>
      <c r="U963" s="5">
        <f t="shared" si="403"/>
        <v>39958</v>
      </c>
    </row>
    <row r="964" spans="1:21" ht="12" customHeight="1">
      <c r="A964" s="4">
        <v>8084</v>
      </c>
      <c r="B964" s="4">
        <v>57666</v>
      </c>
      <c r="C964" s="5">
        <f t="shared" si="404"/>
        <v>39955</v>
      </c>
      <c r="D964" s="4" t="s">
        <v>45</v>
      </c>
      <c r="E964" s="4">
        <v>44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spans="1:21" ht="12" customHeight="1">
      <c r="A965" s="4">
        <v>8200</v>
      </c>
      <c r="B965" s="4">
        <v>58628</v>
      </c>
      <c r="C965" s="5">
        <f>DATE(2012,12,31)-1378</f>
        <v>39896</v>
      </c>
      <c r="D965" s="4" t="s">
        <v>63</v>
      </c>
      <c r="E965" s="4">
        <v>23</v>
      </c>
      <c r="F965" s="4">
        <v>2527.7919999999999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spans="1:21" ht="12" customHeight="1">
      <c r="A966" s="4">
        <v>8266</v>
      </c>
      <c r="B966" s="4">
        <v>59104</v>
      </c>
      <c r="C966" s="5">
        <f t="shared" ref="C966:C968" si="405">DATE(2012,12,31)-1418</f>
        <v>39856</v>
      </c>
      <c r="D966" s="4" t="s">
        <v>30</v>
      </c>
      <c r="E966" s="4">
        <v>13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6">C966+3</f>
        <v>39859</v>
      </c>
    </row>
    <row r="967" spans="1:21" ht="12" customHeight="1">
      <c r="A967" s="4">
        <v>8267</v>
      </c>
      <c r="B967" s="4">
        <v>59104</v>
      </c>
      <c r="C967" s="5">
        <f t="shared" si="405"/>
        <v>39856</v>
      </c>
      <c r="D967" s="4" t="s">
        <v>30</v>
      </c>
      <c r="E967" s="4">
        <v>22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6"/>
        <v>39859</v>
      </c>
    </row>
    <row r="968" spans="1:21" ht="12" customHeight="1">
      <c r="A968" s="4">
        <v>8268</v>
      </c>
      <c r="B968" s="4">
        <v>59104</v>
      </c>
      <c r="C968" s="5">
        <f t="shared" si="405"/>
        <v>39856</v>
      </c>
      <c r="D968" s="4" t="s">
        <v>30</v>
      </c>
      <c r="E968" s="4">
        <v>38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0.55000000000000004</v>
      </c>
      <c r="U968" s="5">
        <f>C968+2</f>
        <v>39858</v>
      </c>
    </row>
    <row r="969" spans="1:21" ht="12" customHeight="1">
      <c r="A969" s="4">
        <v>8389</v>
      </c>
      <c r="B969" s="4">
        <v>59937</v>
      </c>
      <c r="C969" s="5">
        <f>DATE(2012,12,31)-1099</f>
        <v>40175</v>
      </c>
      <c r="D969" s="4" t="s">
        <v>30</v>
      </c>
      <c r="E969" s="4">
        <v>7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17.079999999999998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7">C969+1</f>
        <v>40176</v>
      </c>
    </row>
    <row r="970" spans="1:21" ht="12" customHeight="1">
      <c r="A970" s="4">
        <v>150</v>
      </c>
      <c r="B970" s="4">
        <v>960</v>
      </c>
      <c r="C970" s="5">
        <f>DATE(2012,12,31)-1198</f>
        <v>40076</v>
      </c>
      <c r="D970" s="4" t="s">
        <v>63</v>
      </c>
      <c r="E970" s="4">
        <v>46</v>
      </c>
      <c r="F970" s="4">
        <v>605.97</v>
      </c>
      <c r="G970" s="4">
        <v>7.0000000000000007E-2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7"/>
        <v>40077</v>
      </c>
    </row>
    <row r="971" spans="1:21" ht="12" customHeight="1">
      <c r="A971" s="4">
        <v>244</v>
      </c>
      <c r="B971" s="4">
        <v>1665</v>
      </c>
      <c r="C971" s="5">
        <f>DATE(2012,12,31)-1334</f>
        <v>39940</v>
      </c>
      <c r="D971" s="4" t="s">
        <v>30</v>
      </c>
      <c r="E971" s="4">
        <v>26</v>
      </c>
      <c r="F971" s="4">
        <v>755.60749999999996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1.1000000000000001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0.55000000000000004</v>
      </c>
      <c r="U971" s="5">
        <f>C971+2</f>
        <v>39942</v>
      </c>
    </row>
    <row r="972" spans="1:21" ht="12" customHeight="1">
      <c r="A972" s="4">
        <v>281</v>
      </c>
      <c r="B972" s="4">
        <v>1952</v>
      </c>
      <c r="C972" s="5">
        <f>DATE(2012,12,31)-1387</f>
        <v>39887</v>
      </c>
      <c r="D972" s="4" t="s">
        <v>30</v>
      </c>
      <c r="E972" s="4">
        <v>24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spans="1:21" ht="12" customHeight="1">
      <c r="A973" s="4">
        <v>400</v>
      </c>
      <c r="B973" s="4">
        <v>2754</v>
      </c>
      <c r="C973" s="5">
        <f t="shared" ref="C973:C974" si="408">DATE(2012,12,31)-1369</f>
        <v>39905</v>
      </c>
      <c r="D973" s="4" t="s">
        <v>30</v>
      </c>
      <c r="E973" s="4">
        <v>16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0.56000000000000005</v>
      </c>
      <c r="U973" s="5">
        <f t="shared" ref="U973:U974" si="409">C973+2</f>
        <v>39907</v>
      </c>
    </row>
    <row r="974" spans="1:21" ht="12" customHeight="1">
      <c r="A974" s="4">
        <v>401</v>
      </c>
      <c r="B974" s="4">
        <v>2754</v>
      </c>
      <c r="C974" s="5">
        <f t="shared" si="408"/>
        <v>39905</v>
      </c>
      <c r="D974" s="4" t="s">
        <v>30</v>
      </c>
      <c r="E974" s="4">
        <v>11</v>
      </c>
      <c r="F974" s="4">
        <v>499.26</v>
      </c>
      <c r="G974" s="4">
        <v>0.09</v>
      </c>
      <c r="H974" s="4" t="s">
        <v>56</v>
      </c>
      <c r="I974" s="6">
        <v>144.05000000000001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09"/>
        <v>39907</v>
      </c>
    </row>
    <row r="975" spans="1:21" ht="12" customHeight="1">
      <c r="A975" s="4">
        <v>611</v>
      </c>
      <c r="B975" s="4">
        <v>4193</v>
      </c>
      <c r="C975" s="5">
        <f t="shared" ref="C975:C976" si="410">DATE(2012,12,31)-1453</f>
        <v>39821</v>
      </c>
      <c r="D975" s="4" t="s">
        <v>30</v>
      </c>
      <c r="E975" s="4">
        <v>16</v>
      </c>
      <c r="F975" s="4">
        <v>64.290000000000006</v>
      </c>
      <c r="G975" s="4">
        <v>7.0000000000000007E-2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1">C975+0</f>
        <v>39821</v>
      </c>
    </row>
    <row r="976" spans="1:21" ht="12" customHeight="1">
      <c r="A976" s="4">
        <v>612</v>
      </c>
      <c r="B976" s="4">
        <v>4193</v>
      </c>
      <c r="C976" s="5">
        <f t="shared" si="410"/>
        <v>39821</v>
      </c>
      <c r="D976" s="4" t="s">
        <v>30</v>
      </c>
      <c r="E976" s="4">
        <v>3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1"/>
        <v>39821</v>
      </c>
    </row>
    <row r="977" spans="1:21" ht="12" customHeight="1">
      <c r="A977" s="4">
        <v>694</v>
      </c>
      <c r="B977" s="4">
        <v>4839</v>
      </c>
      <c r="C977" s="5">
        <f>DATE(2012,12,31)-1332</f>
        <v>39942</v>
      </c>
      <c r="D977" s="4" t="s">
        <v>78</v>
      </c>
      <c r="E977" s="4">
        <v>24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1"/>
        <v>39942</v>
      </c>
    </row>
    <row r="978" spans="1:21" ht="12" customHeight="1">
      <c r="A978" s="4">
        <v>1048</v>
      </c>
      <c r="B978" s="4">
        <v>7744</v>
      </c>
      <c r="C978" s="5">
        <f t="shared" ref="C978:C979" si="412">DATE(2012,12,31)-1140</f>
        <v>40134</v>
      </c>
      <c r="D978" s="4" t="s">
        <v>21</v>
      </c>
      <c r="E978" s="4">
        <v>26</v>
      </c>
      <c r="F978" s="4">
        <v>4286.55</v>
      </c>
      <c r="G978" s="4">
        <v>7.0000000000000007E-2</v>
      </c>
      <c r="H978" s="4" t="s">
        <v>22</v>
      </c>
      <c r="I978" s="6">
        <v>1416.7035000000001</v>
      </c>
      <c r="J978" s="4">
        <v>172.99</v>
      </c>
      <c r="K978" s="4">
        <v>19.989999999999998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1"/>
        <v>40134</v>
      </c>
    </row>
    <row r="979" spans="1:21" ht="12" customHeight="1">
      <c r="A979" s="4">
        <v>1049</v>
      </c>
      <c r="B979" s="4">
        <v>7744</v>
      </c>
      <c r="C979" s="5">
        <f t="shared" si="412"/>
        <v>40134</v>
      </c>
      <c r="D979" s="4" t="s">
        <v>21</v>
      </c>
      <c r="E979" s="4">
        <v>1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spans="1:21" ht="12" customHeight="1">
      <c r="A980" s="4">
        <v>1369</v>
      </c>
      <c r="B980" s="4">
        <v>9926</v>
      </c>
      <c r="C980" s="5">
        <f>DATE(2012,12,31)-1177</f>
        <v>40097</v>
      </c>
      <c r="D980" s="4" t="s">
        <v>30</v>
      </c>
      <c r="E980" s="4">
        <v>25</v>
      </c>
      <c r="F980" s="4">
        <v>158.83000000000001</v>
      </c>
      <c r="G980" s="4">
        <v>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0.55000000000000004</v>
      </c>
      <c r="U980" s="5">
        <f>C980+2</f>
        <v>40099</v>
      </c>
    </row>
    <row r="981" spans="1:21" ht="12" customHeight="1">
      <c r="A981" s="4">
        <v>1739</v>
      </c>
      <c r="B981" s="4">
        <v>12480</v>
      </c>
      <c r="C981" s="5">
        <f>DATE(2012,12,31)-1273</f>
        <v>40001</v>
      </c>
      <c r="D981" s="4" t="s">
        <v>63</v>
      </c>
      <c r="E981" s="4">
        <v>8</v>
      </c>
      <c r="F981" s="4">
        <v>1187.01</v>
      </c>
      <c r="G981" s="4">
        <v>0</v>
      </c>
      <c r="H981" s="4" t="s">
        <v>31</v>
      </c>
      <c r="I981" s="6">
        <v>-203.27</v>
      </c>
      <c r="J981" s="4">
        <v>137.47999999999999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spans="1:21" ht="12" customHeight="1">
      <c r="A982" s="4">
        <v>1749</v>
      </c>
      <c r="B982" s="4">
        <v>12516</v>
      </c>
      <c r="C982" s="5">
        <f t="shared" ref="C982:C983" si="413">DATE(2012,12,31)-1317</f>
        <v>39957</v>
      </c>
      <c r="D982" s="4" t="s">
        <v>21</v>
      </c>
      <c r="E982" s="4">
        <v>31</v>
      </c>
      <c r="F982" s="4">
        <v>2360.4299999999998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spans="1:21" ht="12" customHeight="1">
      <c r="A983" s="4">
        <v>1750</v>
      </c>
      <c r="B983" s="4">
        <v>12516</v>
      </c>
      <c r="C983" s="5">
        <f t="shared" si="413"/>
        <v>39957</v>
      </c>
      <c r="D983" s="4" t="s">
        <v>21</v>
      </c>
      <c r="E983" s="4">
        <v>22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5.1100000000000003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4">C983+4</f>
        <v>39961</v>
      </c>
    </row>
    <row r="984" spans="1:21" ht="12" customHeight="1">
      <c r="A984" s="4">
        <v>1918</v>
      </c>
      <c r="B984" s="4">
        <v>13761</v>
      </c>
      <c r="C984" s="5">
        <f>DATE(2012,12,31)-1171</f>
        <v>40103</v>
      </c>
      <c r="D984" s="4" t="s">
        <v>21</v>
      </c>
      <c r="E984" s="4">
        <v>32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4"/>
        <v>40107</v>
      </c>
    </row>
    <row r="985" spans="1:21" ht="12" customHeight="1">
      <c r="A985" s="4">
        <v>2183</v>
      </c>
      <c r="B985" s="4">
        <v>15718</v>
      </c>
      <c r="C985" s="5">
        <f t="shared" ref="C985:C986" si="415">DATE(2012,12,31)-1434</f>
        <v>39840</v>
      </c>
      <c r="D985" s="4" t="s">
        <v>78</v>
      </c>
      <c r="E985" s="4">
        <v>41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0.57999999999999996</v>
      </c>
      <c r="U985" s="5">
        <f>C985+2</f>
        <v>39842</v>
      </c>
    </row>
    <row r="986" spans="1:21" ht="12" customHeight="1">
      <c r="A986" s="4">
        <v>2184</v>
      </c>
      <c r="B986" s="4">
        <v>15718</v>
      </c>
      <c r="C986" s="5">
        <f t="shared" si="415"/>
        <v>39840</v>
      </c>
      <c r="D986" s="4" t="s">
        <v>78</v>
      </c>
      <c r="E986" s="4">
        <v>50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1.1399999999999999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spans="1:21" ht="12" customHeight="1">
      <c r="A987" s="4">
        <v>2314</v>
      </c>
      <c r="B987" s="4">
        <v>16676</v>
      </c>
      <c r="C987" s="5">
        <f>DATE(2012,12,31)-1383</f>
        <v>39891</v>
      </c>
      <c r="D987" s="4" t="s">
        <v>30</v>
      </c>
      <c r="E987" s="4">
        <v>39</v>
      </c>
      <c r="F987" s="4">
        <v>936.80199999999991</v>
      </c>
      <c r="G987" s="4">
        <v>7.0000000000000007E-2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0.56000000000000005</v>
      </c>
      <c r="U987" s="5">
        <f>C987+0</f>
        <v>39891</v>
      </c>
    </row>
    <row r="988" spans="1:21" ht="12" customHeight="1">
      <c r="A988" s="4">
        <v>2357</v>
      </c>
      <c r="B988" s="4">
        <v>16999</v>
      </c>
      <c r="C988" s="5">
        <f>DATE(2012,12,31)-1442</f>
        <v>39832</v>
      </c>
      <c r="D988" s="4" t="s">
        <v>78</v>
      </c>
      <c r="E988" s="4">
        <v>18</v>
      </c>
      <c r="F988" s="4">
        <v>3568.45</v>
      </c>
      <c r="G988" s="4">
        <v>0.09</v>
      </c>
      <c r="H988" s="4" t="s">
        <v>22</v>
      </c>
      <c r="I988" s="6">
        <v>1081.6199999999999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0.55000000000000004</v>
      </c>
      <c r="U988" s="5">
        <f t="shared" ref="U988:U989" si="416">C988+2</f>
        <v>39834</v>
      </c>
    </row>
    <row r="989" spans="1:21" ht="12" customHeight="1">
      <c r="A989" s="4">
        <v>2435</v>
      </c>
      <c r="B989" s="4">
        <v>17670</v>
      </c>
      <c r="C989" s="5">
        <f>DATE(2012,12,31)-1224</f>
        <v>40050</v>
      </c>
      <c r="D989" s="4" t="s">
        <v>63</v>
      </c>
      <c r="E989" s="4">
        <v>14</v>
      </c>
      <c r="F989" s="4">
        <v>36.520000000000003</v>
      </c>
      <c r="G989" s="4">
        <v>7.0000000000000007E-2</v>
      </c>
      <c r="H989" s="4" t="s">
        <v>22</v>
      </c>
      <c r="I989" s="6">
        <v>10.050000000000001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6"/>
        <v>40052</v>
      </c>
    </row>
    <row r="990" spans="1:21" ht="12" customHeight="1">
      <c r="A990" s="4">
        <v>2693</v>
      </c>
      <c r="B990" s="4">
        <v>19493</v>
      </c>
      <c r="C990" s="5">
        <f>DATE(2012,12,31)-1428</f>
        <v>39846</v>
      </c>
      <c r="D990" s="4" t="s">
        <v>78</v>
      </c>
      <c r="E990" s="4">
        <v>31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spans="1:21" ht="12" customHeight="1">
      <c r="A991" s="4">
        <v>2827</v>
      </c>
      <c r="B991" s="4">
        <v>20390</v>
      </c>
      <c r="C991" s="5">
        <f t="shared" ref="C991:C992" si="417">DATE(2012,12,31)-1218</f>
        <v>40056</v>
      </c>
      <c r="D991" s="4" t="s">
        <v>45</v>
      </c>
      <c r="E991" s="4">
        <v>35</v>
      </c>
      <c r="F991" s="4">
        <v>1271.1199999999999</v>
      </c>
      <c r="G991" s="4">
        <v>0.05</v>
      </c>
      <c r="H991" s="4" t="s">
        <v>56</v>
      </c>
      <c r="I991" s="6">
        <v>-62.82</v>
      </c>
      <c r="J991" s="4">
        <v>34.979999999999997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spans="1:21" ht="12" customHeight="1">
      <c r="A992" s="4">
        <v>2828</v>
      </c>
      <c r="B992" s="4">
        <v>20390</v>
      </c>
      <c r="C992" s="5">
        <f t="shared" si="417"/>
        <v>40056</v>
      </c>
      <c r="D992" s="4" t="s">
        <v>45</v>
      </c>
      <c r="E992" s="4">
        <v>17</v>
      </c>
      <c r="F992" s="4">
        <v>58.5</v>
      </c>
      <c r="G992" s="4">
        <v>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spans="1:21" ht="12" customHeight="1">
      <c r="A993" s="4">
        <v>3065</v>
      </c>
      <c r="B993" s="4">
        <v>21958</v>
      </c>
      <c r="C993" s="5">
        <f>DATE(2012,12,31)-1305</f>
        <v>39969</v>
      </c>
      <c r="D993" s="4" t="s">
        <v>30</v>
      </c>
      <c r="E993" s="4">
        <v>14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19.989999999999998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0.56999999999999995</v>
      </c>
      <c r="U993" s="5">
        <f t="shared" ref="U993:U998" si="418">C993+1</f>
        <v>39970</v>
      </c>
    </row>
    <row r="994" spans="1:21" ht="12" customHeight="1">
      <c r="A994" s="4">
        <v>3235</v>
      </c>
      <c r="B994" s="4">
        <v>23205</v>
      </c>
      <c r="C994" s="5">
        <f t="shared" ref="C994:C996" si="419">DATE(2012,12,31)-1317</f>
        <v>39957</v>
      </c>
      <c r="D994" s="4" t="s">
        <v>30</v>
      </c>
      <c r="E994" s="4">
        <v>8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8"/>
        <v>39958</v>
      </c>
    </row>
    <row r="995" spans="1:21" ht="12" customHeight="1">
      <c r="A995" s="4">
        <v>3236</v>
      </c>
      <c r="B995" s="4">
        <v>23205</v>
      </c>
      <c r="C995" s="5">
        <f t="shared" si="419"/>
        <v>39957</v>
      </c>
      <c r="D995" s="4" t="s">
        <v>30</v>
      </c>
      <c r="E995" s="4">
        <v>32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8.1199999999999992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8"/>
        <v>39958</v>
      </c>
    </row>
    <row r="996" spans="1:21" ht="12" customHeight="1">
      <c r="A996" s="4">
        <v>3237</v>
      </c>
      <c r="B996" s="4">
        <v>23205</v>
      </c>
      <c r="C996" s="5">
        <f t="shared" si="419"/>
        <v>39957</v>
      </c>
      <c r="D996" s="4" t="s">
        <v>30</v>
      </c>
      <c r="E996" s="4">
        <v>26</v>
      </c>
      <c r="F996" s="4">
        <v>7208.8</v>
      </c>
      <c r="G996" s="4">
        <v>0.02</v>
      </c>
      <c r="H996" s="4" t="s">
        <v>31</v>
      </c>
      <c r="I996" s="6">
        <v>-633.44123700000023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8"/>
        <v>39958</v>
      </c>
    </row>
    <row r="997" spans="1:21" ht="12" customHeight="1">
      <c r="A997" s="4">
        <v>3710</v>
      </c>
      <c r="B997" s="4">
        <v>26470</v>
      </c>
      <c r="C997" s="5">
        <f>DATE(2012,12,31)-1381</f>
        <v>39893</v>
      </c>
      <c r="D997" s="4" t="s">
        <v>30</v>
      </c>
      <c r="E997" s="4">
        <v>41</v>
      </c>
      <c r="F997" s="4">
        <v>18081.759999999998</v>
      </c>
      <c r="G997" s="4">
        <v>0.03</v>
      </c>
      <c r="H997" s="4" t="s">
        <v>22</v>
      </c>
      <c r="I997" s="6">
        <v>8822.2775000000001</v>
      </c>
      <c r="J997" s="4">
        <v>420.98</v>
      </c>
      <c r="K997" s="4">
        <v>19.989999999999998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8"/>
        <v>39894</v>
      </c>
    </row>
    <row r="998" spans="1:21" ht="12" customHeight="1">
      <c r="A998" s="4">
        <v>3718</v>
      </c>
      <c r="B998" s="4">
        <v>26565</v>
      </c>
      <c r="C998" s="5">
        <f>DATE(2012,12,31)-1167</f>
        <v>40107</v>
      </c>
      <c r="D998" s="4" t="s">
        <v>63</v>
      </c>
      <c r="E998" s="4">
        <v>49</v>
      </c>
      <c r="F998" s="4">
        <v>21337.27</v>
      </c>
      <c r="G998" s="4">
        <v>0.02</v>
      </c>
      <c r="H998" s="4" t="s">
        <v>22</v>
      </c>
      <c r="I998" s="6">
        <v>7606</v>
      </c>
      <c r="J998" s="4">
        <v>419.19</v>
      </c>
      <c r="K998" s="4">
        <v>19.989999999999998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0.57999999999999996</v>
      </c>
      <c r="U998" s="5">
        <f t="shared" si="418"/>
        <v>40108</v>
      </c>
    </row>
    <row r="999" spans="1:21" ht="12" customHeight="1">
      <c r="A999" s="4">
        <v>3955</v>
      </c>
      <c r="B999" s="4">
        <v>28225</v>
      </c>
      <c r="C999" s="5">
        <f>DATE(2012,12,31)-1439</f>
        <v>39835</v>
      </c>
      <c r="D999" s="4" t="s">
        <v>78</v>
      </c>
      <c r="E999" s="4">
        <v>13</v>
      </c>
      <c r="F999" s="4">
        <v>1160.5899999999999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spans="1:21" ht="12" customHeight="1">
      <c r="A1000" s="4">
        <v>3959</v>
      </c>
      <c r="B1000" s="4">
        <v>28258</v>
      </c>
      <c r="C1000" s="5">
        <f t="shared" ref="C1000:C1001" si="420">DATE(2012,12,31)-1389</f>
        <v>39885</v>
      </c>
      <c r="D1000" s="4" t="s">
        <v>78</v>
      </c>
      <c r="E1000" s="4">
        <v>2</v>
      </c>
      <c r="F1000" s="4">
        <v>201.178</v>
      </c>
      <c r="G1000" s="4">
        <v>7.0000000000000007E-2</v>
      </c>
      <c r="H1000" s="4" t="s">
        <v>22</v>
      </c>
      <c r="I1000" s="6">
        <v>-604.40600000000006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spans="1:21" ht="12" customHeight="1">
      <c r="A1001" s="4">
        <v>3960</v>
      </c>
      <c r="B1001" s="4">
        <v>28258</v>
      </c>
      <c r="C1001" s="5">
        <f t="shared" si="420"/>
        <v>39885</v>
      </c>
      <c r="D1001" s="4" t="s">
        <v>78</v>
      </c>
      <c r="E1001" s="4">
        <v>25</v>
      </c>
      <c r="F1001" s="4">
        <v>2493.2399999999998</v>
      </c>
      <c r="G1001" s="4">
        <v>0.03</v>
      </c>
      <c r="H1001" s="4" t="s">
        <v>22</v>
      </c>
      <c r="I1001" s="6">
        <v>293.66000000000003</v>
      </c>
      <c r="J1001" s="4">
        <v>99.99</v>
      </c>
      <c r="K1001" s="4">
        <v>19.989999999999998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spans="1:21" ht="12" customHeight="1">
      <c r="A1002" s="4">
        <v>4204</v>
      </c>
      <c r="B1002" s="4">
        <v>29889</v>
      </c>
      <c r="C1002" s="5">
        <f>DATE(2012,12,31)-1123</f>
        <v>40151</v>
      </c>
      <c r="D1002" s="4" t="s">
        <v>45</v>
      </c>
      <c r="E1002" s="4">
        <v>44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spans="1:21" ht="12" customHeight="1">
      <c r="A1003" s="4">
        <v>4313</v>
      </c>
      <c r="B1003" s="4">
        <v>30726</v>
      </c>
      <c r="C1003" s="5">
        <f>DATE(2012,12,31)-1132</f>
        <v>40142</v>
      </c>
      <c r="D1003" s="4" t="s">
        <v>63</v>
      </c>
      <c r="E1003" s="4">
        <v>35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0.56999999999999995</v>
      </c>
      <c r="U1003" s="5">
        <f>C1003+1</f>
        <v>40143</v>
      </c>
    </row>
    <row r="1004" spans="1:21" ht="12" customHeight="1">
      <c r="A1004" s="4">
        <v>4341</v>
      </c>
      <c r="B1004" s="4">
        <v>30915</v>
      </c>
      <c r="C1004" s="5">
        <f t="shared" ref="C1004:C1005" si="421">DATE(2012,12,31)-1445</f>
        <v>39829</v>
      </c>
      <c r="D1004" s="4" t="s">
        <v>21</v>
      </c>
      <c r="E1004" s="4">
        <v>20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2.0299999999999998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0.56999999999999995</v>
      </c>
      <c r="U1004" s="5">
        <f>C1004+0</f>
        <v>39829</v>
      </c>
    </row>
    <row r="1005" spans="1:21" ht="12" customHeight="1">
      <c r="A1005" s="4">
        <v>4342</v>
      </c>
      <c r="B1005" s="4">
        <v>30915</v>
      </c>
      <c r="C1005" s="5">
        <f t="shared" si="421"/>
        <v>39829</v>
      </c>
      <c r="D1005" s="4" t="s">
        <v>21</v>
      </c>
      <c r="E1005" s="4">
        <v>25</v>
      </c>
      <c r="F1005" s="4">
        <v>2836.0505000000003</v>
      </c>
      <c r="G1005" s="4">
        <v>0.01</v>
      </c>
      <c r="H1005" s="4" t="s">
        <v>22</v>
      </c>
      <c r="I1005" s="6">
        <v>561.13200000000006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spans="1:21" ht="12" customHeight="1">
      <c r="A1006" s="4">
        <v>4370</v>
      </c>
      <c r="B1006" s="4">
        <v>31138</v>
      </c>
      <c r="C1006" s="5">
        <f>DATE(2012,12,31)-1440</f>
        <v>39834</v>
      </c>
      <c r="D1006" s="4" t="s">
        <v>30</v>
      </c>
      <c r="E1006" s="4">
        <v>37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spans="1:21" ht="12" customHeight="1">
      <c r="A1007" s="4">
        <v>5109</v>
      </c>
      <c r="B1007" s="4">
        <v>36416</v>
      </c>
      <c r="C1007" s="5">
        <f t="shared" ref="C1007:C1008" si="422">DATE(2012,12,31)-1127</f>
        <v>40147</v>
      </c>
      <c r="D1007" s="4" t="s">
        <v>21</v>
      </c>
      <c r="E1007" s="4">
        <v>44</v>
      </c>
      <c r="F1007" s="4">
        <v>276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3">C1007+4</f>
        <v>40151</v>
      </c>
    </row>
    <row r="1008" spans="1:21" ht="12" customHeight="1">
      <c r="A1008" s="4">
        <v>5110</v>
      </c>
      <c r="B1008" s="4">
        <v>36416</v>
      </c>
      <c r="C1008" s="5">
        <f t="shared" si="422"/>
        <v>40147</v>
      </c>
      <c r="D1008" s="4" t="s">
        <v>21</v>
      </c>
      <c r="E1008" s="4">
        <v>46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0.55000000000000004</v>
      </c>
      <c r="U1008" s="5">
        <f t="shared" si="423"/>
        <v>40151</v>
      </c>
    </row>
    <row r="1009" spans="1:21" ht="12" customHeight="1">
      <c r="A1009" s="4">
        <v>5151</v>
      </c>
      <c r="B1009" s="4">
        <v>36705</v>
      </c>
      <c r="C1009" s="5">
        <f>DATE(2012,12,31)-1285</f>
        <v>39989</v>
      </c>
      <c r="D1009" s="4" t="s">
        <v>45</v>
      </c>
      <c r="E1009" s="4">
        <v>17</v>
      </c>
      <c r="F1009" s="4">
        <v>1032.0719999999999</v>
      </c>
      <c r="G1009" s="4">
        <v>0.06</v>
      </c>
      <c r="H1009" s="4" t="s">
        <v>31</v>
      </c>
      <c r="I1009" s="6">
        <v>54.230849999999997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spans="1:21" ht="12" customHeight="1">
      <c r="A1010" s="4">
        <v>5190</v>
      </c>
      <c r="B1010" s="4">
        <v>36896</v>
      </c>
      <c r="C1010" s="5">
        <f t="shared" ref="C1010:C1012" si="424">DATE(2012,12,31)-1154</f>
        <v>40120</v>
      </c>
      <c r="D1010" s="4" t="s">
        <v>78</v>
      </c>
      <c r="E1010" s="4">
        <v>12</v>
      </c>
      <c r="F1010" s="4">
        <v>34.01</v>
      </c>
      <c r="G1010" s="4">
        <v>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spans="1:21" ht="12" customHeight="1">
      <c r="A1011" s="4">
        <v>5191</v>
      </c>
      <c r="B1011" s="4">
        <v>36896</v>
      </c>
      <c r="C1011" s="5">
        <f t="shared" si="424"/>
        <v>40120</v>
      </c>
      <c r="D1011" s="4" t="s">
        <v>78</v>
      </c>
      <c r="E1011" s="4">
        <v>41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spans="1:21" ht="12" customHeight="1">
      <c r="A1012" s="4">
        <v>5192</v>
      </c>
      <c r="B1012" s="4">
        <v>36896</v>
      </c>
      <c r="C1012" s="5">
        <f t="shared" si="424"/>
        <v>40120</v>
      </c>
      <c r="D1012" s="4" t="s">
        <v>78</v>
      </c>
      <c r="E1012" s="4">
        <v>21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spans="1:21" ht="12" customHeight="1">
      <c r="A1013" s="4">
        <v>5415</v>
      </c>
      <c r="B1013" s="4">
        <v>38501</v>
      </c>
      <c r="C1013" s="5">
        <f>DATE(2012,12,31)-1343</f>
        <v>39931</v>
      </c>
      <c r="D1013" s="4" t="s">
        <v>78</v>
      </c>
      <c r="E1013" s="4">
        <v>11</v>
      </c>
      <c r="F1013" s="4">
        <v>78.680000000000007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5">C1013+1</f>
        <v>39932</v>
      </c>
    </row>
    <row r="1014" spans="1:21" ht="12" customHeight="1">
      <c r="A1014" s="4">
        <v>5428</v>
      </c>
      <c r="B1014" s="4">
        <v>38564</v>
      </c>
      <c r="C1014" s="5">
        <f t="shared" ref="C1014:C1015" si="426">DATE(2012,12,31)-1155</f>
        <v>40119</v>
      </c>
      <c r="D1014" s="4" t="s">
        <v>78</v>
      </c>
      <c r="E1014" s="4">
        <v>31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5"/>
        <v>40120</v>
      </c>
    </row>
    <row r="1015" spans="1:21" ht="12" customHeight="1">
      <c r="A1015" s="4">
        <v>5429</v>
      </c>
      <c r="B1015" s="4">
        <v>38564</v>
      </c>
      <c r="C1015" s="5">
        <f t="shared" si="426"/>
        <v>40119</v>
      </c>
      <c r="D1015" s="4" t="s">
        <v>78</v>
      </c>
      <c r="E1015" s="4">
        <v>21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spans="1:21" ht="12" customHeight="1">
      <c r="A1016" s="4">
        <v>5481</v>
      </c>
      <c r="B1016" s="4">
        <v>38915</v>
      </c>
      <c r="C1016" s="5">
        <f t="shared" ref="C1016:C1017" si="427">DATE(2012,12,31)-1201</f>
        <v>40073</v>
      </c>
      <c r="D1016" s="4" t="s">
        <v>63</v>
      </c>
      <c r="E1016" s="4">
        <v>12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0.57999999999999996</v>
      </c>
      <c r="U1016" s="5">
        <f>C1016+1</f>
        <v>40074</v>
      </c>
    </row>
    <row r="1017" spans="1:21" ht="12" customHeight="1">
      <c r="A1017" s="4">
        <v>5482</v>
      </c>
      <c r="B1017" s="4">
        <v>38915</v>
      </c>
      <c r="C1017" s="5">
        <f t="shared" si="427"/>
        <v>40073</v>
      </c>
      <c r="D1017" s="4" t="s">
        <v>63</v>
      </c>
      <c r="E1017" s="4">
        <v>34</v>
      </c>
      <c r="F1017" s="4">
        <v>253.6</v>
      </c>
      <c r="G1017" s="4">
        <v>7.0000000000000007E-2</v>
      </c>
      <c r="H1017" s="4" t="s">
        <v>22</v>
      </c>
      <c r="I1017" s="6">
        <v>24.39</v>
      </c>
      <c r="J1017" s="4">
        <v>7.59</v>
      </c>
      <c r="K1017" s="4">
        <v>4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8">C1017+2</f>
        <v>40075</v>
      </c>
    </row>
    <row r="1018" spans="1:21" ht="12" customHeight="1">
      <c r="A1018" s="4">
        <v>5487</v>
      </c>
      <c r="B1018" s="4">
        <v>38947</v>
      </c>
      <c r="C1018" s="5">
        <f>DATE(2012,12,31)-1128</f>
        <v>40146</v>
      </c>
      <c r="D1018" s="4" t="s">
        <v>78</v>
      </c>
      <c r="E1018" s="4">
        <v>20</v>
      </c>
      <c r="F1018" s="4">
        <v>307.45999999999998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8"/>
        <v>40148</v>
      </c>
    </row>
    <row r="1019" spans="1:21" ht="12" customHeight="1">
      <c r="A1019" s="4">
        <v>5512</v>
      </c>
      <c r="B1019" s="4">
        <v>39078</v>
      </c>
      <c r="C1019" s="5">
        <f t="shared" ref="C1019:C1021" si="429">DATE(2012,12,31)-1287</f>
        <v>39987</v>
      </c>
      <c r="D1019" s="4" t="s">
        <v>21</v>
      </c>
      <c r="E1019" s="4">
        <v>10</v>
      </c>
      <c r="F1019" s="4">
        <v>36.909999999999997</v>
      </c>
      <c r="G1019" s="4">
        <v>7.0000000000000007E-2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0.56000000000000005</v>
      </c>
      <c r="U1019" s="5">
        <f>C1019+0</f>
        <v>39987</v>
      </c>
    </row>
    <row r="1020" spans="1:21" ht="12" customHeight="1">
      <c r="A1020" s="4">
        <v>5513</v>
      </c>
      <c r="B1020" s="4">
        <v>39078</v>
      </c>
      <c r="C1020" s="5">
        <f t="shared" si="429"/>
        <v>39987</v>
      </c>
      <c r="D1020" s="4" t="s">
        <v>21</v>
      </c>
      <c r="E1020" s="4">
        <v>8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spans="1:21" ht="12" customHeight="1">
      <c r="A1021" s="4">
        <v>5514</v>
      </c>
      <c r="B1021" s="4">
        <v>39078</v>
      </c>
      <c r="C1021" s="5">
        <f t="shared" si="429"/>
        <v>39987</v>
      </c>
      <c r="D1021" s="4" t="s">
        <v>21</v>
      </c>
      <c r="E1021" s="4">
        <v>26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0">C1021+2</f>
        <v>39989</v>
      </c>
    </row>
    <row r="1022" spans="1:21" ht="12" customHeight="1">
      <c r="A1022" s="4">
        <v>5524</v>
      </c>
      <c r="B1022" s="4">
        <v>39141</v>
      </c>
      <c r="C1022" s="5">
        <f t="shared" ref="C1022:C1023" si="431">DATE(2012,12,31)-1338</f>
        <v>39936</v>
      </c>
      <c r="D1022" s="4" t="s">
        <v>21</v>
      </c>
      <c r="E1022" s="4">
        <v>49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19.510000000000002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0"/>
        <v>39938</v>
      </c>
    </row>
    <row r="1023" spans="1:21" ht="12" customHeight="1">
      <c r="A1023" s="4">
        <v>5525</v>
      </c>
      <c r="B1023" s="4">
        <v>39141</v>
      </c>
      <c r="C1023" s="5">
        <f t="shared" si="431"/>
        <v>39936</v>
      </c>
      <c r="D1023" s="4" t="s">
        <v>21</v>
      </c>
      <c r="E1023" s="4">
        <v>47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0.56999999999999995</v>
      </c>
      <c r="U1023" s="5">
        <f t="shared" si="430"/>
        <v>39938</v>
      </c>
    </row>
    <row r="1024" spans="1:21" ht="12" customHeight="1">
      <c r="A1024" s="4">
        <v>5570</v>
      </c>
      <c r="B1024" s="4">
        <v>39460</v>
      </c>
      <c r="C1024" s="5">
        <f t="shared" ref="C1024:C1025" si="432">DATE(2012,12,31)-1339</f>
        <v>39935</v>
      </c>
      <c r="D1024" s="4" t="s">
        <v>45</v>
      </c>
      <c r="E1024" s="4">
        <v>25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0"/>
        <v>39937</v>
      </c>
    </row>
    <row r="1025" spans="1:21" ht="12" customHeight="1">
      <c r="A1025" s="4">
        <v>5571</v>
      </c>
      <c r="B1025" s="4">
        <v>39460</v>
      </c>
      <c r="C1025" s="5">
        <f t="shared" si="432"/>
        <v>39935</v>
      </c>
      <c r="D1025" s="4" t="s">
        <v>45</v>
      </c>
      <c r="E1025" s="4">
        <v>19</v>
      </c>
      <c r="F1025" s="4">
        <v>2033.9224999999999</v>
      </c>
      <c r="G1025" s="4">
        <v>0.02</v>
      </c>
      <c r="H1025" s="4" t="s">
        <v>22</v>
      </c>
      <c r="I1025" s="6">
        <v>251.19900000000001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3">C1025+1</f>
        <v>39936</v>
      </c>
    </row>
    <row r="1026" spans="1:21" ht="12" customHeight="1">
      <c r="A1026" s="4">
        <v>5639</v>
      </c>
      <c r="B1026" s="4">
        <v>39904</v>
      </c>
      <c r="C1026" s="5">
        <f>DATE(2012,12,31)-1428</f>
        <v>39846</v>
      </c>
      <c r="D1026" s="4" t="s">
        <v>45</v>
      </c>
      <c r="E1026" s="4">
        <v>44</v>
      </c>
      <c r="F1026" s="4">
        <v>363.92</v>
      </c>
      <c r="G1026" s="4">
        <v>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3"/>
        <v>39847</v>
      </c>
    </row>
    <row r="1027" spans="1:21" ht="12" customHeight="1">
      <c r="A1027" s="4">
        <v>5689</v>
      </c>
      <c r="B1027" s="4">
        <v>40224</v>
      </c>
      <c r="C1027" s="5">
        <f>DATE(2012,12,31)-1280</f>
        <v>39994</v>
      </c>
      <c r="D1027" s="4" t="s">
        <v>21</v>
      </c>
      <c r="E1027" s="4">
        <v>14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spans="1:21" ht="12" customHeight="1">
      <c r="A1028" s="4">
        <v>5777</v>
      </c>
      <c r="B1028" s="4">
        <v>40997</v>
      </c>
      <c r="C1028" s="5">
        <f t="shared" ref="C1028:C1031" si="434">DATE(2012,12,31)-1350</f>
        <v>39924</v>
      </c>
      <c r="D1028" s="4" t="s">
        <v>21</v>
      </c>
      <c r="E1028" s="4">
        <v>12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spans="1:21" ht="12" customHeight="1">
      <c r="A1029" s="4">
        <v>5778</v>
      </c>
      <c r="B1029" s="4">
        <v>40997</v>
      </c>
      <c r="C1029" s="5">
        <f t="shared" si="434"/>
        <v>39924</v>
      </c>
      <c r="D1029" s="4" t="s">
        <v>21</v>
      </c>
      <c r="E1029" s="4">
        <v>37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0.56999999999999995</v>
      </c>
      <c r="U1029" s="5">
        <f>C1029+7</f>
        <v>39931</v>
      </c>
    </row>
    <row r="1030" spans="1:21" ht="12" customHeight="1">
      <c r="A1030" s="4">
        <v>5779</v>
      </c>
      <c r="B1030" s="4">
        <v>40997</v>
      </c>
      <c r="C1030" s="5">
        <f t="shared" si="434"/>
        <v>39924</v>
      </c>
      <c r="D1030" s="4" t="s">
        <v>21</v>
      </c>
      <c r="E1030" s="4">
        <v>1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0.56999999999999995</v>
      </c>
      <c r="U1030" s="5">
        <f>C1030+2</f>
        <v>39926</v>
      </c>
    </row>
    <row r="1031" spans="1:21" ht="12" customHeight="1">
      <c r="A1031" s="4">
        <v>5780</v>
      </c>
      <c r="B1031" s="4">
        <v>40997</v>
      </c>
      <c r="C1031" s="5">
        <f t="shared" si="434"/>
        <v>39924</v>
      </c>
      <c r="D1031" s="4" t="s">
        <v>21</v>
      </c>
      <c r="E1031" s="4">
        <v>33</v>
      </c>
      <c r="F1031" s="4">
        <v>7384.18</v>
      </c>
      <c r="G1031" s="4">
        <v>0.04</v>
      </c>
      <c r="H1031" s="4" t="s">
        <v>31</v>
      </c>
      <c r="I1031" s="6">
        <v>-513.79042000000004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spans="1:21" ht="12" customHeight="1">
      <c r="A1032" s="4">
        <v>5806</v>
      </c>
      <c r="B1032" s="4">
        <v>41185</v>
      </c>
      <c r="C1032" s="5">
        <f>DATE(2012,12,31)-1121</f>
        <v>40153</v>
      </c>
      <c r="D1032" s="4" t="s">
        <v>78</v>
      </c>
      <c r="E1032" s="4">
        <v>2</v>
      </c>
      <c r="F1032" s="4">
        <v>18.809999999999999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spans="1:21" ht="12" customHeight="1">
      <c r="A1033" s="4">
        <v>5816</v>
      </c>
      <c r="B1033" s="4">
        <v>41253</v>
      </c>
      <c r="C1033" s="5">
        <f>DATE(2012,12,31)-1334</f>
        <v>39940</v>
      </c>
      <c r="D1033" s="4" t="s">
        <v>63</v>
      </c>
      <c r="E1033" s="4">
        <v>5</v>
      </c>
      <c r="F1033" s="4">
        <v>1455.49</v>
      </c>
      <c r="G1033" s="4">
        <v>7.0000000000000007E-2</v>
      </c>
      <c r="H1033" s="4" t="s">
        <v>22</v>
      </c>
      <c r="I1033" s="6">
        <v>-807.59</v>
      </c>
      <c r="J1033" s="4">
        <v>300.97000000000003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5">C1033+2</f>
        <v>39942</v>
      </c>
    </row>
    <row r="1034" spans="1:21" ht="12" customHeight="1">
      <c r="A1034" s="4">
        <v>5845</v>
      </c>
      <c r="B1034" s="4">
        <v>41474</v>
      </c>
      <c r="C1034" s="5">
        <f t="shared" ref="C1034:C1035" si="436">DATE(2012,12,31)-1351</f>
        <v>39923</v>
      </c>
      <c r="D1034" s="4" t="s">
        <v>45</v>
      </c>
      <c r="E1034" s="4">
        <v>35</v>
      </c>
      <c r="F1034" s="4">
        <v>3640.83</v>
      </c>
      <c r="G1034" s="4">
        <v>0</v>
      </c>
      <c r="H1034" s="4" t="s">
        <v>31</v>
      </c>
      <c r="I1034" s="6">
        <v>-6.8000000000000114</v>
      </c>
      <c r="J1034" s="4">
        <v>100.98</v>
      </c>
      <c r="K1034" s="4">
        <v>35.840000000000003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5"/>
        <v>39925</v>
      </c>
    </row>
    <row r="1035" spans="1:21" ht="12" customHeight="1">
      <c r="A1035" s="4">
        <v>5846</v>
      </c>
      <c r="B1035" s="4">
        <v>41474</v>
      </c>
      <c r="C1035" s="5">
        <f t="shared" si="436"/>
        <v>39923</v>
      </c>
      <c r="D1035" s="4" t="s">
        <v>45</v>
      </c>
      <c r="E1035" s="4">
        <v>50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4.7699999999999996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5"/>
        <v>39925</v>
      </c>
    </row>
    <row r="1036" spans="1:21" ht="12" customHeight="1">
      <c r="A1036" s="4">
        <v>5880</v>
      </c>
      <c r="B1036" s="4">
        <v>41728</v>
      </c>
      <c r="C1036" s="5">
        <f t="shared" ref="C1036:C1037" si="437">DATE(2012,12,31)-1188</f>
        <v>40086</v>
      </c>
      <c r="D1036" s="4" t="s">
        <v>30</v>
      </c>
      <c r="E1036" s="4">
        <v>28</v>
      </c>
      <c r="F1036" s="4">
        <v>23106.46</v>
      </c>
      <c r="G1036" s="4">
        <v>0.08</v>
      </c>
      <c r="H1036" s="4" t="s">
        <v>22</v>
      </c>
      <c r="I1036" s="6">
        <v>9527.4715000000015</v>
      </c>
      <c r="J1036" s="4">
        <v>896.99</v>
      </c>
      <c r="K1036" s="4">
        <v>19.989999999999998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5"/>
        <v>40088</v>
      </c>
    </row>
    <row r="1037" spans="1:21" ht="12" customHeight="1">
      <c r="A1037" s="4">
        <v>5881</v>
      </c>
      <c r="B1037" s="4">
        <v>41728</v>
      </c>
      <c r="C1037" s="5">
        <f t="shared" si="437"/>
        <v>40086</v>
      </c>
      <c r="D1037" s="4" t="s">
        <v>30</v>
      </c>
      <c r="E1037" s="4">
        <v>10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0.56999999999999995</v>
      </c>
      <c r="U1037" s="5">
        <f>C1037+1</f>
        <v>40087</v>
      </c>
    </row>
    <row r="1038" spans="1:21" ht="12" customHeight="1">
      <c r="A1038" s="4">
        <v>5886</v>
      </c>
      <c r="B1038" s="4">
        <v>41764</v>
      </c>
      <c r="C1038" s="5">
        <f>DATE(2012,12,31)-1183</f>
        <v>40091</v>
      </c>
      <c r="D1038" s="4" t="s">
        <v>45</v>
      </c>
      <c r="E1038" s="4">
        <v>16</v>
      </c>
      <c r="F1038" s="4">
        <v>5105.0600000000004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spans="1:21" ht="12" customHeight="1">
      <c r="A1039" s="4">
        <v>5958</v>
      </c>
      <c r="B1039" s="4">
        <v>42279</v>
      </c>
      <c r="C1039" s="5">
        <f>DATE(2012,12,31)-1280</f>
        <v>39994</v>
      </c>
      <c r="D1039" s="4" t="s">
        <v>45</v>
      </c>
      <c r="E1039" s="4">
        <v>44</v>
      </c>
      <c r="F1039" s="4">
        <v>1431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spans="1:21" ht="12" customHeight="1">
      <c r="A1040" s="4">
        <v>5962</v>
      </c>
      <c r="B1040" s="4">
        <v>42308</v>
      </c>
      <c r="C1040" s="5">
        <f>DATE(2012,12,31)-1298</f>
        <v>39976</v>
      </c>
      <c r="D1040" s="4" t="s">
        <v>63</v>
      </c>
      <c r="E1040" s="4">
        <v>16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4.8600000000000003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spans="1:21" ht="12" customHeight="1">
      <c r="A1041" s="4">
        <v>6044</v>
      </c>
      <c r="B1041" s="4">
        <v>42851</v>
      </c>
      <c r="C1041" s="5">
        <f t="shared" ref="C1041:C1042" si="438">DATE(2012,12,31)-1309</f>
        <v>39965</v>
      </c>
      <c r="D1041" s="4" t="s">
        <v>30</v>
      </c>
      <c r="E1041" s="4">
        <v>4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39">C1041+1</f>
        <v>39966</v>
      </c>
    </row>
    <row r="1042" spans="1:21" ht="12" customHeight="1">
      <c r="A1042" s="4">
        <v>6045</v>
      </c>
      <c r="B1042" s="4">
        <v>42851</v>
      </c>
      <c r="C1042" s="5">
        <f t="shared" si="438"/>
        <v>39965</v>
      </c>
      <c r="D1042" s="4" t="s">
        <v>30</v>
      </c>
      <c r="E1042" s="4">
        <v>7</v>
      </c>
      <c r="F1042" s="4">
        <v>344.30099999999999</v>
      </c>
      <c r="G1042" s="4">
        <v>0.04</v>
      </c>
      <c r="H1042" s="4" t="s">
        <v>56</v>
      </c>
      <c r="I1042" s="6">
        <v>-22.902000000000001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39"/>
        <v>39966</v>
      </c>
    </row>
    <row r="1043" spans="1:21" ht="12" customHeight="1">
      <c r="A1043" s="4">
        <v>6157</v>
      </c>
      <c r="B1043" s="4">
        <v>43590</v>
      </c>
      <c r="C1043" s="5">
        <f>DATE(2012,12,31)-1208</f>
        <v>40066</v>
      </c>
      <c r="D1043" s="4" t="s">
        <v>78</v>
      </c>
      <c r="E1043" s="4">
        <v>24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0">C1043+2</f>
        <v>40068</v>
      </c>
    </row>
    <row r="1044" spans="1:21" ht="12" customHeight="1">
      <c r="A1044" s="4">
        <v>6458</v>
      </c>
      <c r="B1044" s="4">
        <v>45987</v>
      </c>
      <c r="C1044" s="5">
        <f>DATE(2012,12,31)-1390</f>
        <v>39884</v>
      </c>
      <c r="D1044" s="4" t="s">
        <v>45</v>
      </c>
      <c r="E1044" s="4">
        <v>31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0"/>
        <v>39886</v>
      </c>
    </row>
    <row r="1045" spans="1:21" ht="12" customHeight="1">
      <c r="A1045" s="4">
        <v>6471</v>
      </c>
      <c r="B1045" s="4">
        <v>46052</v>
      </c>
      <c r="C1045" s="5">
        <f t="shared" ref="C1045:C1046" si="441">DATE(2012,12,31)-1134</f>
        <v>40140</v>
      </c>
      <c r="D1045" s="4" t="s">
        <v>63</v>
      </c>
      <c r="E1045" s="4">
        <v>37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0"/>
        <v>40142</v>
      </c>
    </row>
    <row r="1046" spans="1:21" ht="12" customHeight="1">
      <c r="A1046" s="4">
        <v>6472</v>
      </c>
      <c r="B1046" s="4">
        <v>46052</v>
      </c>
      <c r="C1046" s="5">
        <f t="shared" si="441"/>
        <v>40140</v>
      </c>
      <c r="D1046" s="4" t="s">
        <v>63</v>
      </c>
      <c r="E1046" s="4">
        <v>39</v>
      </c>
      <c r="F1046" s="4">
        <v>729.21</v>
      </c>
      <c r="G1046" s="4">
        <v>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0"/>
        <v>40142</v>
      </c>
    </row>
    <row r="1047" spans="1:21" ht="12" customHeight="1">
      <c r="A1047" s="4">
        <v>6807</v>
      </c>
      <c r="B1047" s="4">
        <v>48483</v>
      </c>
      <c r="C1047" s="5">
        <f>DATE(2012,12,31)-1117</f>
        <v>40157</v>
      </c>
      <c r="D1047" s="4" t="s">
        <v>78</v>
      </c>
      <c r="E1047" s="4">
        <v>18</v>
      </c>
      <c r="F1047" s="4">
        <v>47.55</v>
      </c>
      <c r="G1047" s="4">
        <v>0</v>
      </c>
      <c r="H1047" s="4" t="s">
        <v>56</v>
      </c>
      <c r="I1047" s="6">
        <v>10.01</v>
      </c>
      <c r="J1047" s="4">
        <v>2.21</v>
      </c>
      <c r="K1047" s="4">
        <v>1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spans="1:21" ht="12" customHeight="1">
      <c r="A1048" s="4">
        <v>6871</v>
      </c>
      <c r="B1048" s="4">
        <v>48961</v>
      </c>
      <c r="C1048" s="5">
        <f t="shared" ref="C1048:C1049" si="442">DATE(2012,12,31)-1259</f>
        <v>40015</v>
      </c>
      <c r="D1048" s="4" t="s">
        <v>45</v>
      </c>
      <c r="E1048" s="4">
        <v>24</v>
      </c>
      <c r="F1048" s="4">
        <v>520.67999999999995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3">C1048+2</f>
        <v>40017</v>
      </c>
    </row>
    <row r="1049" spans="1:21" ht="12" customHeight="1">
      <c r="A1049" s="4">
        <v>6872</v>
      </c>
      <c r="B1049" s="4">
        <v>48961</v>
      </c>
      <c r="C1049" s="5">
        <f t="shared" si="442"/>
        <v>40015</v>
      </c>
      <c r="D1049" s="4" t="s">
        <v>45</v>
      </c>
      <c r="E1049" s="4">
        <v>25</v>
      </c>
      <c r="F1049" s="4">
        <v>358.78</v>
      </c>
      <c r="G1049" s="4">
        <v>0.1</v>
      </c>
      <c r="H1049" s="4" t="s">
        <v>56</v>
      </c>
      <c r="I1049" s="6">
        <v>-76.900000000000006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0.56999999999999995</v>
      </c>
      <c r="U1049" s="5">
        <f t="shared" si="443"/>
        <v>40017</v>
      </c>
    </row>
    <row r="1050" spans="1:21" ht="12" customHeight="1">
      <c r="A1050" s="4">
        <v>6936</v>
      </c>
      <c r="B1050" s="4">
        <v>49505</v>
      </c>
      <c r="C1050" s="5">
        <f t="shared" ref="C1050:C1051" si="444">DATE(2012,12,31)-1440</f>
        <v>39834</v>
      </c>
      <c r="D1050" s="4" t="s">
        <v>78</v>
      </c>
      <c r="E1050" s="4">
        <v>12</v>
      </c>
      <c r="F1050" s="4">
        <v>97.74</v>
      </c>
      <c r="G1050" s="4">
        <v>0.04</v>
      </c>
      <c r="H1050" s="4" t="s">
        <v>22</v>
      </c>
      <c r="I1050" s="6">
        <v>-8.4984999999999999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3"/>
        <v>39836</v>
      </c>
    </row>
    <row r="1051" spans="1:21" ht="12" customHeight="1">
      <c r="A1051" s="4">
        <v>6937</v>
      </c>
      <c r="B1051" s="4">
        <v>49505</v>
      </c>
      <c r="C1051" s="5">
        <f t="shared" si="444"/>
        <v>39834</v>
      </c>
      <c r="D1051" s="4" t="s">
        <v>78</v>
      </c>
      <c r="E1051" s="4">
        <v>34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9.7799999999999994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spans="1:21" ht="12" customHeight="1">
      <c r="A1052" s="4">
        <v>7013</v>
      </c>
      <c r="B1052" s="4">
        <v>50051</v>
      </c>
      <c r="C1052" s="5">
        <f>DATE(2012,12,31)-1184</f>
        <v>40090</v>
      </c>
      <c r="D1052" s="4" t="s">
        <v>63</v>
      </c>
      <c r="E1052" s="4">
        <v>15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0.56000000000000005</v>
      </c>
      <c r="U1052" s="5">
        <f>C1052+0</f>
        <v>40090</v>
      </c>
    </row>
    <row r="1053" spans="1:21" ht="12" customHeight="1">
      <c r="A1053" s="4">
        <v>7137</v>
      </c>
      <c r="B1053" s="4">
        <v>50917</v>
      </c>
      <c r="C1053" s="5">
        <f>DATE(2012,12,31)-1259</f>
        <v>40015</v>
      </c>
      <c r="D1053" s="4" t="s">
        <v>21</v>
      </c>
      <c r="E1053" s="4">
        <v>33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spans="1:21" ht="12" customHeight="1">
      <c r="A1054" s="4">
        <v>7145</v>
      </c>
      <c r="B1054" s="4">
        <v>50981</v>
      </c>
      <c r="C1054" s="5">
        <f>DATE(2012,12,31)-1245</f>
        <v>40029</v>
      </c>
      <c r="D1054" s="4" t="s">
        <v>78</v>
      </c>
      <c r="E1054" s="4">
        <v>42</v>
      </c>
      <c r="F1054" s="4">
        <v>5678.5524999999998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0.57999999999999996</v>
      </c>
      <c r="U1054" s="5">
        <f>C1054+0</f>
        <v>40029</v>
      </c>
    </row>
    <row r="1055" spans="1:21" ht="12" customHeight="1">
      <c r="A1055" s="4">
        <v>7236</v>
      </c>
      <c r="B1055" s="4">
        <v>51619</v>
      </c>
      <c r="C1055" s="5">
        <f t="shared" ref="C1055:C1058" si="445">DATE(2012,12,31)-1216</f>
        <v>40058</v>
      </c>
      <c r="D1055" s="4" t="s">
        <v>45</v>
      </c>
      <c r="E1055" s="4">
        <v>46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6">C1055+1</f>
        <v>40059</v>
      </c>
    </row>
    <row r="1056" spans="1:21" ht="12" customHeight="1">
      <c r="A1056" s="4">
        <v>7237</v>
      </c>
      <c r="B1056" s="4">
        <v>51619</v>
      </c>
      <c r="C1056" s="5">
        <f t="shared" si="445"/>
        <v>40058</v>
      </c>
      <c r="D1056" s="4" t="s">
        <v>45</v>
      </c>
      <c r="E1056" s="4">
        <v>6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19.989999999999998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6"/>
        <v>40059</v>
      </c>
    </row>
    <row r="1057" spans="1:21" ht="12" customHeight="1">
      <c r="A1057" s="4">
        <v>7238</v>
      </c>
      <c r="B1057" s="4">
        <v>51619</v>
      </c>
      <c r="C1057" s="5">
        <f t="shared" si="445"/>
        <v>40058</v>
      </c>
      <c r="D1057" s="4" t="s">
        <v>45</v>
      </c>
      <c r="E1057" s="4">
        <v>2</v>
      </c>
      <c r="F1057" s="4">
        <v>14.75</v>
      </c>
      <c r="G1057" s="4">
        <v>7.0000000000000007E-2</v>
      </c>
      <c r="H1057" s="4" t="s">
        <v>22</v>
      </c>
      <c r="I1057" s="6">
        <v>-11.419499999999999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spans="1:21" ht="12" customHeight="1">
      <c r="A1058" s="4">
        <v>7239</v>
      </c>
      <c r="B1058" s="4">
        <v>51619</v>
      </c>
      <c r="C1058" s="5">
        <f t="shared" si="445"/>
        <v>40058</v>
      </c>
      <c r="D1058" s="4" t="s">
        <v>45</v>
      </c>
      <c r="E1058" s="4">
        <v>31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spans="1:21" ht="12" customHeight="1">
      <c r="A1059" s="4">
        <v>7489</v>
      </c>
      <c r="B1059" s="4">
        <v>53476</v>
      </c>
      <c r="C1059" s="5">
        <f t="shared" ref="C1059:C1062" si="447">DATE(2012,12,31)-1299</f>
        <v>39975</v>
      </c>
      <c r="D1059" s="4" t="s">
        <v>45</v>
      </c>
      <c r="E1059" s="4">
        <v>14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spans="1:21" ht="12" customHeight="1">
      <c r="A1060" s="4">
        <v>7490</v>
      </c>
      <c r="B1060" s="4">
        <v>53476</v>
      </c>
      <c r="C1060" s="5">
        <f t="shared" si="447"/>
        <v>39975</v>
      </c>
      <c r="D1060" s="4" t="s">
        <v>45</v>
      </c>
      <c r="E1060" s="4">
        <v>24</v>
      </c>
      <c r="F1060" s="4">
        <v>93.85</v>
      </c>
      <c r="G1060" s="4">
        <v>0.08</v>
      </c>
      <c r="H1060" s="4" t="s">
        <v>22</v>
      </c>
      <c r="I1060" s="6">
        <v>19.420000000000002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spans="1:21" ht="12" customHeight="1">
      <c r="A1061" s="4">
        <v>7491</v>
      </c>
      <c r="B1061" s="4">
        <v>53476</v>
      </c>
      <c r="C1061" s="5">
        <f t="shared" si="447"/>
        <v>39975</v>
      </c>
      <c r="D1061" s="4" t="s">
        <v>45</v>
      </c>
      <c r="E1061" s="4">
        <v>47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0.56000000000000005</v>
      </c>
      <c r="U1061" s="5">
        <f>C1061+1</f>
        <v>39976</v>
      </c>
    </row>
    <row r="1062" spans="1:21" ht="12" customHeight="1">
      <c r="A1062" s="4">
        <v>7492</v>
      </c>
      <c r="B1062" s="4">
        <v>53476</v>
      </c>
      <c r="C1062" s="5">
        <f t="shared" si="447"/>
        <v>39975</v>
      </c>
      <c r="D1062" s="4" t="s">
        <v>45</v>
      </c>
      <c r="E1062" s="4">
        <v>42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19.989999999999998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spans="1:21" ht="12" customHeight="1">
      <c r="A1063" s="4">
        <v>7526</v>
      </c>
      <c r="B1063" s="4">
        <v>53766</v>
      </c>
      <c r="C1063" s="5">
        <f>DATE(2012,12,31)-1175</f>
        <v>40099</v>
      </c>
      <c r="D1063" s="4" t="s">
        <v>45</v>
      </c>
      <c r="E1063" s="4">
        <v>22</v>
      </c>
      <c r="F1063" s="4">
        <v>3122.55</v>
      </c>
      <c r="G1063" s="4">
        <v>7.0000000000000007E-2</v>
      </c>
      <c r="H1063" s="4" t="s">
        <v>31</v>
      </c>
      <c r="I1063" s="6">
        <v>-574.55970000000002</v>
      </c>
      <c r="J1063" s="4">
        <v>145.97999999999999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spans="1:21" ht="12" customHeight="1">
      <c r="A1064" s="4">
        <v>7599</v>
      </c>
      <c r="B1064" s="4">
        <v>54369</v>
      </c>
      <c r="C1064" s="5">
        <f>DATE(2012,12,31)-1400</f>
        <v>39874</v>
      </c>
      <c r="D1064" s="4" t="s">
        <v>45</v>
      </c>
      <c r="E1064" s="4">
        <v>47</v>
      </c>
      <c r="F1064" s="4">
        <v>421.08</v>
      </c>
      <c r="G1064" s="4">
        <v>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8">C1064+2</f>
        <v>39876</v>
      </c>
    </row>
    <row r="1065" spans="1:21" ht="12" customHeight="1">
      <c r="A1065" s="4">
        <v>7718</v>
      </c>
      <c r="B1065" s="4">
        <v>55300</v>
      </c>
      <c r="C1065" s="5">
        <f t="shared" ref="C1065:C1067" si="449">DATE(2012,12,31)-1410</f>
        <v>39864</v>
      </c>
      <c r="D1065" s="4" t="s">
        <v>30</v>
      </c>
      <c r="E1065" s="4">
        <v>37</v>
      </c>
      <c r="F1065" s="4">
        <v>159.88999999999999</v>
      </c>
      <c r="G1065" s="4">
        <v>0.03</v>
      </c>
      <c r="H1065" s="4" t="s">
        <v>22</v>
      </c>
      <c r="I1065" s="6">
        <v>-185.17</v>
      </c>
      <c r="J1065" s="4">
        <v>4.0599999999999996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8"/>
        <v>39866</v>
      </c>
    </row>
    <row r="1066" spans="1:21" ht="12" customHeight="1">
      <c r="A1066" s="4">
        <v>7719</v>
      </c>
      <c r="B1066" s="4">
        <v>55300</v>
      </c>
      <c r="C1066" s="5">
        <f t="shared" si="449"/>
        <v>39864</v>
      </c>
      <c r="D1066" s="4" t="s">
        <v>30</v>
      </c>
      <c r="E1066" s="4">
        <v>48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spans="1:21" ht="12" customHeight="1">
      <c r="A1067" s="4">
        <v>7720</v>
      </c>
      <c r="B1067" s="4">
        <v>55300</v>
      </c>
      <c r="C1067" s="5">
        <f t="shared" si="449"/>
        <v>39864</v>
      </c>
      <c r="D1067" s="4" t="s">
        <v>30</v>
      </c>
      <c r="E1067" s="4">
        <v>31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spans="1:21" ht="12" customHeight="1">
      <c r="A1068" s="4">
        <v>7761</v>
      </c>
      <c r="B1068" s="4">
        <v>55553</v>
      </c>
      <c r="C1068" s="5">
        <f>DATE(2012,12,31)-1263</f>
        <v>40011</v>
      </c>
      <c r="D1068" s="4" t="s">
        <v>63</v>
      </c>
      <c r="E1068" s="4">
        <v>32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spans="1:21" ht="12" customHeight="1">
      <c r="A1069" s="4">
        <v>7953</v>
      </c>
      <c r="B1069" s="4">
        <v>56807</v>
      </c>
      <c r="C1069" s="5">
        <f>DATE(2012,12,31)-1350</f>
        <v>39924</v>
      </c>
      <c r="D1069" s="4" t="s">
        <v>30</v>
      </c>
      <c r="E1069" s="4">
        <v>1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0.56000000000000005</v>
      </c>
      <c r="U1069" s="5">
        <f t="shared" ref="U1069:U1070" si="450">C1069+2</f>
        <v>39926</v>
      </c>
    </row>
    <row r="1070" spans="1:21" ht="12" customHeight="1">
      <c r="A1070" s="4">
        <v>7970</v>
      </c>
      <c r="B1070" s="4">
        <v>56995</v>
      </c>
      <c r="C1070" s="5">
        <f>DATE(2012,12,31)-1173</f>
        <v>40101</v>
      </c>
      <c r="D1070" s="4" t="s">
        <v>63</v>
      </c>
      <c r="E1070" s="4">
        <v>27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0"/>
        <v>40103</v>
      </c>
    </row>
    <row r="1071" spans="1:21" ht="12" customHeight="1">
      <c r="A1071" s="4">
        <v>7998</v>
      </c>
      <c r="B1071" s="4">
        <v>57155</v>
      </c>
      <c r="C1071" s="5">
        <f t="shared" ref="C1071:C1072" si="451">DATE(2012,12,31)-1293</f>
        <v>39981</v>
      </c>
      <c r="D1071" s="4" t="s">
        <v>78</v>
      </c>
      <c r="E1071" s="4">
        <v>23</v>
      </c>
      <c r="F1071" s="4">
        <v>155.52000000000001</v>
      </c>
      <c r="G1071" s="4">
        <v>0.05</v>
      </c>
      <c r="H1071" s="4" t="s">
        <v>22</v>
      </c>
      <c r="I1071" s="6">
        <v>-133.72999999999999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2">C1071+1</f>
        <v>39982</v>
      </c>
    </row>
    <row r="1072" spans="1:21" ht="12" customHeight="1">
      <c r="A1072" s="4">
        <v>7999</v>
      </c>
      <c r="B1072" s="4">
        <v>57155</v>
      </c>
      <c r="C1072" s="5">
        <f t="shared" si="451"/>
        <v>39981</v>
      </c>
      <c r="D1072" s="4" t="s">
        <v>78</v>
      </c>
      <c r="E1072" s="4">
        <v>16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5.0999999999999996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2"/>
        <v>39982</v>
      </c>
    </row>
    <row r="1073" spans="1:21" ht="12" customHeight="1">
      <c r="A1073" s="4">
        <v>8036</v>
      </c>
      <c r="B1073" s="4">
        <v>57409</v>
      </c>
      <c r="C1073" s="5">
        <f t="shared" ref="C1073:C1074" si="453">DATE(2012,12,31)-1137</f>
        <v>40137</v>
      </c>
      <c r="D1073" s="4" t="s">
        <v>45</v>
      </c>
      <c r="E1073" s="4">
        <v>1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2"/>
        <v>40138</v>
      </c>
    </row>
    <row r="1074" spans="1:21" ht="12" customHeight="1">
      <c r="A1074" s="4">
        <v>8037</v>
      </c>
      <c r="B1074" s="4">
        <v>57409</v>
      </c>
      <c r="C1074" s="5">
        <f t="shared" si="453"/>
        <v>40137</v>
      </c>
      <c r="D1074" s="4" t="s">
        <v>45</v>
      </c>
      <c r="E1074" s="4">
        <v>34</v>
      </c>
      <c r="F1074" s="4">
        <v>6236.4754999999996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0.57999999999999996</v>
      </c>
      <c r="U1074" s="5">
        <f t="shared" si="452"/>
        <v>40138</v>
      </c>
    </row>
    <row r="1075" spans="1:21" ht="12" customHeight="1">
      <c r="A1075" s="4">
        <v>8066</v>
      </c>
      <c r="B1075" s="4">
        <v>57542</v>
      </c>
      <c r="C1075" s="5">
        <f>DATE(2012,12,31)-1227</f>
        <v>40047</v>
      </c>
      <c r="D1075" s="4" t="s">
        <v>30</v>
      </c>
      <c r="E1075" s="4">
        <v>23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spans="1:21" ht="12" customHeight="1">
      <c r="A1076" s="4">
        <v>8104</v>
      </c>
      <c r="B1076" s="4">
        <v>57856</v>
      </c>
      <c r="C1076" s="5">
        <f t="shared" ref="C1076:C1077" si="454">DATE(2012,12,31)-1418</f>
        <v>39856</v>
      </c>
      <c r="D1076" s="4" t="s">
        <v>63</v>
      </c>
      <c r="E1076" s="4">
        <v>17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5">C1076+1</f>
        <v>39857</v>
      </c>
    </row>
    <row r="1077" spans="1:21" ht="12" customHeight="1">
      <c r="A1077" s="4">
        <v>8105</v>
      </c>
      <c r="B1077" s="4">
        <v>57856</v>
      </c>
      <c r="C1077" s="5">
        <f t="shared" si="454"/>
        <v>39856</v>
      </c>
      <c r="D1077" s="4" t="s">
        <v>63</v>
      </c>
      <c r="E1077" s="4">
        <v>31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5"/>
        <v>39857</v>
      </c>
    </row>
    <row r="1078" spans="1:21" ht="12" customHeight="1">
      <c r="A1078" s="4">
        <v>8359</v>
      </c>
      <c r="B1078" s="4">
        <v>59745</v>
      </c>
      <c r="C1078" s="5">
        <f>DATE(2012,12,31)-1352</f>
        <v>39922</v>
      </c>
      <c r="D1078" s="4" t="s">
        <v>45</v>
      </c>
      <c r="E1078" s="4">
        <v>36</v>
      </c>
      <c r="F1078" s="4">
        <v>18092.66</v>
      </c>
      <c r="G1078" s="4">
        <v>0.09</v>
      </c>
      <c r="H1078" s="4" t="s">
        <v>22</v>
      </c>
      <c r="I1078" s="6">
        <v>7917.7584999999999</v>
      </c>
      <c r="J1078" s="4">
        <v>525.98</v>
      </c>
      <c r="K1078" s="4">
        <v>19.989999999999998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spans="1:21" ht="12" customHeight="1">
      <c r="A1079" s="4">
        <v>275</v>
      </c>
      <c r="B1079" s="4">
        <v>1892</v>
      </c>
      <c r="C1079" s="5">
        <f t="shared" ref="C1079:C1080" si="456">DATE(2012,12,31)-1377</f>
        <v>39897</v>
      </c>
      <c r="D1079" s="4" t="s">
        <v>21</v>
      </c>
      <c r="E1079" s="4">
        <v>47</v>
      </c>
      <c r="F1079" s="4">
        <v>193.63</v>
      </c>
      <c r="G1079" s="4">
        <v>0.05</v>
      </c>
      <c r="H1079" s="4" t="s">
        <v>22</v>
      </c>
      <c r="I1079" s="6">
        <v>-152.52449999999999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spans="1:21" ht="12" customHeight="1">
      <c r="A1080" s="4">
        <v>276</v>
      </c>
      <c r="B1080" s="4">
        <v>1892</v>
      </c>
      <c r="C1080" s="5">
        <f t="shared" si="456"/>
        <v>39897</v>
      </c>
      <c r="D1080" s="4" t="s">
        <v>21</v>
      </c>
      <c r="E1080" s="4">
        <v>9</v>
      </c>
      <c r="F1080" s="4">
        <v>64.290000000000006</v>
      </c>
      <c r="G1080" s="4">
        <v>0.01</v>
      </c>
      <c r="H1080" s="4" t="s">
        <v>22</v>
      </c>
      <c r="I1080" s="6">
        <v>-18.850000000000001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7">C1080+0</f>
        <v>39897</v>
      </c>
    </row>
    <row r="1081" spans="1:21" ht="12" customHeight="1">
      <c r="A1081" s="4">
        <v>921</v>
      </c>
      <c r="B1081" s="4">
        <v>6656</v>
      </c>
      <c r="C1081" s="5">
        <f t="shared" ref="C1081:C1082" si="458">DATE(2012,12,31)-1326</f>
        <v>39948</v>
      </c>
      <c r="D1081" s="4" t="s">
        <v>78</v>
      </c>
      <c r="E1081" s="4">
        <v>45</v>
      </c>
      <c r="F1081" s="4">
        <v>1802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7"/>
        <v>39948</v>
      </c>
    </row>
    <row r="1082" spans="1:21" ht="12" customHeight="1">
      <c r="A1082" s="4">
        <v>922</v>
      </c>
      <c r="B1082" s="4">
        <v>6656</v>
      </c>
      <c r="C1082" s="5">
        <f t="shared" si="458"/>
        <v>39948</v>
      </c>
      <c r="D1082" s="4" t="s">
        <v>78</v>
      </c>
      <c r="E1082" s="4">
        <v>50</v>
      </c>
      <c r="F1082" s="4">
        <v>1832.22</v>
      </c>
      <c r="G1082" s="4">
        <v>0.1</v>
      </c>
      <c r="H1082" s="4" t="s">
        <v>22</v>
      </c>
      <c r="I1082" s="6">
        <v>805.43450000000007</v>
      </c>
      <c r="J1082" s="4">
        <v>37.700000000000003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spans="1:21" ht="12" customHeight="1">
      <c r="A1083" s="4">
        <v>1311</v>
      </c>
      <c r="B1083" s="4">
        <v>9606</v>
      </c>
      <c r="C1083" s="5">
        <f t="shared" ref="C1083:C1084" si="459">DATE(2012,12,31)-1253</f>
        <v>40021</v>
      </c>
      <c r="D1083" s="4" t="s">
        <v>45</v>
      </c>
      <c r="E1083" s="4">
        <v>39</v>
      </c>
      <c r="F1083" s="4">
        <v>493.26</v>
      </c>
      <c r="G1083" s="4">
        <v>0.02</v>
      </c>
      <c r="H1083" s="4" t="s">
        <v>22</v>
      </c>
      <c r="I1083" s="6">
        <v>263.39999999999998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spans="1:21" ht="12" customHeight="1">
      <c r="A1084" s="4">
        <v>1312</v>
      </c>
      <c r="B1084" s="4">
        <v>9606</v>
      </c>
      <c r="C1084" s="5">
        <f t="shared" si="459"/>
        <v>40021</v>
      </c>
      <c r="D1084" s="4" t="s">
        <v>45</v>
      </c>
      <c r="E1084" s="4">
        <v>37</v>
      </c>
      <c r="F1084" s="4">
        <v>192.15</v>
      </c>
      <c r="G1084" s="4">
        <v>7.0000000000000007E-2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spans="1:21" ht="12" customHeight="1">
      <c r="A1085" s="4">
        <v>1502</v>
      </c>
      <c r="B1085" s="4">
        <v>10851</v>
      </c>
      <c r="C1085" s="5">
        <f>DATE(2012,12,31)-1365</f>
        <v>39909</v>
      </c>
      <c r="D1085" s="4" t="s">
        <v>30</v>
      </c>
      <c r="E1085" s="4">
        <v>14</v>
      </c>
      <c r="F1085" s="4">
        <v>570.52850000000001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0.56999999999999995</v>
      </c>
      <c r="U1085" s="5">
        <f>C1085+1</f>
        <v>39910</v>
      </c>
    </row>
    <row r="1086" spans="1:21" ht="12" customHeight="1">
      <c r="A1086" s="4">
        <v>2371</v>
      </c>
      <c r="B1086" s="4">
        <v>17186</v>
      </c>
      <c r="C1086" s="5">
        <f t="shared" ref="C1086:C1087" si="460">DATE(2012,12,31)-1435</f>
        <v>39839</v>
      </c>
      <c r="D1086" s="4" t="s">
        <v>63</v>
      </c>
      <c r="E1086" s="4">
        <v>49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1">C1086+2</f>
        <v>39841</v>
      </c>
    </row>
    <row r="1087" spans="1:21" ht="12" customHeight="1">
      <c r="A1087" s="4">
        <v>2372</v>
      </c>
      <c r="B1087" s="4">
        <v>17186</v>
      </c>
      <c r="C1087" s="5">
        <f t="shared" si="460"/>
        <v>39839</v>
      </c>
      <c r="D1087" s="4" t="s">
        <v>63</v>
      </c>
      <c r="E1087" s="4">
        <v>11</v>
      </c>
      <c r="F1087" s="4">
        <v>67.14</v>
      </c>
      <c r="G1087" s="4">
        <v>7.0000000000000007E-2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1"/>
        <v>39841</v>
      </c>
    </row>
    <row r="1088" spans="1:21" ht="12" customHeight="1">
      <c r="A1088" s="4">
        <v>2576</v>
      </c>
      <c r="B1088" s="4">
        <v>18595</v>
      </c>
      <c r="C1088" s="5">
        <f t="shared" ref="C1088:C1089" si="462">DATE(2012,12,31)-1430</f>
        <v>39844</v>
      </c>
      <c r="D1088" s="4" t="s">
        <v>78</v>
      </c>
      <c r="E1088" s="4">
        <v>6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78.650000000000006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1"/>
        <v>39846</v>
      </c>
    </row>
    <row r="1089" spans="1:21" ht="12" customHeight="1">
      <c r="A1089" s="4">
        <v>2577</v>
      </c>
      <c r="B1089" s="4">
        <v>18595</v>
      </c>
      <c r="C1089" s="5">
        <f t="shared" si="462"/>
        <v>39844</v>
      </c>
      <c r="D1089" s="4" t="s">
        <v>78</v>
      </c>
      <c r="E1089" s="4">
        <v>16</v>
      </c>
      <c r="F1089" s="4">
        <v>138.55000000000001</v>
      </c>
      <c r="G1089" s="4">
        <v>0.03</v>
      </c>
      <c r="H1089" s="4" t="s">
        <v>22</v>
      </c>
      <c r="I1089" s="6">
        <v>0.89999999999999858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1"/>
        <v>39846</v>
      </c>
    </row>
    <row r="1090" spans="1:21" ht="12" customHeight="1">
      <c r="A1090" s="4">
        <v>2967</v>
      </c>
      <c r="B1090" s="4">
        <v>21445</v>
      </c>
      <c r="C1090" s="5">
        <f t="shared" ref="C1090:C1091" si="463">DATE(2012,12,31)-1140</f>
        <v>40134</v>
      </c>
      <c r="D1090" s="4" t="s">
        <v>21</v>
      </c>
      <c r="E1090" s="4">
        <v>14</v>
      </c>
      <c r="F1090" s="4">
        <v>75.150000000000006</v>
      </c>
      <c r="G1090" s="4">
        <v>0.02</v>
      </c>
      <c r="H1090" s="4" t="s">
        <v>56</v>
      </c>
      <c r="I1090" s="6">
        <v>-63.53</v>
      </c>
      <c r="J1090" s="4">
        <v>4.0599999999999996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4">C1090+4</f>
        <v>40138</v>
      </c>
    </row>
    <row r="1091" spans="1:21" ht="12" customHeight="1">
      <c r="A1091" s="4">
        <v>2968</v>
      </c>
      <c r="B1091" s="4">
        <v>21445</v>
      </c>
      <c r="C1091" s="5">
        <f t="shared" si="463"/>
        <v>40134</v>
      </c>
      <c r="D1091" s="4" t="s">
        <v>21</v>
      </c>
      <c r="E1091" s="4">
        <v>43</v>
      </c>
      <c r="F1091" s="4">
        <v>400.45</v>
      </c>
      <c r="G1091" s="4">
        <v>7.0000000000000007E-2</v>
      </c>
      <c r="H1091" s="4" t="s">
        <v>22</v>
      </c>
      <c r="I1091" s="6">
        <v>-38.575800000000001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4"/>
        <v>40138</v>
      </c>
    </row>
    <row r="1092" spans="1:21" ht="12" customHeight="1">
      <c r="A1092" s="4">
        <v>3004</v>
      </c>
      <c r="B1092" s="4">
        <v>21636</v>
      </c>
      <c r="C1092" s="5">
        <f t="shared" ref="C1092:C1093" si="465">DATE(2012,12,31)-1239</f>
        <v>40035</v>
      </c>
      <c r="D1092" s="4" t="s">
        <v>21</v>
      </c>
      <c r="E1092" s="4">
        <v>16</v>
      </c>
      <c r="F1092" s="4">
        <v>376.65</v>
      </c>
      <c r="G1092" s="4">
        <v>0</v>
      </c>
      <c r="H1092" s="4" t="s">
        <v>56</v>
      </c>
      <c r="I1092" s="6">
        <v>-52.646999999999998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spans="1:21" ht="12" customHeight="1">
      <c r="A1093" s="4">
        <v>3005</v>
      </c>
      <c r="B1093" s="4">
        <v>21636</v>
      </c>
      <c r="C1093" s="5">
        <f t="shared" si="465"/>
        <v>40035</v>
      </c>
      <c r="D1093" s="4" t="s">
        <v>21</v>
      </c>
      <c r="E1093" s="4">
        <v>6</v>
      </c>
      <c r="F1093" s="4">
        <v>40.06</v>
      </c>
      <c r="G1093" s="4">
        <v>7.0000000000000007E-2</v>
      </c>
      <c r="H1093" s="4" t="s">
        <v>22</v>
      </c>
      <c r="I1093" s="6">
        <v>-24.44</v>
      </c>
      <c r="J1093" s="4">
        <v>5.98</v>
      </c>
      <c r="K1093" s="4">
        <v>4.6900000000000004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spans="1:21" ht="12" customHeight="1">
      <c r="A1094" s="4">
        <v>3281</v>
      </c>
      <c r="B1094" s="4">
        <v>23429</v>
      </c>
      <c r="C1094" s="5">
        <f t="shared" ref="C1094:C1095" si="466">DATE(2012,12,31)-1383</f>
        <v>39891</v>
      </c>
      <c r="D1094" s="4" t="s">
        <v>78</v>
      </c>
      <c r="E1094" s="4">
        <v>28</v>
      </c>
      <c r="F1094" s="4">
        <v>154.61000000000001</v>
      </c>
      <c r="G1094" s="4">
        <v>0.06</v>
      </c>
      <c r="H1094" s="4" t="s">
        <v>22</v>
      </c>
      <c r="I1094" s="6">
        <v>-82.822999999999993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spans="1:21" ht="12" customHeight="1">
      <c r="A1095" s="4">
        <v>3282</v>
      </c>
      <c r="B1095" s="4">
        <v>23429</v>
      </c>
      <c r="C1095" s="5">
        <f t="shared" si="466"/>
        <v>39891</v>
      </c>
      <c r="D1095" s="4" t="s">
        <v>78</v>
      </c>
      <c r="E1095" s="4">
        <v>19</v>
      </c>
      <c r="F1095" s="4">
        <v>1063.3499999999999</v>
      </c>
      <c r="G1095" s="4">
        <v>7.0000000000000007E-2</v>
      </c>
      <c r="H1095" s="4" t="s">
        <v>56</v>
      </c>
      <c r="I1095" s="6">
        <v>107.08200000000001</v>
      </c>
      <c r="J1095" s="4">
        <v>65.989999999999995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0.56000000000000005</v>
      </c>
      <c r="U1095" s="5">
        <f t="shared" ref="U1095:U1096" si="467">C1095+2</f>
        <v>39893</v>
      </c>
    </row>
    <row r="1096" spans="1:21" ht="12" customHeight="1">
      <c r="A1096" s="4">
        <v>3430</v>
      </c>
      <c r="B1096" s="4">
        <v>24455</v>
      </c>
      <c r="C1096" s="5">
        <f t="shared" ref="C1096:C1097" si="468">DATE(2012,12,31)-1121</f>
        <v>40153</v>
      </c>
      <c r="D1096" s="4" t="s">
        <v>45</v>
      </c>
      <c r="E1096" s="4">
        <v>8</v>
      </c>
      <c r="F1096" s="4">
        <v>169.11</v>
      </c>
      <c r="G1096" s="4">
        <v>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7"/>
        <v>40155</v>
      </c>
    </row>
    <row r="1097" spans="1:21" ht="12" customHeight="1">
      <c r="A1097" s="4">
        <v>3431</v>
      </c>
      <c r="B1097" s="4">
        <v>24455</v>
      </c>
      <c r="C1097" s="5">
        <f t="shared" si="468"/>
        <v>40153</v>
      </c>
      <c r="D1097" s="4" t="s">
        <v>45</v>
      </c>
      <c r="E1097" s="4">
        <v>41</v>
      </c>
      <c r="F1097" s="4">
        <v>152.59</v>
      </c>
      <c r="G1097" s="4">
        <v>7.0000000000000007E-2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spans="1:21" ht="12" customHeight="1">
      <c r="A1098" s="4">
        <v>4031</v>
      </c>
      <c r="B1098" s="4">
        <v>28774</v>
      </c>
      <c r="C1098" s="5">
        <f>DATE(2012,12,31)-1460</f>
        <v>39814</v>
      </c>
      <c r="D1098" s="4" t="s">
        <v>30</v>
      </c>
      <c r="E1098" s="4">
        <v>32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4.6900000000000004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spans="1:21" ht="12" customHeight="1">
      <c r="A1099" s="4">
        <v>4685</v>
      </c>
      <c r="B1099" s="4">
        <v>33319</v>
      </c>
      <c r="C1099" s="5">
        <f>DATE(2012,12,31)-1375</f>
        <v>39899</v>
      </c>
      <c r="D1099" s="4" t="s">
        <v>45</v>
      </c>
      <c r="E1099" s="4">
        <v>11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150.88999999999999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spans="1:21" ht="12" customHeight="1">
      <c r="A1100" s="4">
        <v>4724</v>
      </c>
      <c r="B1100" s="4">
        <v>33635</v>
      </c>
      <c r="C1100" s="5">
        <f t="shared" ref="C1100:C1101" si="469">DATE(2012,12,31)-1268</f>
        <v>40006</v>
      </c>
      <c r="D1100" s="4" t="s">
        <v>30</v>
      </c>
      <c r="E1100" s="4">
        <v>5</v>
      </c>
      <c r="F1100" s="4">
        <v>477.76</v>
      </c>
      <c r="G1100" s="4">
        <v>0.04</v>
      </c>
      <c r="H1100" s="4" t="s">
        <v>31</v>
      </c>
      <c r="I1100" s="6">
        <v>-173.09520000000001</v>
      </c>
      <c r="J1100" s="4">
        <v>90.97</v>
      </c>
      <c r="K1100" s="4">
        <v>28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0">C1100+1</f>
        <v>40007</v>
      </c>
    </row>
    <row r="1101" spans="1:21" ht="12" customHeight="1">
      <c r="A1101" s="4">
        <v>4725</v>
      </c>
      <c r="B1101" s="4">
        <v>33635</v>
      </c>
      <c r="C1101" s="5">
        <f t="shared" si="469"/>
        <v>40006</v>
      </c>
      <c r="D1101" s="4" t="s">
        <v>30</v>
      </c>
      <c r="E1101" s="4">
        <v>4</v>
      </c>
      <c r="F1101" s="4">
        <v>112.18</v>
      </c>
      <c r="G1101" s="4">
        <v>7.0000000000000007E-2</v>
      </c>
      <c r="H1101" s="4" t="s">
        <v>22</v>
      </c>
      <c r="I1101" s="6">
        <v>-96.16</v>
      </c>
      <c r="J1101" s="4">
        <v>20.34</v>
      </c>
      <c r="K1101" s="4">
        <v>35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0"/>
        <v>40007</v>
      </c>
    </row>
    <row r="1102" spans="1:21" ht="12" customHeight="1">
      <c r="A1102" s="4">
        <v>4787</v>
      </c>
      <c r="B1102" s="4">
        <v>33988</v>
      </c>
      <c r="C1102" s="5">
        <f>DATE(2012,12,31)-1451</f>
        <v>39823</v>
      </c>
      <c r="D1102" s="4" t="s">
        <v>63</v>
      </c>
      <c r="E1102" s="4">
        <v>30</v>
      </c>
      <c r="F1102" s="4">
        <v>164.78</v>
      </c>
      <c r="G1102" s="4">
        <v>0</v>
      </c>
      <c r="H1102" s="4" t="s">
        <v>22</v>
      </c>
      <c r="I1102" s="6">
        <v>-128.47</v>
      </c>
      <c r="J1102" s="4">
        <v>5.0199999999999996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0"/>
        <v>39824</v>
      </c>
    </row>
    <row r="1103" spans="1:21" ht="12" customHeight="1">
      <c r="A1103" s="4">
        <v>4798</v>
      </c>
      <c r="B1103" s="4">
        <v>34087</v>
      </c>
      <c r="C1103" s="5">
        <f>DATE(2012,12,31)-1256</f>
        <v>40018</v>
      </c>
      <c r="D1103" s="4" t="s">
        <v>21</v>
      </c>
      <c r="E1103" s="4">
        <v>31</v>
      </c>
      <c r="F1103" s="4">
        <v>3077.7310000000002</v>
      </c>
      <c r="G1103" s="4">
        <v>0.05</v>
      </c>
      <c r="H1103" s="4" t="s">
        <v>22</v>
      </c>
      <c r="I1103" s="6">
        <v>745.47899999999993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0.56999999999999995</v>
      </c>
      <c r="U1103" s="5">
        <f>C1103+4</f>
        <v>40022</v>
      </c>
    </row>
    <row r="1104" spans="1:21" ht="12" customHeight="1">
      <c r="A1104" s="4">
        <v>4875</v>
      </c>
      <c r="B1104" s="4">
        <v>34691</v>
      </c>
      <c r="C1104" s="5">
        <f t="shared" ref="C1104:C1106" si="471">DATE(2012,12,31)-1447</f>
        <v>39827</v>
      </c>
      <c r="D1104" s="4" t="s">
        <v>78</v>
      </c>
      <c r="E1104" s="4">
        <v>27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0.57999999999999996</v>
      </c>
      <c r="U1104" s="5">
        <f>C1104+2</f>
        <v>39829</v>
      </c>
    </row>
    <row r="1105" spans="1:21" ht="12" customHeight="1">
      <c r="A1105" s="4">
        <v>4876</v>
      </c>
      <c r="B1105" s="4">
        <v>34691</v>
      </c>
      <c r="C1105" s="5">
        <f t="shared" si="471"/>
        <v>39827</v>
      </c>
      <c r="D1105" s="4" t="s">
        <v>78</v>
      </c>
      <c r="E1105" s="4">
        <v>23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0.56000000000000005</v>
      </c>
      <c r="U1105" s="5">
        <f>C1105+0</f>
        <v>39827</v>
      </c>
    </row>
    <row r="1106" spans="1:21" ht="12" customHeight="1">
      <c r="A1106" s="4">
        <v>4877</v>
      </c>
      <c r="B1106" s="4">
        <v>34691</v>
      </c>
      <c r="C1106" s="5">
        <f t="shared" si="471"/>
        <v>39827</v>
      </c>
      <c r="D1106" s="4" t="s">
        <v>78</v>
      </c>
      <c r="E1106" s="4">
        <v>13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9.5399999999999991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spans="1:21" ht="12" customHeight="1">
      <c r="A1107" s="4">
        <v>4904</v>
      </c>
      <c r="B1107" s="4">
        <v>34883</v>
      </c>
      <c r="C1107" s="5">
        <f>DATE(2012,12,31)-1153</f>
        <v>40121</v>
      </c>
      <c r="D1107" s="4" t="s">
        <v>78</v>
      </c>
      <c r="E1107" s="4">
        <v>31</v>
      </c>
      <c r="F1107" s="4">
        <v>906.01499999999999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2">C1107+1</f>
        <v>40122</v>
      </c>
    </row>
    <row r="1108" spans="1:21" ht="12" customHeight="1">
      <c r="A1108" s="4">
        <v>5349</v>
      </c>
      <c r="B1108" s="4">
        <v>38021</v>
      </c>
      <c r="C1108" s="5">
        <f t="shared" ref="C1108:C1109" si="473">DATE(2012,12,31)-1440</f>
        <v>39834</v>
      </c>
      <c r="D1108" s="4" t="s">
        <v>63</v>
      </c>
      <c r="E1108" s="4">
        <v>16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2"/>
        <v>39835</v>
      </c>
    </row>
    <row r="1109" spans="1:21" ht="12" customHeight="1">
      <c r="A1109" s="4">
        <v>5350</v>
      </c>
      <c r="B1109" s="4">
        <v>38021</v>
      </c>
      <c r="C1109" s="5">
        <f t="shared" si="473"/>
        <v>39834</v>
      </c>
      <c r="D1109" s="4" t="s">
        <v>63</v>
      </c>
      <c r="E1109" s="4">
        <v>36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2"/>
        <v>39835</v>
      </c>
    </row>
    <row r="1110" spans="1:21" ht="12" customHeight="1">
      <c r="A1110" s="4">
        <v>5456</v>
      </c>
      <c r="B1110" s="4">
        <v>38756</v>
      </c>
      <c r="C1110" s="5">
        <f>DATE(2012,12,31)-1334</f>
        <v>39940</v>
      </c>
      <c r="D1110" s="4" t="s">
        <v>78</v>
      </c>
      <c r="E1110" s="4">
        <v>43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65.989999999999995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0.56000000000000005</v>
      </c>
      <c r="U1110" s="5">
        <f>C1110+2</f>
        <v>39942</v>
      </c>
    </row>
    <row r="1111" spans="1:21" ht="12" customHeight="1">
      <c r="A1111" s="4">
        <v>5572</v>
      </c>
      <c r="B1111" s="4">
        <v>39488</v>
      </c>
      <c r="C1111" s="5">
        <f>DATE(2012,12,31)-1288</f>
        <v>39986</v>
      </c>
      <c r="D1111" s="4" t="s">
        <v>21</v>
      </c>
      <c r="E1111" s="4">
        <v>18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4.4800000000000004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spans="1:21" ht="12" customHeight="1">
      <c r="A1112" s="4">
        <v>5626</v>
      </c>
      <c r="B1112" s="4">
        <v>39844</v>
      </c>
      <c r="C1112" s="5">
        <f>DATE(2012,12,31)-1126</f>
        <v>40148</v>
      </c>
      <c r="D1112" s="4" t="s">
        <v>45</v>
      </c>
      <c r="E1112" s="4">
        <v>47</v>
      </c>
      <c r="F1112" s="4">
        <v>4387.24</v>
      </c>
      <c r="G1112" s="4">
        <v>0.09</v>
      </c>
      <c r="H1112" s="4" t="s">
        <v>22</v>
      </c>
      <c r="I1112" s="6">
        <v>-286.47000000000003</v>
      </c>
      <c r="J1112" s="4">
        <v>95.43</v>
      </c>
      <c r="K1112" s="4">
        <v>19.989999999999998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spans="1:21" ht="12" customHeight="1">
      <c r="A1113" s="4">
        <v>5773</v>
      </c>
      <c r="B1113" s="4">
        <v>40965</v>
      </c>
      <c r="C1113" s="5">
        <f t="shared" ref="C1113:C1114" si="474">DATE(2012,12,31)-1137</f>
        <v>40137</v>
      </c>
      <c r="D1113" s="4" t="s">
        <v>63</v>
      </c>
      <c r="E1113" s="4">
        <v>48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0.55000000000000004</v>
      </c>
      <c r="U1113" s="5">
        <f t="shared" ref="U1113:U1114" si="475">C1113+2</f>
        <v>40139</v>
      </c>
    </row>
    <row r="1114" spans="1:21" ht="12" customHeight="1">
      <c r="A1114" s="4">
        <v>5774</v>
      </c>
      <c r="B1114" s="4">
        <v>40965</v>
      </c>
      <c r="C1114" s="5">
        <f t="shared" si="474"/>
        <v>40137</v>
      </c>
      <c r="D1114" s="4" t="s">
        <v>63</v>
      </c>
      <c r="E1114" s="4">
        <v>39</v>
      </c>
      <c r="F1114" s="4">
        <v>1836.1869999999997</v>
      </c>
      <c r="G1114" s="4">
        <v>0.06</v>
      </c>
      <c r="H1114" s="4" t="s">
        <v>22</v>
      </c>
      <c r="I1114" s="6">
        <v>-139.84299999999999</v>
      </c>
      <c r="J1114" s="4">
        <v>55.99</v>
      </c>
      <c r="K1114" s="4">
        <v>5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5"/>
        <v>40139</v>
      </c>
    </row>
    <row r="1115" spans="1:21" ht="12" customHeight="1">
      <c r="A1115" s="4">
        <v>5822</v>
      </c>
      <c r="B1115" s="4">
        <v>41316</v>
      </c>
      <c r="C1115" s="5">
        <f t="shared" ref="C1115:C1116" si="476">DATE(2012,12,31)-1259</f>
        <v>40015</v>
      </c>
      <c r="D1115" s="4" t="s">
        <v>45</v>
      </c>
      <c r="E1115" s="4">
        <v>8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spans="1:21" ht="12" customHeight="1">
      <c r="A1116" s="4">
        <v>5823</v>
      </c>
      <c r="B1116" s="4">
        <v>41316</v>
      </c>
      <c r="C1116" s="5">
        <f t="shared" si="476"/>
        <v>40015</v>
      </c>
      <c r="D1116" s="4" t="s">
        <v>45</v>
      </c>
      <c r="E1116" s="4">
        <v>4</v>
      </c>
      <c r="F1116" s="4">
        <v>700.36599999999999</v>
      </c>
      <c r="G1116" s="4">
        <v>0</v>
      </c>
      <c r="H1116" s="4" t="s">
        <v>22</v>
      </c>
      <c r="I1116" s="6">
        <v>-787.69900000000007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spans="1:21" ht="12" customHeight="1">
      <c r="A1117" s="4">
        <v>6121</v>
      </c>
      <c r="B1117" s="4">
        <v>43360</v>
      </c>
      <c r="C1117" s="5">
        <f>DATE(2012,12,31)-1175</f>
        <v>40099</v>
      </c>
      <c r="D1117" s="4" t="s">
        <v>21</v>
      </c>
      <c r="E1117" s="4">
        <v>48</v>
      </c>
      <c r="F1117" s="4">
        <v>112.16</v>
      </c>
      <c r="G1117" s="4">
        <v>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spans="1:21" ht="12" customHeight="1">
      <c r="A1118" s="4">
        <v>6332</v>
      </c>
      <c r="B1118" s="4">
        <v>44867</v>
      </c>
      <c r="C1118" s="5">
        <f>DATE(2012,12,31)-1254</f>
        <v>40020</v>
      </c>
      <c r="D1118" s="4" t="s">
        <v>30</v>
      </c>
      <c r="E1118" s="4">
        <v>40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spans="1:21" ht="12" customHeight="1">
      <c r="A1119" s="4">
        <v>6525</v>
      </c>
      <c r="B1119" s="4">
        <v>46436</v>
      </c>
      <c r="C1119" s="5">
        <f>DATE(2012,12,31)-1367</f>
        <v>39907</v>
      </c>
      <c r="D1119" s="4" t="s">
        <v>21</v>
      </c>
      <c r="E1119" s="4">
        <v>46</v>
      </c>
      <c r="F1119" s="4">
        <v>1477.5719999999999</v>
      </c>
      <c r="G1119" s="4">
        <v>0</v>
      </c>
      <c r="H1119" s="4" t="s">
        <v>22</v>
      </c>
      <c r="I1119" s="6">
        <v>840.05099999999993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spans="1:21" ht="12" customHeight="1">
      <c r="A1120" s="4">
        <v>6577</v>
      </c>
      <c r="B1120" s="4">
        <v>46848</v>
      </c>
      <c r="C1120" s="5">
        <f>DATE(2012,12,31)-1147</f>
        <v>40127</v>
      </c>
      <c r="D1120" s="4" t="s">
        <v>63</v>
      </c>
      <c r="E1120" s="4">
        <v>39</v>
      </c>
      <c r="F1120" s="4">
        <v>3842.99</v>
      </c>
      <c r="G1120" s="4">
        <v>0.04</v>
      </c>
      <c r="H1120" s="4" t="s">
        <v>22</v>
      </c>
      <c r="I1120" s="6">
        <v>-67.680000000000007</v>
      </c>
      <c r="J1120" s="4">
        <v>95.43</v>
      </c>
      <c r="K1120" s="4">
        <v>19.989999999999998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7">C1120+2</f>
        <v>40129</v>
      </c>
    </row>
    <row r="1121" spans="1:21" ht="12" customHeight="1">
      <c r="A1121" s="4">
        <v>6605</v>
      </c>
      <c r="B1121" s="4">
        <v>47009</v>
      </c>
      <c r="C1121" s="5">
        <f>DATE(2012,12,31)-1306</f>
        <v>39968</v>
      </c>
      <c r="D1121" s="4" t="s">
        <v>78</v>
      </c>
      <c r="E1121" s="4">
        <v>32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19.989999999999998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7"/>
        <v>39970</v>
      </c>
    </row>
    <row r="1122" spans="1:21" ht="12" customHeight="1">
      <c r="A1122" s="4">
        <v>6627</v>
      </c>
      <c r="B1122" s="4">
        <v>47138</v>
      </c>
      <c r="C1122" s="5">
        <f>DATE(2012,12,31)-1452</f>
        <v>39822</v>
      </c>
      <c r="D1122" s="4" t="s">
        <v>21</v>
      </c>
      <c r="E1122" s="4">
        <v>1</v>
      </c>
      <c r="F1122" s="4">
        <v>107.95</v>
      </c>
      <c r="G1122" s="4">
        <v>0.04</v>
      </c>
      <c r="H1122" s="4" t="s">
        <v>22</v>
      </c>
      <c r="I1122" s="6">
        <v>-506.30799999999999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spans="1:21" ht="12" customHeight="1">
      <c r="A1123" s="4">
        <v>6849</v>
      </c>
      <c r="B1123" s="4">
        <v>48773</v>
      </c>
      <c r="C1123" s="5">
        <f>DATE(2012,12,31)-1446</f>
        <v>39828</v>
      </c>
      <c r="D1123" s="4" t="s">
        <v>63</v>
      </c>
      <c r="E1123" s="4">
        <v>7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spans="1:21" ht="12" customHeight="1">
      <c r="A1124" s="4">
        <v>7483</v>
      </c>
      <c r="B1124" s="4">
        <v>53441</v>
      </c>
      <c r="C1124" s="5">
        <f>DATE(2012,12,31)-1225</f>
        <v>40049</v>
      </c>
      <c r="D1124" s="4" t="s">
        <v>63</v>
      </c>
      <c r="E1124" s="4">
        <v>7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spans="1:21" ht="12" customHeight="1">
      <c r="A1125" s="4">
        <v>7557</v>
      </c>
      <c r="B1125" s="4">
        <v>54055</v>
      </c>
      <c r="C1125" s="5">
        <f>DATE(2012,12,31)-1417</f>
        <v>39857</v>
      </c>
      <c r="D1125" s="4" t="s">
        <v>78</v>
      </c>
      <c r="E1125" s="4">
        <v>44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spans="1:21" ht="12" customHeight="1">
      <c r="A1126" s="4">
        <v>7570</v>
      </c>
      <c r="B1126" s="4">
        <v>54151</v>
      </c>
      <c r="C1126" s="5">
        <f t="shared" ref="C1126:C1127" si="478">DATE(2012,12,31)-1216</f>
        <v>40058</v>
      </c>
      <c r="D1126" s="4" t="s">
        <v>78</v>
      </c>
      <c r="E1126" s="4">
        <v>35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79">C1126+1</f>
        <v>40059</v>
      </c>
    </row>
    <row r="1127" spans="1:21" ht="12" customHeight="1">
      <c r="A1127" s="4">
        <v>7571</v>
      </c>
      <c r="B1127" s="4">
        <v>54151</v>
      </c>
      <c r="C1127" s="5">
        <f t="shared" si="478"/>
        <v>40058</v>
      </c>
      <c r="D1127" s="4" t="s">
        <v>78</v>
      </c>
      <c r="E1127" s="4">
        <v>38</v>
      </c>
      <c r="F1127" s="4">
        <v>65.12</v>
      </c>
      <c r="G1127" s="4">
        <v>7.0000000000000007E-2</v>
      </c>
      <c r="H1127" s="4" t="s">
        <v>22</v>
      </c>
      <c r="I1127" s="6">
        <v>1.42</v>
      </c>
      <c r="J1127" s="4">
        <v>1.68</v>
      </c>
      <c r="K1127" s="4">
        <v>1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79"/>
        <v>40059</v>
      </c>
    </row>
    <row r="1128" spans="1:21" ht="12" customHeight="1">
      <c r="A1128" s="4">
        <v>7582</v>
      </c>
      <c r="B1128" s="4">
        <v>54243</v>
      </c>
      <c r="C1128" s="5">
        <f>DATE(2012,12,31)-1202</f>
        <v>40072</v>
      </c>
      <c r="D1128" s="4" t="s">
        <v>21</v>
      </c>
      <c r="E1128" s="4">
        <v>6</v>
      </c>
      <c r="F1128" s="4">
        <v>907.24</v>
      </c>
      <c r="G1128" s="4">
        <v>7.0000000000000007E-2</v>
      </c>
      <c r="H1128" s="4" t="s">
        <v>56</v>
      </c>
      <c r="I1128" s="6">
        <v>-634.73410000000013</v>
      </c>
      <c r="J1128" s="4">
        <v>154.13</v>
      </c>
      <c r="K1128" s="4">
        <v>69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spans="1:21" ht="12" customHeight="1">
      <c r="A1129" s="4">
        <v>8223</v>
      </c>
      <c r="B1129" s="4">
        <v>58784</v>
      </c>
      <c r="C1129" s="5">
        <f t="shared" ref="C1129:C1130" si="480">DATE(2012,12,31)-1443</f>
        <v>39831</v>
      </c>
      <c r="D1129" s="4" t="s">
        <v>63</v>
      </c>
      <c r="E1129" s="4">
        <v>25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0.55000000000000004</v>
      </c>
      <c r="U1129" s="5">
        <f t="shared" ref="U1129:U1130" si="481">C1129+2</f>
        <v>39833</v>
      </c>
    </row>
    <row r="1130" spans="1:21" ht="12" customHeight="1">
      <c r="A1130" s="4">
        <v>8224</v>
      </c>
      <c r="B1130" s="4">
        <v>58784</v>
      </c>
      <c r="C1130" s="5">
        <f t="shared" si="480"/>
        <v>39831</v>
      </c>
      <c r="D1130" s="4" t="s">
        <v>63</v>
      </c>
      <c r="E1130" s="4">
        <v>20</v>
      </c>
      <c r="F1130" s="4">
        <v>331.21</v>
      </c>
      <c r="G1130" s="4">
        <v>0.04</v>
      </c>
      <c r="H1130" s="4" t="s">
        <v>56</v>
      </c>
      <c r="I1130" s="6">
        <v>-67.381500000000003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1"/>
        <v>39833</v>
      </c>
    </row>
    <row r="1131" spans="1:21" ht="12" customHeight="1">
      <c r="A1131" s="4">
        <v>221</v>
      </c>
      <c r="B1131" s="4">
        <v>1444</v>
      </c>
      <c r="C1131" s="5">
        <f>DATE(2012,12,31)-1122</f>
        <v>40152</v>
      </c>
      <c r="D1131" s="4" t="s">
        <v>63</v>
      </c>
      <c r="E1131" s="4">
        <v>25</v>
      </c>
      <c r="F1131" s="4">
        <v>772.24</v>
      </c>
      <c r="G1131" s="4">
        <v>7.0000000000000007E-2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spans="1:21" ht="12" customHeight="1">
      <c r="A1132" s="4">
        <v>278</v>
      </c>
      <c r="B1132" s="4">
        <v>1921</v>
      </c>
      <c r="C1132" s="5">
        <f>DATE(2012,12,31)-1444</f>
        <v>39830</v>
      </c>
      <c r="D1132" s="4" t="s">
        <v>63</v>
      </c>
      <c r="E1132" s="4">
        <v>24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0.56999999999999995</v>
      </c>
      <c r="U1132" s="5">
        <f t="shared" ref="U1132:U1135" si="482">C1132+2</f>
        <v>39832</v>
      </c>
    </row>
    <row r="1133" spans="1:21" ht="12" customHeight="1">
      <c r="A1133" s="4">
        <v>283</v>
      </c>
      <c r="B1133" s="4">
        <v>1985</v>
      </c>
      <c r="C1133" s="5">
        <f>DATE(2012,12,31)-1217</f>
        <v>40057</v>
      </c>
      <c r="D1133" s="4" t="s">
        <v>45</v>
      </c>
      <c r="E1133" s="4">
        <v>33</v>
      </c>
      <c r="F1133" s="4">
        <v>15464.01</v>
      </c>
      <c r="G1133" s="4">
        <v>0.05</v>
      </c>
      <c r="H1133" s="4" t="s">
        <v>31</v>
      </c>
      <c r="I1133" s="6">
        <v>4407.4399999999996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2"/>
        <v>40059</v>
      </c>
    </row>
    <row r="1134" spans="1:21" ht="12" customHeight="1">
      <c r="A1134" s="4">
        <v>1552</v>
      </c>
      <c r="B1134" s="4">
        <v>11206</v>
      </c>
      <c r="C1134" s="5">
        <f>DATE(2012,12,31)-1099</f>
        <v>40175</v>
      </c>
      <c r="D1134" s="4" t="s">
        <v>21</v>
      </c>
      <c r="E1134" s="4">
        <v>26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19.989999999999998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2"/>
        <v>40177</v>
      </c>
    </row>
    <row r="1135" spans="1:21" ht="12" customHeight="1">
      <c r="A1135" s="4">
        <v>7631</v>
      </c>
      <c r="B1135" s="4">
        <v>54595</v>
      </c>
      <c r="C1135" s="5">
        <f>DATE(2012,12,31)-1343</f>
        <v>39931</v>
      </c>
      <c r="D1135" s="4" t="s">
        <v>63</v>
      </c>
      <c r="E1135" s="4">
        <v>30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2"/>
        <v>39933</v>
      </c>
    </row>
    <row r="1136" spans="1:21" ht="12" customHeight="1">
      <c r="A1136" s="4">
        <v>7733</v>
      </c>
      <c r="B1136" s="4">
        <v>55392</v>
      </c>
      <c r="C1136" s="5">
        <f>DATE(2012,12,31)-1304</f>
        <v>39970</v>
      </c>
      <c r="D1136" s="4" t="s">
        <v>78</v>
      </c>
      <c r="E1136" s="4">
        <v>20</v>
      </c>
      <c r="F1136" s="4">
        <v>129.30000000000001</v>
      </c>
      <c r="G1136" s="4">
        <v>0.02</v>
      </c>
      <c r="H1136" s="4" t="s">
        <v>22</v>
      </c>
      <c r="I1136" s="6">
        <v>40.200000000000003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spans="1:21" ht="12" customHeight="1">
      <c r="A1137" s="4">
        <v>218</v>
      </c>
      <c r="B1137" s="4">
        <v>1444</v>
      </c>
      <c r="C1137" s="5">
        <f>DATE(2012,12,31)-1122</f>
        <v>40152</v>
      </c>
      <c r="D1137" s="4" t="s">
        <v>63</v>
      </c>
      <c r="E1137" s="4">
        <v>13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spans="1:21" ht="12" customHeight="1">
      <c r="A1138" s="4">
        <v>790</v>
      </c>
      <c r="B1138" s="4">
        <v>5639</v>
      </c>
      <c r="C1138" s="5">
        <f>DATE(2012,12,31)-1309</f>
        <v>39965</v>
      </c>
      <c r="D1138" s="4" t="s">
        <v>63</v>
      </c>
      <c r="E1138" s="4">
        <v>31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8.7799999999999994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0.56999999999999995</v>
      </c>
      <c r="U1138" s="5">
        <f t="shared" ref="U1138:U1139" si="483">C1138+1</f>
        <v>39966</v>
      </c>
    </row>
    <row r="1139" spans="1:21" ht="12" customHeight="1">
      <c r="A1139" s="4">
        <v>1002</v>
      </c>
      <c r="B1139" s="4">
        <v>7297</v>
      </c>
      <c r="C1139" s="5">
        <f>DATE(2012,12,31)-1204</f>
        <v>40070</v>
      </c>
      <c r="D1139" s="4" t="s">
        <v>30</v>
      </c>
      <c r="E1139" s="4">
        <v>26</v>
      </c>
      <c r="F1139" s="4">
        <v>936.95</v>
      </c>
      <c r="G1139" s="4">
        <v>0.03</v>
      </c>
      <c r="H1139" s="4" t="s">
        <v>22</v>
      </c>
      <c r="I1139" s="6">
        <v>-0.74000000000000909</v>
      </c>
      <c r="J1139" s="4">
        <v>33.979999999999997</v>
      </c>
      <c r="K1139" s="4">
        <v>19.989999999999998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0.55000000000000004</v>
      </c>
      <c r="U1139" s="5">
        <f t="shared" si="483"/>
        <v>40071</v>
      </c>
    </row>
    <row r="1140" spans="1:21" ht="12" customHeight="1">
      <c r="A1140" s="4">
        <v>1819</v>
      </c>
      <c r="B1140" s="4">
        <v>13056</v>
      </c>
      <c r="C1140" s="5">
        <f>DATE(2012,12,31)-1349</f>
        <v>39925</v>
      </c>
      <c r="D1140" s="4" t="s">
        <v>45</v>
      </c>
      <c r="E1140" s="4">
        <v>33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spans="1:21" ht="12" customHeight="1">
      <c r="A1141" s="4">
        <v>2875</v>
      </c>
      <c r="B1141" s="4">
        <v>20711</v>
      </c>
      <c r="C1141" s="5">
        <f>DATE(2012,12,31)-1442</f>
        <v>39832</v>
      </c>
      <c r="D1141" s="4" t="s">
        <v>78</v>
      </c>
      <c r="E1141" s="4">
        <v>18</v>
      </c>
      <c r="F1141" s="4">
        <v>2215.96</v>
      </c>
      <c r="G1141" s="4">
        <v>0</v>
      </c>
      <c r="H1141" s="4" t="s">
        <v>31</v>
      </c>
      <c r="I1141" s="6">
        <v>-101.65949999999999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spans="1:21" ht="12" customHeight="1">
      <c r="A1142" s="4">
        <v>3926</v>
      </c>
      <c r="B1142" s="4">
        <v>28001</v>
      </c>
      <c r="C1142" s="5">
        <f>DATE(2012,12,31)-1296</f>
        <v>39978</v>
      </c>
      <c r="D1142" s="4" t="s">
        <v>78</v>
      </c>
      <c r="E1142" s="4">
        <v>41</v>
      </c>
      <c r="F1142" s="4">
        <v>8958.4599999999991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spans="1:21" ht="12" customHeight="1">
      <c r="A1143" s="4">
        <v>4073</v>
      </c>
      <c r="B1143" s="4">
        <v>28999</v>
      </c>
      <c r="C1143" s="5">
        <f>DATE(2012,12,31)-1451</f>
        <v>39823</v>
      </c>
      <c r="D1143" s="4" t="s">
        <v>30</v>
      </c>
      <c r="E1143" s="4">
        <v>34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33.979999999999997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4">C1143+1</f>
        <v>39824</v>
      </c>
    </row>
    <row r="1144" spans="1:21" ht="12" customHeight="1">
      <c r="A1144" s="4">
        <v>4646</v>
      </c>
      <c r="B1144" s="4">
        <v>33090</v>
      </c>
      <c r="C1144" s="5">
        <f>DATE(2012,12,31)-1244</f>
        <v>40030</v>
      </c>
      <c r="D1144" s="4" t="s">
        <v>63</v>
      </c>
      <c r="E1144" s="4">
        <v>26</v>
      </c>
      <c r="F1144" s="4">
        <v>1033.93</v>
      </c>
      <c r="G1144" s="4">
        <v>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0.56999999999999995</v>
      </c>
      <c r="U1144" s="5">
        <f t="shared" si="484"/>
        <v>40031</v>
      </c>
    </row>
    <row r="1145" spans="1:21" ht="12" customHeight="1">
      <c r="A1145" s="4">
        <v>5298</v>
      </c>
      <c r="B1145" s="4">
        <v>37731</v>
      </c>
      <c r="C1145" s="5">
        <f>DATE(2012,12,31)-1153</f>
        <v>40121</v>
      </c>
      <c r="D1145" s="4" t="s">
        <v>78</v>
      </c>
      <c r="E1145" s="4">
        <v>24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spans="1:21" ht="12" customHeight="1">
      <c r="A1146" s="4">
        <v>6278</v>
      </c>
      <c r="B1146" s="4">
        <v>44448</v>
      </c>
      <c r="C1146" s="5">
        <f>DATE(2012,12,31)-1358</f>
        <v>39916</v>
      </c>
      <c r="D1146" s="4" t="s">
        <v>78</v>
      </c>
      <c r="E1146" s="4">
        <v>28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33.979999999999997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spans="1:21" ht="12" customHeight="1">
      <c r="A1147" s="4">
        <v>6804</v>
      </c>
      <c r="B1147" s="4">
        <v>48455</v>
      </c>
      <c r="C1147" s="5">
        <f>DATE(2012,12,31)-1308</f>
        <v>39966</v>
      </c>
      <c r="D1147" s="4" t="s">
        <v>78</v>
      </c>
      <c r="E1147" s="4">
        <v>2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spans="1:21" ht="12" customHeight="1">
      <c r="A1148" s="4">
        <v>6881</v>
      </c>
      <c r="B1148" s="4">
        <v>49056</v>
      </c>
      <c r="C1148" s="5">
        <f>DATE(2012,12,31)-1187</f>
        <v>40087</v>
      </c>
      <c r="D1148" s="4" t="s">
        <v>30</v>
      </c>
      <c r="E1148" s="4">
        <v>5</v>
      </c>
      <c r="F1148" s="4">
        <v>248.3955</v>
      </c>
      <c r="G1148" s="4">
        <v>0.05</v>
      </c>
      <c r="H1148" s="4" t="s">
        <v>22</v>
      </c>
      <c r="I1148" s="6">
        <v>-260.34800000000001</v>
      </c>
      <c r="J1148" s="4">
        <v>55.99</v>
      </c>
      <c r="K1148" s="4">
        <v>5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spans="1:21" ht="12" customHeight="1">
      <c r="A1149" s="4">
        <v>7294</v>
      </c>
      <c r="B1149" s="4">
        <v>52006</v>
      </c>
      <c r="C1149" s="5">
        <f>DATE(2012,12,31)-1286</f>
        <v>39988</v>
      </c>
      <c r="D1149" s="4" t="s">
        <v>63</v>
      </c>
      <c r="E1149" s="4">
        <v>39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spans="1:21" ht="12" customHeight="1">
      <c r="A1150" s="4">
        <v>7632</v>
      </c>
      <c r="B1150" s="4">
        <v>54595</v>
      </c>
      <c r="C1150" s="5">
        <f>DATE(2012,12,31)-1343</f>
        <v>39931</v>
      </c>
      <c r="D1150" s="4" t="s">
        <v>63</v>
      </c>
      <c r="E1150" s="4">
        <v>41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130.97999999999999</v>
      </c>
      <c r="K1150" s="4">
        <v>30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spans="1:21" ht="12" customHeight="1">
      <c r="A1151" s="4">
        <v>7786</v>
      </c>
      <c r="B1151" s="4">
        <v>55713</v>
      </c>
      <c r="C1151" s="5">
        <f>DATE(2012,12,31)-1428</f>
        <v>39846</v>
      </c>
      <c r="D1151" s="4" t="s">
        <v>30</v>
      </c>
      <c r="E1151" s="4">
        <v>49</v>
      </c>
      <c r="F1151" s="4">
        <v>5718.85</v>
      </c>
      <c r="G1151" s="4">
        <v>0.09</v>
      </c>
      <c r="H1151" s="4" t="s">
        <v>31</v>
      </c>
      <c r="I1151" s="6">
        <v>-2426.5500000000002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spans="1:21" ht="12" customHeight="1">
      <c r="A1152" s="4">
        <v>901</v>
      </c>
      <c r="B1152" s="4">
        <v>6498</v>
      </c>
      <c r="C1152" s="5">
        <f>DATE(2012,12,31)-1385</f>
        <v>39889</v>
      </c>
      <c r="D1152" s="4" t="s">
        <v>63</v>
      </c>
      <c r="E1152" s="4">
        <v>38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8.1199999999999992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5">C1152+1</f>
        <v>39890</v>
      </c>
    </row>
    <row r="1153" spans="1:21" ht="12" customHeight="1">
      <c r="A1153" s="4">
        <v>3059</v>
      </c>
      <c r="B1153" s="4">
        <v>21922</v>
      </c>
      <c r="C1153" s="5">
        <f t="shared" ref="C1153:C1155" si="486">DATE(2012,12,31)-1146</f>
        <v>40128</v>
      </c>
      <c r="D1153" s="4" t="s">
        <v>30</v>
      </c>
      <c r="E1153" s="4">
        <v>17</v>
      </c>
      <c r="F1153" s="4">
        <v>8937.3799999999992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5"/>
        <v>40129</v>
      </c>
    </row>
    <row r="1154" spans="1:21" ht="12" customHeight="1">
      <c r="A1154" s="4">
        <v>3060</v>
      </c>
      <c r="B1154" s="4">
        <v>21922</v>
      </c>
      <c r="C1154" s="5">
        <f t="shared" si="486"/>
        <v>40128</v>
      </c>
      <c r="D1154" s="4" t="s">
        <v>30</v>
      </c>
      <c r="E1154" s="4">
        <v>11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5"/>
        <v>40129</v>
      </c>
    </row>
    <row r="1155" spans="1:21" ht="12" customHeight="1">
      <c r="A1155" s="4">
        <v>3061</v>
      </c>
      <c r="B1155" s="4">
        <v>21922</v>
      </c>
      <c r="C1155" s="5">
        <f t="shared" si="486"/>
        <v>40128</v>
      </c>
      <c r="D1155" s="4" t="s">
        <v>30</v>
      </c>
      <c r="E1155" s="4">
        <v>49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spans="1:21" ht="12" customHeight="1">
      <c r="A1156" s="4">
        <v>5339</v>
      </c>
      <c r="B1156" s="4">
        <v>37924</v>
      </c>
      <c r="C1156" s="5">
        <f>DATE(2012,12,31)-1128</f>
        <v>40146</v>
      </c>
      <c r="D1156" s="4" t="s">
        <v>30</v>
      </c>
      <c r="E1156" s="4">
        <v>21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17.989999999999998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0.56999999999999995</v>
      </c>
      <c r="U1156" s="5">
        <f>C1156+0</f>
        <v>40146</v>
      </c>
    </row>
    <row r="1157" spans="1:21" ht="12" customHeight="1">
      <c r="A1157" s="4">
        <v>5401</v>
      </c>
      <c r="B1157" s="4">
        <v>38400</v>
      </c>
      <c r="C1157" s="5">
        <f>DATE(2012,12,31)-1113</f>
        <v>40161</v>
      </c>
      <c r="D1157" s="4" t="s">
        <v>45</v>
      </c>
      <c r="E1157" s="4">
        <v>8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spans="1:21" ht="12" customHeight="1">
      <c r="A1158" s="4">
        <v>6028</v>
      </c>
      <c r="B1158" s="4">
        <v>42693</v>
      </c>
      <c r="C1158" s="5">
        <f>DATE(2012,12,31)-1367</f>
        <v>39907</v>
      </c>
      <c r="D1158" s="4" t="s">
        <v>30</v>
      </c>
      <c r="E1158" s="4">
        <v>33</v>
      </c>
      <c r="F1158" s="4">
        <v>2118.2600000000002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9.7100000000000009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0.56999999999999995</v>
      </c>
      <c r="U1158" s="5">
        <f>C1158+2</f>
        <v>39909</v>
      </c>
    </row>
    <row r="1159" spans="1:21" ht="12" customHeight="1">
      <c r="A1159" s="4">
        <v>6911</v>
      </c>
      <c r="B1159" s="4">
        <v>49313</v>
      </c>
      <c r="C1159" s="5">
        <f t="shared" ref="C1159:C1160" si="487">DATE(2012,12,31)-1184</f>
        <v>40090</v>
      </c>
      <c r="D1159" s="4" t="s">
        <v>63</v>
      </c>
      <c r="E1159" s="4">
        <v>34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9.3800000000000008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0.56999999999999995</v>
      </c>
      <c r="U1159" s="5">
        <f>C1159+0</f>
        <v>40090</v>
      </c>
    </row>
    <row r="1160" spans="1:21" ht="12" customHeight="1">
      <c r="A1160" s="4">
        <v>6912</v>
      </c>
      <c r="B1160" s="4">
        <v>49313</v>
      </c>
      <c r="C1160" s="5">
        <f t="shared" si="487"/>
        <v>40090</v>
      </c>
      <c r="D1160" s="4" t="s">
        <v>63</v>
      </c>
      <c r="E1160" s="4">
        <v>36</v>
      </c>
      <c r="F1160" s="4">
        <v>1129.9304999999999</v>
      </c>
      <c r="G1160" s="4">
        <v>0.05</v>
      </c>
      <c r="H1160" s="4" t="s">
        <v>22</v>
      </c>
      <c r="I1160" s="6">
        <v>574.15499999999997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spans="1:21" ht="12" customHeight="1">
      <c r="A1161" s="4">
        <v>7356</v>
      </c>
      <c r="B1161" s="4">
        <v>52416</v>
      </c>
      <c r="C1161" s="5">
        <f t="shared" ref="C1161:C1162" si="488">DATE(2012,12,31)-1430</f>
        <v>39844</v>
      </c>
      <c r="D1161" s="4" t="s">
        <v>45</v>
      </c>
      <c r="E1161" s="4">
        <v>6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spans="1:21" ht="12" customHeight="1">
      <c r="A1162" s="4">
        <v>7357</v>
      </c>
      <c r="B1162" s="4">
        <v>52416</v>
      </c>
      <c r="C1162" s="5">
        <f t="shared" si="488"/>
        <v>39844</v>
      </c>
      <c r="D1162" s="4" t="s">
        <v>45</v>
      </c>
      <c r="E1162" s="4">
        <v>40</v>
      </c>
      <c r="F1162" s="4">
        <v>9141.64</v>
      </c>
      <c r="G1162" s="4">
        <v>0.04</v>
      </c>
      <c r="H1162" s="4" t="s">
        <v>31</v>
      </c>
      <c r="I1162" s="6">
        <v>-528.65312500000005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89">C1162+1</f>
        <v>39845</v>
      </c>
    </row>
    <row r="1163" spans="1:21" ht="12" customHeight="1">
      <c r="A1163" s="4">
        <v>354</v>
      </c>
      <c r="B1163" s="4">
        <v>2466</v>
      </c>
      <c r="C1163" s="5">
        <f>DATE(2012,12,31)-1397</f>
        <v>39877</v>
      </c>
      <c r="D1163" s="4" t="s">
        <v>78</v>
      </c>
      <c r="E1163" s="4">
        <v>25</v>
      </c>
      <c r="F1163" s="4">
        <v>2553.84</v>
      </c>
      <c r="G1163" s="4">
        <v>0.05</v>
      </c>
      <c r="H1163" s="4" t="s">
        <v>22</v>
      </c>
      <c r="I1163" s="6">
        <v>553.70000000000005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89"/>
        <v>39878</v>
      </c>
    </row>
    <row r="1164" spans="1:21" ht="12" customHeight="1">
      <c r="A1164" s="4">
        <v>1139</v>
      </c>
      <c r="B1164" s="4">
        <v>8295</v>
      </c>
      <c r="C1164" s="5">
        <f t="shared" ref="C1164:C1165" si="490">DATE(2012,12,31)-1370</f>
        <v>39904</v>
      </c>
      <c r="D1164" s="4" t="s">
        <v>30</v>
      </c>
      <c r="E1164" s="4">
        <v>30</v>
      </c>
      <c r="F1164" s="4">
        <v>835.15049999999997</v>
      </c>
      <c r="G1164" s="4">
        <v>0.09</v>
      </c>
      <c r="H1164" s="4" t="s">
        <v>22</v>
      </c>
      <c r="I1164" s="6">
        <v>158.17500000000001</v>
      </c>
      <c r="J1164" s="4">
        <v>35.99</v>
      </c>
      <c r="K1164" s="4">
        <v>1.1000000000000001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0.55000000000000004</v>
      </c>
      <c r="U1164" s="5">
        <f>C1164+2</f>
        <v>39906</v>
      </c>
    </row>
    <row r="1165" spans="1:21" ht="12" customHeight="1">
      <c r="A1165" s="4">
        <v>1140</v>
      </c>
      <c r="B1165" s="4">
        <v>8295</v>
      </c>
      <c r="C1165" s="5">
        <f t="shared" si="490"/>
        <v>39904</v>
      </c>
      <c r="D1165" s="4" t="s">
        <v>30</v>
      </c>
      <c r="E1165" s="4">
        <v>7</v>
      </c>
      <c r="F1165" s="4">
        <v>771.83399999999995</v>
      </c>
      <c r="G1165" s="4">
        <v>0.01</v>
      </c>
      <c r="H1165" s="4" t="s">
        <v>22</v>
      </c>
      <c r="I1165" s="6">
        <v>-295.42700000000002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1">C1165+1</f>
        <v>39905</v>
      </c>
    </row>
    <row r="1166" spans="1:21" ht="12" customHeight="1">
      <c r="A1166" s="4">
        <v>1269</v>
      </c>
      <c r="B1166" s="4">
        <v>9222</v>
      </c>
      <c r="C1166" s="5">
        <f>DATE(2012,12,31)-1420</f>
        <v>39854</v>
      </c>
      <c r="D1166" s="4" t="s">
        <v>30</v>
      </c>
      <c r="E1166" s="4">
        <v>41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1"/>
        <v>39855</v>
      </c>
    </row>
    <row r="1167" spans="1:21" ht="12" customHeight="1">
      <c r="A1167" s="4">
        <v>1506</v>
      </c>
      <c r="B1167" s="4">
        <v>10886</v>
      </c>
      <c r="C1167" s="5">
        <f t="shared" ref="C1167:C1168" si="492">DATE(2012,12,31)-1226</f>
        <v>40048</v>
      </c>
      <c r="D1167" s="4" t="s">
        <v>78</v>
      </c>
      <c r="E1167" s="4">
        <v>36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spans="1:21" ht="12" customHeight="1">
      <c r="A1168" s="4">
        <v>1507</v>
      </c>
      <c r="B1168" s="4">
        <v>10886</v>
      </c>
      <c r="C1168" s="5">
        <f t="shared" si="492"/>
        <v>40048</v>
      </c>
      <c r="D1168" s="4" t="s">
        <v>78</v>
      </c>
      <c r="E1168" s="4">
        <v>47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spans="1:21" ht="12" customHeight="1">
      <c r="A1169" s="4">
        <v>2233</v>
      </c>
      <c r="B1169" s="4">
        <v>16133</v>
      </c>
      <c r="C1169" s="5">
        <f>DATE(2012,12,31)-1193</f>
        <v>40081</v>
      </c>
      <c r="D1169" s="4" t="s">
        <v>78</v>
      </c>
      <c r="E1169" s="4">
        <v>16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spans="1:21" ht="12" customHeight="1">
      <c r="A1170" s="4">
        <v>2619</v>
      </c>
      <c r="B1170" s="4">
        <v>18945</v>
      </c>
      <c r="C1170" s="5">
        <f>DATE(2012,12,31)-1444</f>
        <v>39830</v>
      </c>
      <c r="D1170" s="4" t="s">
        <v>63</v>
      </c>
      <c r="E1170" s="4">
        <v>33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spans="1:21" ht="12" customHeight="1">
      <c r="A1171" s="4">
        <v>2764</v>
      </c>
      <c r="B1171" s="4">
        <v>19975</v>
      </c>
      <c r="C1171" s="5">
        <f>DATE(2012,12,31)-1361</f>
        <v>39913</v>
      </c>
      <c r="D1171" s="4" t="s">
        <v>45</v>
      </c>
      <c r="E1171" s="4">
        <v>33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spans="1:21" ht="12" customHeight="1">
      <c r="A1172" s="4">
        <v>2920</v>
      </c>
      <c r="B1172" s="4">
        <v>21121</v>
      </c>
      <c r="C1172" s="5">
        <f>DATE(2012,12,31)-1202</f>
        <v>40072</v>
      </c>
      <c r="D1172" s="4" t="s">
        <v>45</v>
      </c>
      <c r="E1172" s="4">
        <v>50</v>
      </c>
      <c r="F1172" s="4">
        <v>20175.48</v>
      </c>
      <c r="G1172" s="4">
        <v>0</v>
      </c>
      <c r="H1172" s="4" t="s">
        <v>22</v>
      </c>
      <c r="I1172" s="6">
        <v>9373.9615000000013</v>
      </c>
      <c r="J1172" s="4">
        <v>387.99</v>
      </c>
      <c r="K1172" s="4">
        <v>19.989999999999998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spans="1:21" ht="12" customHeight="1">
      <c r="A1173" s="4">
        <v>2938</v>
      </c>
      <c r="B1173" s="4">
        <v>21314</v>
      </c>
      <c r="C1173" s="5">
        <f t="shared" ref="C1173:C1175" si="493">DATE(2012,12,31)-1155</f>
        <v>40119</v>
      </c>
      <c r="D1173" s="4" t="s">
        <v>21</v>
      </c>
      <c r="E1173" s="4">
        <v>6</v>
      </c>
      <c r="F1173" s="4">
        <v>56.22</v>
      </c>
      <c r="G1173" s="4">
        <v>0.04</v>
      </c>
      <c r="H1173" s="4" t="s">
        <v>22</v>
      </c>
      <c r="I1173" s="6">
        <v>-20.389500000000002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spans="1:21" ht="12" customHeight="1">
      <c r="A1174" s="4">
        <v>2939</v>
      </c>
      <c r="B1174" s="4">
        <v>21314</v>
      </c>
      <c r="C1174" s="5">
        <f t="shared" si="493"/>
        <v>40119</v>
      </c>
      <c r="D1174" s="4" t="s">
        <v>21</v>
      </c>
      <c r="E1174" s="4">
        <v>30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spans="1:21" ht="12" customHeight="1">
      <c r="A1175" s="4">
        <v>2940</v>
      </c>
      <c r="B1175" s="4">
        <v>21314</v>
      </c>
      <c r="C1175" s="5">
        <f t="shared" si="493"/>
        <v>40119</v>
      </c>
      <c r="D1175" s="4" t="s">
        <v>21</v>
      </c>
      <c r="E1175" s="4">
        <v>40</v>
      </c>
      <c r="F1175" s="4">
        <v>3169.9920000000002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spans="1:21" ht="12" customHeight="1">
      <c r="A1176" s="4">
        <v>3198</v>
      </c>
      <c r="B1176" s="4">
        <v>22917</v>
      </c>
      <c r="C1176" s="5">
        <f>DATE(2012,12,31)-1401</f>
        <v>39873</v>
      </c>
      <c r="D1176" s="4" t="s">
        <v>63</v>
      </c>
      <c r="E1176" s="4">
        <v>1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spans="1:21" ht="12" customHeight="1">
      <c r="A1177" s="4">
        <v>3455</v>
      </c>
      <c r="B1177" s="4">
        <v>24614</v>
      </c>
      <c r="C1177" s="5">
        <f>DATE(2012,12,31)-1136</f>
        <v>40138</v>
      </c>
      <c r="D1177" s="4" t="s">
        <v>21</v>
      </c>
      <c r="E1177" s="4">
        <v>33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spans="1:21" ht="12" customHeight="1">
      <c r="A1178" s="4">
        <v>4190</v>
      </c>
      <c r="B1178" s="4">
        <v>29766</v>
      </c>
      <c r="C1178" s="5">
        <f t="shared" ref="C1178:C1179" si="494">DATE(2012,12,31)-1381</f>
        <v>39893</v>
      </c>
      <c r="D1178" s="4" t="s">
        <v>63</v>
      </c>
      <c r="E1178" s="4">
        <v>13</v>
      </c>
      <c r="F1178" s="4">
        <v>89061.05</v>
      </c>
      <c r="G1178" s="4">
        <v>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spans="1:21" ht="12" customHeight="1">
      <c r="A1179" s="4">
        <v>4191</v>
      </c>
      <c r="B1179" s="4">
        <v>29766</v>
      </c>
      <c r="C1179" s="5">
        <f t="shared" si="494"/>
        <v>39893</v>
      </c>
      <c r="D1179" s="4" t="s">
        <v>63</v>
      </c>
      <c r="E1179" s="4">
        <v>40</v>
      </c>
      <c r="F1179" s="4">
        <v>6636.6639999999998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0.56000000000000005</v>
      </c>
      <c r="U1179" s="5">
        <f>C1179+0</f>
        <v>39893</v>
      </c>
    </row>
    <row r="1180" spans="1:21" ht="12" customHeight="1">
      <c r="A1180" s="4">
        <v>4253</v>
      </c>
      <c r="B1180" s="4">
        <v>30278</v>
      </c>
      <c r="C1180" s="5">
        <f>DATE(2012,12,31)-1188</f>
        <v>40086</v>
      </c>
      <c r="D1180" s="4" t="s">
        <v>21</v>
      </c>
      <c r="E1180" s="4">
        <v>50</v>
      </c>
      <c r="F1180" s="4">
        <v>2860.93</v>
      </c>
      <c r="G1180" s="4">
        <v>0.03</v>
      </c>
      <c r="H1180" s="4" t="s">
        <v>22</v>
      </c>
      <c r="I1180" s="6">
        <v>832.61699999999996</v>
      </c>
      <c r="J1180" s="4">
        <v>65.989999999999995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0.56000000000000005</v>
      </c>
      <c r="U1180" s="5">
        <f>C1180+9</f>
        <v>40095</v>
      </c>
    </row>
    <row r="1181" spans="1:21" ht="12" customHeight="1">
      <c r="A1181" s="4">
        <v>4508</v>
      </c>
      <c r="B1181" s="4">
        <v>32070</v>
      </c>
      <c r="C1181" s="5">
        <f>DATE(2012,12,31)-1263</f>
        <v>40011</v>
      </c>
      <c r="D1181" s="4" t="s">
        <v>63</v>
      </c>
      <c r="E1181" s="4">
        <v>50</v>
      </c>
      <c r="F1181" s="4">
        <v>86.7</v>
      </c>
      <c r="G1181" s="4">
        <v>7.0000000000000007E-2</v>
      </c>
      <c r="H1181" s="4" t="s">
        <v>22</v>
      </c>
      <c r="I1181" s="6">
        <v>-185.34</v>
      </c>
      <c r="J1181" s="4">
        <v>1.76</v>
      </c>
      <c r="K1181" s="4">
        <v>4.8600000000000003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spans="1:21" ht="12" customHeight="1">
      <c r="A1182" s="4">
        <v>5704</v>
      </c>
      <c r="B1182" s="4">
        <v>40354</v>
      </c>
      <c r="C1182" s="5">
        <f t="shared" ref="C1182:C1183" si="495">DATE(2012,12,31)-1458</f>
        <v>39816</v>
      </c>
      <c r="D1182" s="4" t="s">
        <v>30</v>
      </c>
      <c r="E1182" s="4">
        <v>29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6">C1182+1</f>
        <v>39817</v>
      </c>
    </row>
    <row r="1183" spans="1:21" ht="12" customHeight="1">
      <c r="A1183" s="4">
        <v>5705</v>
      </c>
      <c r="B1183" s="4">
        <v>40354</v>
      </c>
      <c r="C1183" s="5">
        <f t="shared" si="495"/>
        <v>39816</v>
      </c>
      <c r="D1183" s="4" t="s">
        <v>30</v>
      </c>
      <c r="E1183" s="4">
        <v>4</v>
      </c>
      <c r="F1183" s="4">
        <v>698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6"/>
        <v>39817</v>
      </c>
    </row>
    <row r="1184" spans="1:21" ht="12" customHeight="1">
      <c r="A1184" s="4">
        <v>5897</v>
      </c>
      <c r="B1184" s="4">
        <v>41825</v>
      </c>
      <c r="C1184" s="5">
        <f>DATE(2012,12,31)-1227</f>
        <v>40047</v>
      </c>
      <c r="D1184" s="4" t="s">
        <v>78</v>
      </c>
      <c r="E1184" s="4">
        <v>43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6"/>
        <v>40048</v>
      </c>
    </row>
    <row r="1185" spans="1:21" ht="12" customHeight="1">
      <c r="A1185" s="4">
        <v>6861</v>
      </c>
      <c r="B1185" s="4">
        <v>48896</v>
      </c>
      <c r="C1185" s="5">
        <f>DATE(2012,12,31)-1160</f>
        <v>40114</v>
      </c>
      <c r="D1185" s="4" t="s">
        <v>78</v>
      </c>
      <c r="E1185" s="4">
        <v>43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9.5399999999999991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7">C1185+2</f>
        <v>40116</v>
      </c>
    </row>
    <row r="1186" spans="1:21" ht="12" customHeight="1">
      <c r="A1186" s="4">
        <v>6974</v>
      </c>
      <c r="B1186" s="4">
        <v>49830</v>
      </c>
      <c r="C1186" s="5">
        <f>DATE(2012,12,31)-1271</f>
        <v>40003</v>
      </c>
      <c r="D1186" s="4" t="s">
        <v>78</v>
      </c>
      <c r="E1186" s="4">
        <v>16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0.57999999999999996</v>
      </c>
      <c r="U1186" s="5">
        <f t="shared" si="497"/>
        <v>40005</v>
      </c>
    </row>
    <row r="1187" spans="1:21" ht="12" customHeight="1">
      <c r="A1187" s="4">
        <v>7373</v>
      </c>
      <c r="B1187" s="4">
        <v>52576</v>
      </c>
      <c r="C1187" s="5">
        <f>DATE(2012,12,31)-1374</f>
        <v>39900</v>
      </c>
      <c r="D1187" s="4" t="s">
        <v>21</v>
      </c>
      <c r="E1187" s="4">
        <v>10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spans="1:21" ht="12" customHeight="1">
      <c r="A1188" s="4">
        <v>7536</v>
      </c>
      <c r="B1188" s="4">
        <v>53891</v>
      </c>
      <c r="C1188" s="5">
        <f t="shared" ref="C1188:C1190" si="498">DATE(2012,12,31)-1439</f>
        <v>39835</v>
      </c>
      <c r="D1188" s="4" t="s">
        <v>30</v>
      </c>
      <c r="E1188" s="4">
        <v>27</v>
      </c>
      <c r="F1188" s="4">
        <v>4584.7299999999996</v>
      </c>
      <c r="G1188" s="4">
        <v>7.0000000000000007E-2</v>
      </c>
      <c r="H1188" s="4" t="s">
        <v>22</v>
      </c>
      <c r="I1188" s="6">
        <v>812.38</v>
      </c>
      <c r="J1188" s="4">
        <v>179.99</v>
      </c>
      <c r="K1188" s="4">
        <v>19.989999999999998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499">C1188+1</f>
        <v>39836</v>
      </c>
    </row>
    <row r="1189" spans="1:21" ht="12" customHeight="1">
      <c r="A1189" s="4">
        <v>7537</v>
      </c>
      <c r="B1189" s="4">
        <v>53891</v>
      </c>
      <c r="C1189" s="5">
        <f t="shared" si="498"/>
        <v>39835</v>
      </c>
      <c r="D1189" s="4" t="s">
        <v>30</v>
      </c>
      <c r="E1189" s="4">
        <v>44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499"/>
        <v>39836</v>
      </c>
    </row>
    <row r="1190" spans="1:21" ht="12" customHeight="1">
      <c r="A1190" s="4">
        <v>7538</v>
      </c>
      <c r="B1190" s="4">
        <v>53891</v>
      </c>
      <c r="C1190" s="5">
        <f t="shared" si="498"/>
        <v>39835</v>
      </c>
      <c r="D1190" s="4" t="s">
        <v>30</v>
      </c>
      <c r="E1190" s="4">
        <v>25</v>
      </c>
      <c r="F1190" s="4">
        <v>2570.944</v>
      </c>
      <c r="G1190" s="4">
        <v>0.03</v>
      </c>
      <c r="H1190" s="4" t="s">
        <v>56</v>
      </c>
      <c r="I1190" s="6">
        <v>553.35599999999999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0.57999999999999996</v>
      </c>
      <c r="U1190" s="5">
        <f t="shared" si="499"/>
        <v>39836</v>
      </c>
    </row>
    <row r="1191" spans="1:21" ht="12" customHeight="1">
      <c r="A1191" s="4">
        <v>16</v>
      </c>
      <c r="B1191" s="4">
        <v>96</v>
      </c>
      <c r="C1191" s="5">
        <f>DATE(2012,12,31)-1355</f>
        <v>39919</v>
      </c>
      <c r="D1191" s="4" t="s">
        <v>30</v>
      </c>
      <c r="E1191" s="4">
        <v>37</v>
      </c>
      <c r="F1191" s="4">
        <v>4158.1234999999997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0.55000000000000004</v>
      </c>
      <c r="U1191" s="5">
        <f>C1191+2</f>
        <v>39921</v>
      </c>
    </row>
    <row r="1192" spans="1:21" ht="12" customHeight="1">
      <c r="A1192" s="4">
        <v>962</v>
      </c>
      <c r="B1192" s="4">
        <v>6979</v>
      </c>
      <c r="C1192" s="5">
        <f>DATE(2012,12,31)-1403</f>
        <v>39871</v>
      </c>
      <c r="D1192" s="4" t="s">
        <v>78</v>
      </c>
      <c r="E1192" s="4">
        <v>28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spans="1:21" ht="12" customHeight="1">
      <c r="A1193" s="4">
        <v>1480</v>
      </c>
      <c r="B1193" s="4">
        <v>10659</v>
      </c>
      <c r="C1193" s="5">
        <f>DATE(2012,12,31)-1327</f>
        <v>39947</v>
      </c>
      <c r="D1193" s="4" t="s">
        <v>78</v>
      </c>
      <c r="E1193" s="4">
        <v>40</v>
      </c>
      <c r="F1193" s="4">
        <v>227.37</v>
      </c>
      <c r="G1193" s="4">
        <v>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spans="1:21" ht="12" customHeight="1">
      <c r="A1194" s="4">
        <v>1923</v>
      </c>
      <c r="B1194" s="4">
        <v>13765</v>
      </c>
      <c r="C1194" s="5">
        <f>DATE(2012,12,31)-1366</f>
        <v>39908</v>
      </c>
      <c r="D1194" s="4" t="s">
        <v>45</v>
      </c>
      <c r="E1194" s="4">
        <v>45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36.549999999999997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0">C1194+2</f>
        <v>39910</v>
      </c>
    </row>
    <row r="1195" spans="1:21" ht="12" customHeight="1">
      <c r="A1195" s="4">
        <v>1967</v>
      </c>
      <c r="B1195" s="4">
        <v>14055</v>
      </c>
      <c r="C1195" s="5">
        <f>DATE(2012,12,31)-1217</f>
        <v>40057</v>
      </c>
      <c r="D1195" s="4" t="s">
        <v>30</v>
      </c>
      <c r="E1195" s="4">
        <v>21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0"/>
        <v>40059</v>
      </c>
    </row>
    <row r="1196" spans="1:21" ht="12" customHeight="1">
      <c r="A1196" s="4">
        <v>2010</v>
      </c>
      <c r="B1196" s="4">
        <v>14342</v>
      </c>
      <c r="C1196" s="5">
        <f>DATE(2012,12,31)-1344</f>
        <v>39930</v>
      </c>
      <c r="D1196" s="4" t="s">
        <v>21</v>
      </c>
      <c r="E1196" s="4">
        <v>38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300.97000000000003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1">C1196+0</f>
        <v>39930</v>
      </c>
    </row>
    <row r="1197" spans="1:21" ht="12" customHeight="1">
      <c r="A1197" s="4">
        <v>2063</v>
      </c>
      <c r="B1197" s="4">
        <v>14756</v>
      </c>
      <c r="C1197" s="5">
        <f>DATE(2012,12,31)-1218</f>
        <v>40056</v>
      </c>
      <c r="D1197" s="4" t="s">
        <v>21</v>
      </c>
      <c r="E1197" s="4">
        <v>2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1"/>
        <v>40056</v>
      </c>
    </row>
    <row r="1198" spans="1:21" ht="12" customHeight="1">
      <c r="A1198" s="4">
        <v>2065</v>
      </c>
      <c r="B1198" s="4">
        <v>14785</v>
      </c>
      <c r="C1198" s="5">
        <f t="shared" ref="C1198:C1199" si="502">DATE(2012,12,31)-1179</f>
        <v>40095</v>
      </c>
      <c r="D1198" s="4" t="s">
        <v>30</v>
      </c>
      <c r="E1198" s="4">
        <v>20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1"/>
        <v>40095</v>
      </c>
    </row>
    <row r="1199" spans="1:21" ht="12" customHeight="1">
      <c r="A1199" s="4">
        <v>2066</v>
      </c>
      <c r="B1199" s="4">
        <v>14785</v>
      </c>
      <c r="C1199" s="5">
        <f t="shared" si="502"/>
        <v>40095</v>
      </c>
      <c r="D1199" s="4" t="s">
        <v>30</v>
      </c>
      <c r="E1199" s="4">
        <v>25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0.55000000000000004</v>
      </c>
      <c r="U1199" s="5">
        <f t="shared" ref="U1199:U1202" si="503">C1199+1</f>
        <v>40096</v>
      </c>
    </row>
    <row r="1200" spans="1:21" ht="12" customHeight="1">
      <c r="A1200" s="4">
        <v>2880</v>
      </c>
      <c r="B1200" s="4">
        <v>20773</v>
      </c>
      <c r="C1200" s="5">
        <f>DATE(2012,12,31)-1397</f>
        <v>39877</v>
      </c>
      <c r="D1200" s="4" t="s">
        <v>45</v>
      </c>
      <c r="E1200" s="4">
        <v>44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3"/>
        <v>39878</v>
      </c>
    </row>
    <row r="1201" spans="1:21" ht="12" customHeight="1">
      <c r="A1201" s="4">
        <v>3000</v>
      </c>
      <c r="B1201" s="4">
        <v>21633</v>
      </c>
      <c r="C1201" s="5">
        <f>DATE(2012,12,31)-1375</f>
        <v>39899</v>
      </c>
      <c r="D1201" s="4" t="s">
        <v>63</v>
      </c>
      <c r="E1201" s="4">
        <v>29</v>
      </c>
      <c r="F1201" s="4">
        <v>547.82000000000005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3"/>
        <v>39900</v>
      </c>
    </row>
    <row r="1202" spans="1:21" ht="12" customHeight="1">
      <c r="A1202" s="4">
        <v>3184</v>
      </c>
      <c r="B1202" s="4">
        <v>22851</v>
      </c>
      <c r="C1202" s="5">
        <f t="shared" ref="C1202:C1204" si="504">DATE(2012,12,31)-1401</f>
        <v>39873</v>
      </c>
      <c r="D1202" s="4" t="s">
        <v>78</v>
      </c>
      <c r="E1202" s="4">
        <v>25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3"/>
        <v>39874</v>
      </c>
    </row>
    <row r="1203" spans="1:21" ht="12" customHeight="1">
      <c r="A1203" s="4">
        <v>3185</v>
      </c>
      <c r="B1203" s="4">
        <v>22851</v>
      </c>
      <c r="C1203" s="5">
        <f t="shared" si="504"/>
        <v>39873</v>
      </c>
      <c r="D1203" s="4" t="s">
        <v>78</v>
      </c>
      <c r="E1203" s="4">
        <v>13</v>
      </c>
      <c r="F1203" s="4">
        <v>32.369999999999997</v>
      </c>
      <c r="G1203" s="4">
        <v>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spans="1:21" ht="12" customHeight="1">
      <c r="A1204" s="4">
        <v>3186</v>
      </c>
      <c r="B1204" s="4">
        <v>22851</v>
      </c>
      <c r="C1204" s="5">
        <f t="shared" si="504"/>
        <v>39873</v>
      </c>
      <c r="D1204" s="4" t="s">
        <v>78</v>
      </c>
      <c r="E1204" s="4">
        <v>38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0.56000000000000005</v>
      </c>
      <c r="U1204" s="5">
        <f>C1204+1</f>
        <v>39874</v>
      </c>
    </row>
    <row r="1205" spans="1:21" ht="12" customHeight="1">
      <c r="A1205" s="4">
        <v>4231</v>
      </c>
      <c r="B1205" s="4">
        <v>30053</v>
      </c>
      <c r="C1205" s="5">
        <f>DATE(2012,12,31)-1429</f>
        <v>39845</v>
      </c>
      <c r="D1205" s="4" t="s">
        <v>78</v>
      </c>
      <c r="E1205" s="4">
        <v>41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spans="1:21" ht="12" customHeight="1">
      <c r="A1206" s="4">
        <v>4246</v>
      </c>
      <c r="B1206" s="4">
        <v>30214</v>
      </c>
      <c r="C1206" s="5">
        <f>DATE(2012,12,31)-1184</f>
        <v>40090</v>
      </c>
      <c r="D1206" s="4" t="s">
        <v>21</v>
      </c>
      <c r="E1206" s="4">
        <v>38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spans="1:21" ht="12" customHeight="1">
      <c r="A1207" s="4">
        <v>4596</v>
      </c>
      <c r="B1207" s="4">
        <v>32710</v>
      </c>
      <c r="C1207" s="5">
        <f>DATE(2012,12,31)-1141</f>
        <v>40133</v>
      </c>
      <c r="D1207" s="4" t="s">
        <v>30</v>
      </c>
      <c r="E1207" s="4">
        <v>43</v>
      </c>
      <c r="F1207" s="4">
        <v>540.33000000000004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0.56999999999999995</v>
      </c>
      <c r="U1207" s="5">
        <f>C1207+1</f>
        <v>40134</v>
      </c>
    </row>
    <row r="1208" spans="1:21" ht="12" customHeight="1">
      <c r="A1208" s="4">
        <v>5185</v>
      </c>
      <c r="B1208" s="4">
        <v>36838</v>
      </c>
      <c r="C1208" s="5">
        <f>DATE(2012,12,31)-1363</f>
        <v>39911</v>
      </c>
      <c r="D1208" s="4" t="s">
        <v>21</v>
      </c>
      <c r="E1208" s="4">
        <v>3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spans="1:21" ht="12" customHeight="1">
      <c r="A1209" s="4">
        <v>5670</v>
      </c>
      <c r="B1209" s="4">
        <v>40101</v>
      </c>
      <c r="C1209" s="5">
        <f>DATE(2012,12,31)-1430</f>
        <v>39844</v>
      </c>
      <c r="D1209" s="4" t="s">
        <v>21</v>
      </c>
      <c r="E1209" s="4">
        <v>46</v>
      </c>
      <c r="F1209" s="4">
        <v>2188.06</v>
      </c>
      <c r="G1209" s="4">
        <v>0.1</v>
      </c>
      <c r="H1209" s="4" t="s">
        <v>56</v>
      </c>
      <c r="I1209" s="6">
        <v>33.770000000000003</v>
      </c>
      <c r="J1209" s="4">
        <v>49.99</v>
      </c>
      <c r="K1209" s="4">
        <v>19.989999999999998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spans="1:21" ht="12" customHeight="1">
      <c r="A1210" s="4">
        <v>5852</v>
      </c>
      <c r="B1210" s="4">
        <v>41542</v>
      </c>
      <c r="C1210" s="5">
        <f>DATE(2012,12,31)-1192</f>
        <v>40082</v>
      </c>
      <c r="D1210" s="4" t="s">
        <v>30</v>
      </c>
      <c r="E1210" s="4">
        <v>47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spans="1:21" ht="12" customHeight="1">
      <c r="A1211" s="4">
        <v>6212</v>
      </c>
      <c r="B1211" s="4">
        <v>44002</v>
      </c>
      <c r="C1211" s="5">
        <f t="shared" ref="C1211:C1212" si="505">DATE(2012,12,31)-1423</f>
        <v>39851</v>
      </c>
      <c r="D1211" s="4" t="s">
        <v>63</v>
      </c>
      <c r="E1211" s="4">
        <v>46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spans="1:21" ht="12" customHeight="1">
      <c r="A1212" s="4">
        <v>6213</v>
      </c>
      <c r="B1212" s="4">
        <v>44002</v>
      </c>
      <c r="C1212" s="5">
        <f t="shared" si="505"/>
        <v>39851</v>
      </c>
      <c r="D1212" s="4" t="s">
        <v>63</v>
      </c>
      <c r="E1212" s="4">
        <v>14</v>
      </c>
      <c r="F1212" s="4">
        <v>261.85000000000002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9.4700000000000006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spans="1:21" ht="12" customHeight="1">
      <c r="A1213" s="4">
        <v>6236</v>
      </c>
      <c r="B1213" s="4">
        <v>44196</v>
      </c>
      <c r="C1213" s="5">
        <f>DATE(2012,12,31)-1227</f>
        <v>40047</v>
      </c>
      <c r="D1213" s="4" t="s">
        <v>45</v>
      </c>
      <c r="E1213" s="4">
        <v>10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spans="1:21" ht="12" customHeight="1">
      <c r="A1214" s="4">
        <v>6674</v>
      </c>
      <c r="B1214" s="4">
        <v>47494</v>
      </c>
      <c r="C1214" s="5">
        <f t="shared" ref="C1214:C1215" si="506">DATE(2012,12,31)-1279</f>
        <v>39995</v>
      </c>
      <c r="D1214" s="4" t="s">
        <v>30</v>
      </c>
      <c r="E1214" s="4">
        <v>42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0.55000000000000004</v>
      </c>
      <c r="U1214" s="5">
        <f>C1214+1</f>
        <v>39996</v>
      </c>
    </row>
    <row r="1215" spans="1:21" ht="12" customHeight="1">
      <c r="A1215" s="4">
        <v>6675</v>
      </c>
      <c r="B1215" s="4">
        <v>47494</v>
      </c>
      <c r="C1215" s="5">
        <f t="shared" si="506"/>
        <v>39995</v>
      </c>
      <c r="D1215" s="4" t="s">
        <v>30</v>
      </c>
      <c r="E1215" s="4">
        <v>9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4.9800000000000004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spans="1:21" ht="12" customHeight="1">
      <c r="A1216" s="4">
        <v>6731</v>
      </c>
      <c r="B1216" s="4">
        <v>47938</v>
      </c>
      <c r="C1216" s="5">
        <f>DATE(2012,12,31)-1286</f>
        <v>39988</v>
      </c>
      <c r="D1216" s="4" t="s">
        <v>21</v>
      </c>
      <c r="E1216" s="4">
        <v>17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spans="1:21" ht="12" customHeight="1">
      <c r="A1217" s="4">
        <v>6941</v>
      </c>
      <c r="B1217" s="4">
        <v>49541</v>
      </c>
      <c r="C1217" s="5">
        <f>DATE(2012,12,31)-1445</f>
        <v>39829</v>
      </c>
      <c r="D1217" s="4" t="s">
        <v>63</v>
      </c>
      <c r="E1217" s="4">
        <v>35</v>
      </c>
      <c r="F1217" s="4">
        <v>503.75</v>
      </c>
      <c r="G1217" s="4">
        <v>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0.56999999999999995</v>
      </c>
      <c r="U1217" s="5">
        <f>C1217+1</f>
        <v>39830</v>
      </c>
    </row>
    <row r="1218" spans="1:21" ht="12" customHeight="1">
      <c r="A1218" s="4">
        <v>6970</v>
      </c>
      <c r="B1218" s="4">
        <v>49799</v>
      </c>
      <c r="C1218" s="5">
        <f t="shared" ref="C1218:C1219" si="507">DATE(2012,12,31)-1225</f>
        <v>40049</v>
      </c>
      <c r="D1218" s="4" t="s">
        <v>30</v>
      </c>
      <c r="E1218" s="4">
        <v>4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spans="1:21" ht="12" customHeight="1">
      <c r="A1219" s="4">
        <v>6971</v>
      </c>
      <c r="B1219" s="4">
        <v>49799</v>
      </c>
      <c r="C1219" s="5">
        <f t="shared" si="507"/>
        <v>40049</v>
      </c>
      <c r="D1219" s="4" t="s">
        <v>30</v>
      </c>
      <c r="E1219" s="4">
        <v>12</v>
      </c>
      <c r="F1219" s="4">
        <v>2119.0414999999998</v>
      </c>
      <c r="G1219" s="4">
        <v>0</v>
      </c>
      <c r="H1219" s="4" t="s">
        <v>22</v>
      </c>
      <c r="I1219" s="6">
        <v>-6.5670000000000002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spans="1:21" ht="12" customHeight="1">
      <c r="A1220" s="4">
        <v>7823</v>
      </c>
      <c r="B1220" s="4">
        <v>55937</v>
      </c>
      <c r="C1220" s="5">
        <f t="shared" ref="C1220:C1221" si="508">DATE(2012,12,31)-1435</f>
        <v>39839</v>
      </c>
      <c r="D1220" s="4" t="s">
        <v>63</v>
      </c>
      <c r="E1220" s="4">
        <v>10</v>
      </c>
      <c r="F1220" s="4">
        <v>392.77</v>
      </c>
      <c r="G1220" s="4">
        <v>0.09</v>
      </c>
      <c r="H1220" s="4" t="s">
        <v>22</v>
      </c>
      <c r="I1220" s="6">
        <v>-146.19999999999999</v>
      </c>
      <c r="J1220" s="4">
        <v>39.979999999999997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09">C1220+2</f>
        <v>39841</v>
      </c>
    </row>
    <row r="1221" spans="1:21" ht="12" customHeight="1">
      <c r="A1221" s="4">
        <v>7824</v>
      </c>
      <c r="B1221" s="4">
        <v>55937</v>
      </c>
      <c r="C1221" s="5">
        <f t="shared" si="508"/>
        <v>39839</v>
      </c>
      <c r="D1221" s="4" t="s">
        <v>63</v>
      </c>
      <c r="E1221" s="4">
        <v>24</v>
      </c>
      <c r="F1221" s="4">
        <v>7332.0880000000006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09"/>
        <v>39841</v>
      </c>
    </row>
    <row r="1222" spans="1:21" ht="12" customHeight="1">
      <c r="A1222" s="4">
        <v>41</v>
      </c>
      <c r="B1222" s="4">
        <v>231</v>
      </c>
      <c r="C1222" s="5">
        <f>DATE(2012,12,31)-1190</f>
        <v>40084</v>
      </c>
      <c r="D1222" s="4" t="s">
        <v>30</v>
      </c>
      <c r="E1222" s="4">
        <v>2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19.989999999999998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0.56999999999999995</v>
      </c>
      <c r="U1222" s="5">
        <f t="shared" si="509"/>
        <v>40086</v>
      </c>
    </row>
    <row r="1223" spans="1:21" ht="12" customHeight="1">
      <c r="A1223" s="4">
        <v>416</v>
      </c>
      <c r="B1223" s="4">
        <v>2816</v>
      </c>
      <c r="C1223" s="5">
        <f>DATE(2012,12,31)-1199</f>
        <v>40075</v>
      </c>
      <c r="D1223" s="4" t="s">
        <v>30</v>
      </c>
      <c r="E1223" s="4">
        <v>35</v>
      </c>
      <c r="F1223" s="4">
        <v>787.56</v>
      </c>
      <c r="G1223" s="4">
        <v>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0.55000000000000004</v>
      </c>
      <c r="U1223" s="5">
        <f>C1223+1</f>
        <v>40076</v>
      </c>
    </row>
    <row r="1224" spans="1:21" ht="12" customHeight="1">
      <c r="A1224" s="4">
        <v>419</v>
      </c>
      <c r="B1224" s="4">
        <v>2818</v>
      </c>
      <c r="C1224" s="5">
        <f t="shared" ref="C1224:C1226" si="510">DATE(2012,12,31)-1116</f>
        <v>40158</v>
      </c>
      <c r="D1224" s="4" t="s">
        <v>63</v>
      </c>
      <c r="E1224" s="4">
        <v>37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spans="1:21" ht="12" customHeight="1">
      <c r="A1225" s="4">
        <v>420</v>
      </c>
      <c r="B1225" s="4">
        <v>2818</v>
      </c>
      <c r="C1225" s="5">
        <f t="shared" si="510"/>
        <v>40158</v>
      </c>
      <c r="D1225" s="4" t="s">
        <v>63</v>
      </c>
      <c r="E1225" s="4">
        <v>39</v>
      </c>
      <c r="F1225" s="4">
        <v>593.21</v>
      </c>
      <c r="G1225" s="4">
        <v>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1">C1225+1</f>
        <v>40159</v>
      </c>
    </row>
    <row r="1226" spans="1:21" ht="12" customHeight="1">
      <c r="A1226" s="4">
        <v>421</v>
      </c>
      <c r="B1226" s="4">
        <v>2818</v>
      </c>
      <c r="C1226" s="5">
        <f t="shared" si="510"/>
        <v>40158</v>
      </c>
      <c r="D1226" s="4" t="s">
        <v>63</v>
      </c>
      <c r="E1226" s="4">
        <v>2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1"/>
        <v>40159</v>
      </c>
    </row>
    <row r="1227" spans="1:21" ht="12" customHeight="1">
      <c r="A1227" s="4">
        <v>499</v>
      </c>
      <c r="B1227" s="4">
        <v>3459</v>
      </c>
      <c r="C1227" s="5">
        <f>DATE(2012,12,31)-1253</f>
        <v>40021</v>
      </c>
      <c r="D1227" s="4" t="s">
        <v>45</v>
      </c>
      <c r="E1227" s="4">
        <v>24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0.56999999999999995</v>
      </c>
      <c r="U1227" s="5">
        <f>C1227+2</f>
        <v>40023</v>
      </c>
    </row>
    <row r="1228" spans="1:21" ht="12" customHeight="1">
      <c r="A1228" s="4">
        <v>506</v>
      </c>
      <c r="B1228" s="4">
        <v>3492</v>
      </c>
      <c r="C1228" s="5">
        <f t="shared" ref="C1228:C1230" si="512">DATE(2012,12,31)-1134</f>
        <v>40140</v>
      </c>
      <c r="D1228" s="4" t="s">
        <v>21</v>
      </c>
      <c r="E1228" s="4">
        <v>35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19.989999999999998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spans="1:21" ht="12" customHeight="1">
      <c r="A1229" s="4">
        <v>507</v>
      </c>
      <c r="B1229" s="4">
        <v>3492</v>
      </c>
      <c r="C1229" s="5">
        <f t="shared" si="512"/>
        <v>40140</v>
      </c>
      <c r="D1229" s="4" t="s">
        <v>21</v>
      </c>
      <c r="E1229" s="4">
        <v>49</v>
      </c>
      <c r="F1229" s="4">
        <v>6177.53</v>
      </c>
      <c r="G1229" s="4">
        <v>0.1</v>
      </c>
      <c r="H1229" s="4" t="s">
        <v>31</v>
      </c>
      <c r="I1229" s="6">
        <v>-1195.1199999999999</v>
      </c>
      <c r="J1229" s="4">
        <v>130.97999999999999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3">C1229+0</f>
        <v>40140</v>
      </c>
    </row>
    <row r="1230" spans="1:21" ht="12" customHeight="1">
      <c r="A1230" s="4">
        <v>508</v>
      </c>
      <c r="B1230" s="4">
        <v>3492</v>
      </c>
      <c r="C1230" s="5">
        <f t="shared" si="512"/>
        <v>40140</v>
      </c>
      <c r="D1230" s="4" t="s">
        <v>21</v>
      </c>
      <c r="E1230" s="4">
        <v>33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3"/>
        <v>40140</v>
      </c>
    </row>
    <row r="1231" spans="1:21" ht="12" customHeight="1">
      <c r="A1231" s="4">
        <v>516</v>
      </c>
      <c r="B1231" s="4">
        <v>3553</v>
      </c>
      <c r="C1231" s="5">
        <f>DATE(2012,12,31)-1324</f>
        <v>39950</v>
      </c>
      <c r="D1231" s="4" t="s">
        <v>63</v>
      </c>
      <c r="E1231" s="4">
        <v>7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0.57999999999999996</v>
      </c>
      <c r="U1231" s="5">
        <f>C1231+1</f>
        <v>39951</v>
      </c>
    </row>
    <row r="1232" spans="1:21" ht="12" customHeight="1">
      <c r="A1232" s="4">
        <v>635</v>
      </c>
      <c r="B1232" s="4">
        <v>4451</v>
      </c>
      <c r="C1232" s="5">
        <f>DATE(2012,12,31)-1188</f>
        <v>40086</v>
      </c>
      <c r="D1232" s="4" t="s">
        <v>78</v>
      </c>
      <c r="E1232" s="4">
        <v>47</v>
      </c>
      <c r="F1232" s="4">
        <v>992.95</v>
      </c>
      <c r="G1232" s="4">
        <v>0.04</v>
      </c>
      <c r="H1232" s="4" t="s">
        <v>22</v>
      </c>
      <c r="I1232" s="6">
        <v>-65.209999999999994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spans="1:21" ht="12" customHeight="1">
      <c r="A1233" s="4">
        <v>642</v>
      </c>
      <c r="B1233" s="4">
        <v>4516</v>
      </c>
      <c r="C1233" s="5">
        <f>DATE(2012,12,31)-1374</f>
        <v>39900</v>
      </c>
      <c r="D1233" s="4" t="s">
        <v>63</v>
      </c>
      <c r="E1233" s="4">
        <v>42</v>
      </c>
      <c r="F1233" s="4">
        <v>294.77999999999997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spans="1:21" ht="12" customHeight="1">
      <c r="A1234" s="4">
        <v>820</v>
      </c>
      <c r="B1234" s="4">
        <v>5921</v>
      </c>
      <c r="C1234" s="5">
        <f>DATE(2012,12,31)-1365</f>
        <v>39909</v>
      </c>
      <c r="D1234" s="4" t="s">
        <v>21</v>
      </c>
      <c r="E1234" s="4">
        <v>27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0.56999999999999995</v>
      </c>
      <c r="U1234" s="5">
        <f>C1234+7</f>
        <v>39916</v>
      </c>
    </row>
    <row r="1235" spans="1:21" ht="12" customHeight="1">
      <c r="A1235" s="4">
        <v>868</v>
      </c>
      <c r="B1235" s="4">
        <v>6241</v>
      </c>
      <c r="C1235" s="5">
        <f t="shared" ref="C1235:C1236" si="514">DATE(2012,12,31)-1098</f>
        <v>40176</v>
      </c>
      <c r="D1235" s="4" t="s">
        <v>21</v>
      </c>
      <c r="E1235" s="4">
        <v>24</v>
      </c>
      <c r="F1235" s="4">
        <v>133.94</v>
      </c>
      <c r="G1235" s="4">
        <v>0.08</v>
      </c>
      <c r="H1235" s="4" t="s">
        <v>56</v>
      </c>
      <c r="I1235" s="6">
        <v>45</v>
      </c>
      <c r="J1235" s="4">
        <v>5.84</v>
      </c>
      <c r="K1235" s="4">
        <v>1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spans="1:21" ht="12" customHeight="1">
      <c r="A1236" s="4">
        <v>869</v>
      </c>
      <c r="B1236" s="4">
        <v>6241</v>
      </c>
      <c r="C1236" s="5">
        <f t="shared" si="514"/>
        <v>40176</v>
      </c>
      <c r="D1236" s="4" t="s">
        <v>21</v>
      </c>
      <c r="E1236" s="4">
        <v>29</v>
      </c>
      <c r="F1236" s="4">
        <v>5433.0895</v>
      </c>
      <c r="G1236" s="4">
        <v>0</v>
      </c>
      <c r="H1236" s="4" t="s">
        <v>22</v>
      </c>
      <c r="I1236" s="6">
        <v>1365.2819999999999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spans="1:21" ht="12" customHeight="1">
      <c r="A1237" s="4">
        <v>892</v>
      </c>
      <c r="B1237" s="4">
        <v>6406</v>
      </c>
      <c r="C1237" s="5">
        <f>DATE(2012,12,31)-1235</f>
        <v>40039</v>
      </c>
      <c r="D1237" s="4" t="s">
        <v>78</v>
      </c>
      <c r="E1237" s="4">
        <v>43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0.55000000000000004</v>
      </c>
      <c r="U1237" s="5">
        <f t="shared" ref="U1237:U1239" si="515">C1237+2</f>
        <v>40041</v>
      </c>
    </row>
    <row r="1238" spans="1:21" ht="12" customHeight="1">
      <c r="A1238" s="4">
        <v>947</v>
      </c>
      <c r="B1238" s="4">
        <v>6854</v>
      </c>
      <c r="C1238" s="5">
        <f t="shared" ref="C1238:C1239" si="516">DATE(2012,12,31)-1455</f>
        <v>39819</v>
      </c>
      <c r="D1238" s="4" t="s">
        <v>63</v>
      </c>
      <c r="E1238" s="4">
        <v>1</v>
      </c>
      <c r="F1238" s="4">
        <v>22.13</v>
      </c>
      <c r="G1238" s="4">
        <v>7.0000000000000007E-2</v>
      </c>
      <c r="H1238" s="4" t="s">
        <v>56</v>
      </c>
      <c r="I1238" s="6">
        <v>-2.3919999999999999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5"/>
        <v>39821</v>
      </c>
    </row>
    <row r="1239" spans="1:21" ht="12" customHeight="1">
      <c r="A1239" s="4">
        <v>948</v>
      </c>
      <c r="B1239" s="4">
        <v>6854</v>
      </c>
      <c r="C1239" s="5">
        <f t="shared" si="516"/>
        <v>39819</v>
      </c>
      <c r="D1239" s="4" t="s">
        <v>63</v>
      </c>
      <c r="E1239" s="4">
        <v>19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5"/>
        <v>39821</v>
      </c>
    </row>
    <row r="1240" spans="1:21" ht="12" customHeight="1">
      <c r="A1240" s="4">
        <v>1072</v>
      </c>
      <c r="B1240" s="4">
        <v>7905</v>
      </c>
      <c r="C1240" s="5">
        <f>DATE(2012,12,31)-1307</f>
        <v>39967</v>
      </c>
      <c r="D1240" s="4" t="s">
        <v>21</v>
      </c>
      <c r="E1240" s="4">
        <v>46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259.70999999999998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spans="1:21" ht="12" customHeight="1">
      <c r="A1241" s="4">
        <v>1182</v>
      </c>
      <c r="B1241" s="4">
        <v>8646</v>
      </c>
      <c r="C1241" s="5">
        <f t="shared" ref="C1241:C1244" si="517">DATE(2012,12,31)-1362</f>
        <v>39912</v>
      </c>
      <c r="D1241" s="4" t="s">
        <v>30</v>
      </c>
      <c r="E1241" s="4">
        <v>8</v>
      </c>
      <c r="F1241" s="4">
        <v>85.85</v>
      </c>
      <c r="G1241" s="4">
        <v>0.03</v>
      </c>
      <c r="H1241" s="4" t="s">
        <v>22</v>
      </c>
      <c r="I1241" s="6">
        <v>-327.64999999999998</v>
      </c>
      <c r="J1241" s="4">
        <v>4.4800000000000004</v>
      </c>
      <c r="K1241" s="4">
        <v>49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8">C1241+2</f>
        <v>39914</v>
      </c>
    </row>
    <row r="1242" spans="1:21" ht="12" customHeight="1">
      <c r="A1242" s="4">
        <v>1183</v>
      </c>
      <c r="B1242" s="4">
        <v>8646</v>
      </c>
      <c r="C1242" s="5">
        <f t="shared" si="517"/>
        <v>39912</v>
      </c>
      <c r="D1242" s="4" t="s">
        <v>30</v>
      </c>
      <c r="E1242" s="4">
        <v>41</v>
      </c>
      <c r="F1242" s="4">
        <v>14377.78</v>
      </c>
      <c r="G1242" s="4">
        <v>0.06</v>
      </c>
      <c r="H1242" s="4" t="s">
        <v>31</v>
      </c>
      <c r="I1242" s="6">
        <v>4161.9799999999996</v>
      </c>
      <c r="J1242" s="4">
        <v>350.99</v>
      </c>
      <c r="K1242" s="4">
        <v>39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0.55000000000000004</v>
      </c>
      <c r="U1242" s="5">
        <f t="shared" si="518"/>
        <v>39914</v>
      </c>
    </row>
    <row r="1243" spans="1:21" ht="12" customHeight="1">
      <c r="A1243" s="4">
        <v>1184</v>
      </c>
      <c r="B1243" s="4">
        <v>8646</v>
      </c>
      <c r="C1243" s="5">
        <f t="shared" si="517"/>
        <v>39912</v>
      </c>
      <c r="D1243" s="4" t="s">
        <v>30</v>
      </c>
      <c r="E1243" s="4">
        <v>26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8"/>
        <v>39914</v>
      </c>
    </row>
    <row r="1244" spans="1:21" ht="12" customHeight="1">
      <c r="A1244" s="4">
        <v>1185</v>
      </c>
      <c r="B1244" s="4">
        <v>8646</v>
      </c>
      <c r="C1244" s="5">
        <f t="shared" si="517"/>
        <v>39912</v>
      </c>
      <c r="D1244" s="4" t="s">
        <v>30</v>
      </c>
      <c r="E1244" s="4">
        <v>29</v>
      </c>
      <c r="F1244" s="4">
        <v>9558.65</v>
      </c>
      <c r="G1244" s="4">
        <v>0.09</v>
      </c>
      <c r="H1244" s="4" t="s">
        <v>31</v>
      </c>
      <c r="I1244" s="6">
        <v>2154.0700000000002</v>
      </c>
      <c r="J1244" s="4">
        <v>349.45</v>
      </c>
      <c r="K1244" s="4">
        <v>60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19">C1244+1</f>
        <v>39913</v>
      </c>
    </row>
    <row r="1245" spans="1:21" ht="12" customHeight="1">
      <c r="A1245" s="4">
        <v>1374</v>
      </c>
      <c r="B1245" s="4">
        <v>9954</v>
      </c>
      <c r="C1245" s="5">
        <f t="shared" ref="C1245:C1247" si="520">DATE(2012,12,31)-1291</f>
        <v>39983</v>
      </c>
      <c r="D1245" s="4" t="s">
        <v>45</v>
      </c>
      <c r="E1245" s="4">
        <v>36</v>
      </c>
      <c r="F1245" s="4">
        <v>10122.719999999999</v>
      </c>
      <c r="G1245" s="4">
        <v>7.0000000000000007E-2</v>
      </c>
      <c r="H1245" s="4" t="s">
        <v>31</v>
      </c>
      <c r="I1245" s="6">
        <v>-381.16</v>
      </c>
      <c r="J1245" s="4">
        <v>280.98</v>
      </c>
      <c r="K1245" s="4">
        <v>57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19"/>
        <v>39984</v>
      </c>
    </row>
    <row r="1246" spans="1:21" ht="12" customHeight="1">
      <c r="A1246" s="4">
        <v>1375</v>
      </c>
      <c r="B1246" s="4">
        <v>9954</v>
      </c>
      <c r="C1246" s="5">
        <f t="shared" si="520"/>
        <v>39983</v>
      </c>
      <c r="D1246" s="4" t="s">
        <v>45</v>
      </c>
      <c r="E1246" s="4">
        <v>39</v>
      </c>
      <c r="F1246" s="4">
        <v>203.6</v>
      </c>
      <c r="G1246" s="4">
        <v>0</v>
      </c>
      <c r="H1246" s="4" t="s">
        <v>22</v>
      </c>
      <c r="I1246" s="6">
        <v>-166.44</v>
      </c>
      <c r="J1246" s="4">
        <v>4.9800000000000004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1">C1246+2</f>
        <v>39985</v>
      </c>
    </row>
    <row r="1247" spans="1:21" ht="12" customHeight="1">
      <c r="A1247" s="4">
        <v>1376</v>
      </c>
      <c r="B1247" s="4">
        <v>9954</v>
      </c>
      <c r="C1247" s="5">
        <f t="shared" si="520"/>
        <v>39983</v>
      </c>
      <c r="D1247" s="4" t="s">
        <v>45</v>
      </c>
      <c r="E1247" s="4">
        <v>30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1"/>
        <v>39985</v>
      </c>
    </row>
    <row r="1248" spans="1:21" ht="12" customHeight="1">
      <c r="A1248" s="4">
        <v>1415</v>
      </c>
      <c r="B1248" s="4">
        <v>10272</v>
      </c>
      <c r="C1248" s="5">
        <f t="shared" ref="C1248:C1249" si="522">DATE(2012,12,31)-1444</f>
        <v>39830</v>
      </c>
      <c r="D1248" s="4" t="s">
        <v>63</v>
      </c>
      <c r="E1248" s="4">
        <v>3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19.989999999999998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1"/>
        <v>39832</v>
      </c>
    </row>
    <row r="1249" spans="1:21" ht="12" customHeight="1">
      <c r="A1249" s="4">
        <v>1416</v>
      </c>
      <c r="B1249" s="4">
        <v>10272</v>
      </c>
      <c r="C1249" s="5">
        <f t="shared" si="522"/>
        <v>39830</v>
      </c>
      <c r="D1249" s="4" t="s">
        <v>63</v>
      </c>
      <c r="E1249" s="4">
        <v>26</v>
      </c>
      <c r="F1249" s="4">
        <v>566.39</v>
      </c>
      <c r="G1249" s="4">
        <v>0.06</v>
      </c>
      <c r="H1249" s="4" t="s">
        <v>22</v>
      </c>
      <c r="I1249" s="6">
        <v>76.430000000000007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spans="1:21" ht="12" customHeight="1">
      <c r="A1250" s="4">
        <v>1461</v>
      </c>
      <c r="B1250" s="4">
        <v>10530</v>
      </c>
      <c r="C1250" s="5">
        <f>DATE(2012,12,31)-1434</f>
        <v>39840</v>
      </c>
      <c r="D1250" s="4" t="s">
        <v>63</v>
      </c>
      <c r="E1250" s="4">
        <v>4</v>
      </c>
      <c r="F1250" s="4">
        <v>377.21299999999997</v>
      </c>
      <c r="G1250" s="4">
        <v>0.02</v>
      </c>
      <c r="H1250" s="4" t="s">
        <v>22</v>
      </c>
      <c r="I1250" s="6">
        <v>-411.65300000000002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0.56999999999999995</v>
      </c>
      <c r="U1250" s="5">
        <f t="shared" ref="U1250:U1251" si="523">C1250+2</f>
        <v>39842</v>
      </c>
    </row>
    <row r="1251" spans="1:21" ht="12" customHeight="1">
      <c r="A1251" s="4">
        <v>1805</v>
      </c>
      <c r="B1251" s="4">
        <v>12903</v>
      </c>
      <c r="C1251" s="5">
        <f>DATE(2012,12,31)-1193</f>
        <v>40081</v>
      </c>
      <c r="D1251" s="4" t="s">
        <v>78</v>
      </c>
      <c r="E1251" s="4">
        <v>2</v>
      </c>
      <c r="F1251" s="4">
        <v>63.427</v>
      </c>
      <c r="G1251" s="4">
        <v>7.0000000000000007E-2</v>
      </c>
      <c r="H1251" s="4" t="s">
        <v>22</v>
      </c>
      <c r="I1251" s="6">
        <v>-191.785</v>
      </c>
      <c r="J1251" s="4">
        <v>35.99</v>
      </c>
      <c r="K1251" s="4">
        <v>5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3"/>
        <v>40083</v>
      </c>
    </row>
    <row r="1252" spans="1:21" ht="12" customHeight="1">
      <c r="A1252" s="4">
        <v>2008</v>
      </c>
      <c r="B1252" s="4">
        <v>14336</v>
      </c>
      <c r="C1252" s="5">
        <f>DATE(2012,12,31)-1139</f>
        <v>40135</v>
      </c>
      <c r="D1252" s="4" t="s">
        <v>30</v>
      </c>
      <c r="E1252" s="4">
        <v>4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0.55000000000000004</v>
      </c>
      <c r="U1252" s="5">
        <f t="shared" ref="U1252:U1255" si="524">C1252+1</f>
        <v>40136</v>
      </c>
    </row>
    <row r="1253" spans="1:21" ht="12" customHeight="1">
      <c r="A1253" s="4">
        <v>2016</v>
      </c>
      <c r="B1253" s="4">
        <v>14400</v>
      </c>
      <c r="C1253" s="5">
        <f t="shared" ref="C1253:C1255" si="525">DATE(2012,12,31)-1426</f>
        <v>39848</v>
      </c>
      <c r="D1253" s="4" t="s">
        <v>63</v>
      </c>
      <c r="E1253" s="4">
        <v>32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4"/>
        <v>39849</v>
      </c>
    </row>
    <row r="1254" spans="1:21" ht="12" customHeight="1">
      <c r="A1254" s="4">
        <v>2017</v>
      </c>
      <c r="B1254" s="4">
        <v>14400</v>
      </c>
      <c r="C1254" s="5">
        <f t="shared" si="525"/>
        <v>39848</v>
      </c>
      <c r="D1254" s="4" t="s">
        <v>63</v>
      </c>
      <c r="E1254" s="4">
        <v>35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4"/>
        <v>39849</v>
      </c>
    </row>
    <row r="1255" spans="1:21" ht="12" customHeight="1">
      <c r="A1255" s="4">
        <v>2018</v>
      </c>
      <c r="B1255" s="4">
        <v>14400</v>
      </c>
      <c r="C1255" s="5">
        <f t="shared" si="525"/>
        <v>39848</v>
      </c>
      <c r="D1255" s="4" t="s">
        <v>63</v>
      </c>
      <c r="E1255" s="4">
        <v>43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146.05000000000001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4"/>
        <v>39849</v>
      </c>
    </row>
    <row r="1256" spans="1:21" ht="12" customHeight="1">
      <c r="A1256" s="4">
        <v>2107</v>
      </c>
      <c r="B1256" s="4">
        <v>15075</v>
      </c>
      <c r="C1256" s="5">
        <f t="shared" ref="C1256:C1257" si="526">DATE(2012,12,31)-1184</f>
        <v>40090</v>
      </c>
      <c r="D1256" s="4" t="s">
        <v>63</v>
      </c>
      <c r="E1256" s="4">
        <v>24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spans="1:21" ht="12" customHeight="1">
      <c r="A1257" s="4">
        <v>2108</v>
      </c>
      <c r="B1257" s="4">
        <v>15075</v>
      </c>
      <c r="C1257" s="5">
        <f t="shared" si="526"/>
        <v>40090</v>
      </c>
      <c r="D1257" s="4" t="s">
        <v>63</v>
      </c>
      <c r="E1257" s="4">
        <v>10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5.0199999999999996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7">C1257+2</f>
        <v>40092</v>
      </c>
    </row>
    <row r="1258" spans="1:21" ht="12" customHeight="1">
      <c r="A1258" s="4">
        <v>2138</v>
      </c>
      <c r="B1258" s="4">
        <v>15270</v>
      </c>
      <c r="C1258" s="5">
        <f>DATE(2012,12,31)-1430</f>
        <v>39844</v>
      </c>
      <c r="D1258" s="4" t="s">
        <v>45</v>
      </c>
      <c r="E1258" s="4">
        <v>36</v>
      </c>
      <c r="F1258" s="4">
        <v>257.91000000000003</v>
      </c>
      <c r="G1258" s="4">
        <v>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7"/>
        <v>39846</v>
      </c>
    </row>
    <row r="1259" spans="1:21" ht="12" customHeight="1">
      <c r="A1259" s="4">
        <v>2253</v>
      </c>
      <c r="B1259" s="4">
        <v>16225</v>
      </c>
      <c r="C1259" s="5">
        <f>DATE(2012,12,31)-1313</f>
        <v>39961</v>
      </c>
      <c r="D1259" s="4" t="s">
        <v>78</v>
      </c>
      <c r="E1259" s="4">
        <v>30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9.4700000000000006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7"/>
        <v>39963</v>
      </c>
    </row>
    <row r="1260" spans="1:21" ht="12" customHeight="1">
      <c r="A1260" s="4">
        <v>2270</v>
      </c>
      <c r="B1260" s="4">
        <v>16321</v>
      </c>
      <c r="C1260" s="5">
        <f>DATE(2012,12,31)-1187</f>
        <v>40087</v>
      </c>
      <c r="D1260" s="4" t="s">
        <v>45</v>
      </c>
      <c r="E1260" s="4">
        <v>50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142.86000000000001</v>
      </c>
      <c r="K1260" s="4">
        <v>19.989999999999998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0.56000000000000005</v>
      </c>
      <c r="U1260" s="5">
        <f t="shared" si="527"/>
        <v>40089</v>
      </c>
    </row>
    <row r="1261" spans="1:21" ht="12" customHeight="1">
      <c r="A1261" s="4">
        <v>2315</v>
      </c>
      <c r="B1261" s="4">
        <v>16679</v>
      </c>
      <c r="C1261" s="5">
        <f>DATE(2012,12,31)-1149</f>
        <v>40125</v>
      </c>
      <c r="D1261" s="4" t="s">
        <v>21</v>
      </c>
      <c r="E1261" s="4">
        <v>29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0.55000000000000004</v>
      </c>
      <c r="U1261" s="5">
        <f>C1261+5</f>
        <v>40130</v>
      </c>
    </row>
    <row r="1262" spans="1:21" ht="12" customHeight="1">
      <c r="A1262" s="4">
        <v>2669</v>
      </c>
      <c r="B1262" s="4">
        <v>19300</v>
      </c>
      <c r="C1262" s="5">
        <f>DATE(2012,12,31)-1111</f>
        <v>40163</v>
      </c>
      <c r="D1262" s="4" t="s">
        <v>78</v>
      </c>
      <c r="E1262" s="4">
        <v>10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spans="1:21" ht="12" customHeight="1">
      <c r="A1263" s="4">
        <v>2781</v>
      </c>
      <c r="B1263" s="4">
        <v>20069</v>
      </c>
      <c r="C1263" s="5">
        <f>DATE(2012,12,31)-1192</f>
        <v>40082</v>
      </c>
      <c r="D1263" s="4" t="s">
        <v>78</v>
      </c>
      <c r="E1263" s="4">
        <v>6</v>
      </c>
      <c r="F1263" s="4">
        <v>247.15</v>
      </c>
      <c r="G1263" s="4">
        <v>7.0000000000000007E-2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0.56999999999999995</v>
      </c>
      <c r="U1263" s="5">
        <f>C1263+2</f>
        <v>40084</v>
      </c>
    </row>
    <row r="1264" spans="1:21" ht="12" customHeight="1">
      <c r="A1264" s="4">
        <v>2794</v>
      </c>
      <c r="B1264" s="4">
        <v>20135</v>
      </c>
      <c r="C1264" s="5">
        <f t="shared" ref="C1264:C1265" si="528">DATE(2012,12,31)-1280</f>
        <v>39994</v>
      </c>
      <c r="D1264" s="4" t="s">
        <v>78</v>
      </c>
      <c r="E1264" s="4">
        <v>44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spans="1:21" ht="12" customHeight="1">
      <c r="A1265" s="4">
        <v>2795</v>
      </c>
      <c r="B1265" s="4">
        <v>20135</v>
      </c>
      <c r="C1265" s="5">
        <f t="shared" si="528"/>
        <v>39994</v>
      </c>
      <c r="D1265" s="4" t="s">
        <v>78</v>
      </c>
      <c r="E1265" s="4">
        <v>28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spans="1:21" ht="12" customHeight="1">
      <c r="A1266" s="4">
        <v>2798</v>
      </c>
      <c r="B1266" s="4">
        <v>20166</v>
      </c>
      <c r="C1266" s="5">
        <f>DATE(2012,12,31)-1398</f>
        <v>39876</v>
      </c>
      <c r="D1266" s="4" t="s">
        <v>21</v>
      </c>
      <c r="E1266" s="4">
        <v>6</v>
      </c>
      <c r="F1266" s="4">
        <v>973.86199999999997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0.56000000000000005</v>
      </c>
      <c r="U1266" s="5">
        <f>C1266+4</f>
        <v>39880</v>
      </c>
    </row>
    <row r="1267" spans="1:21" ht="12" customHeight="1">
      <c r="A1267" s="4">
        <v>2804</v>
      </c>
      <c r="B1267" s="4">
        <v>20229</v>
      </c>
      <c r="C1267" s="5">
        <f>DATE(2012,12,31)-1158</f>
        <v>40116</v>
      </c>
      <c r="D1267" s="4" t="s">
        <v>21</v>
      </c>
      <c r="E1267" s="4">
        <v>47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29">C1267+7</f>
        <v>40123</v>
      </c>
    </row>
    <row r="1268" spans="1:21" ht="12" customHeight="1">
      <c r="A1268" s="4">
        <v>2964</v>
      </c>
      <c r="B1268" s="4">
        <v>21442</v>
      </c>
      <c r="C1268" s="5">
        <f t="shared" ref="C1268:C1269" si="530">DATE(2012,12,31)-1102</f>
        <v>40172</v>
      </c>
      <c r="D1268" s="4" t="s">
        <v>21</v>
      </c>
      <c r="E1268" s="4">
        <v>48</v>
      </c>
      <c r="F1268" s="4">
        <v>2962.96</v>
      </c>
      <c r="G1268" s="4">
        <v>0.02</v>
      </c>
      <c r="H1268" s="4" t="s">
        <v>31</v>
      </c>
      <c r="I1268" s="6">
        <v>-612.94000000000005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29"/>
        <v>40179</v>
      </c>
    </row>
    <row r="1269" spans="1:21" ht="12" customHeight="1">
      <c r="A1269" s="4">
        <v>2965</v>
      </c>
      <c r="B1269" s="4">
        <v>21442</v>
      </c>
      <c r="C1269" s="5">
        <f t="shared" si="530"/>
        <v>40172</v>
      </c>
      <c r="D1269" s="4" t="s">
        <v>21</v>
      </c>
      <c r="E1269" s="4">
        <v>48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29"/>
        <v>40179</v>
      </c>
    </row>
    <row r="1270" spans="1:21" ht="12" customHeight="1">
      <c r="A1270" s="4">
        <v>3046</v>
      </c>
      <c r="B1270" s="4">
        <v>21861</v>
      </c>
      <c r="C1270" s="5">
        <f>DATE(2012,12,31)-1231</f>
        <v>40043</v>
      </c>
      <c r="D1270" s="4" t="s">
        <v>78</v>
      </c>
      <c r="E1270" s="4">
        <v>5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spans="1:21" ht="12" customHeight="1">
      <c r="A1271" s="4">
        <v>3084</v>
      </c>
      <c r="B1271" s="4">
        <v>22118</v>
      </c>
      <c r="C1271" s="5">
        <f>DATE(2012,12,31)-1443</f>
        <v>39831</v>
      </c>
      <c r="D1271" s="4" t="s">
        <v>30</v>
      </c>
      <c r="E1271" s="4">
        <v>50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spans="1:21" ht="12" customHeight="1">
      <c r="A1272" s="4">
        <v>3199</v>
      </c>
      <c r="B1272" s="4">
        <v>22919</v>
      </c>
      <c r="C1272" s="5">
        <f>DATE(2012,12,31)-1263</f>
        <v>40011</v>
      </c>
      <c r="D1272" s="4" t="s">
        <v>78</v>
      </c>
      <c r="E1272" s="4">
        <v>21</v>
      </c>
      <c r="F1272" s="4">
        <v>98.77</v>
      </c>
      <c r="G1272" s="4">
        <v>7.0000000000000007E-2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spans="1:21" ht="12" customHeight="1">
      <c r="A1273" s="4">
        <v>3390</v>
      </c>
      <c r="B1273" s="4">
        <v>24162</v>
      </c>
      <c r="C1273" s="5">
        <f t="shared" ref="C1273:C1274" si="531">DATE(2012,12,31)-1227</f>
        <v>40047</v>
      </c>
      <c r="D1273" s="4" t="s">
        <v>45</v>
      </c>
      <c r="E1273" s="4">
        <v>1</v>
      </c>
      <c r="F1273" s="4">
        <v>10.94</v>
      </c>
      <c r="G1273" s="4">
        <v>0.08</v>
      </c>
      <c r="H1273" s="4" t="s">
        <v>22</v>
      </c>
      <c r="I1273" s="6">
        <v>-4.3499999999999996</v>
      </c>
      <c r="J1273" s="4">
        <v>9.68</v>
      </c>
      <c r="K1273" s="4">
        <v>2.0299999999999998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spans="1:21" ht="12" customHeight="1">
      <c r="A1274" s="4">
        <v>3391</v>
      </c>
      <c r="B1274" s="4">
        <v>24162</v>
      </c>
      <c r="C1274" s="5">
        <f t="shared" si="531"/>
        <v>40047</v>
      </c>
      <c r="D1274" s="4" t="s">
        <v>45</v>
      </c>
      <c r="E1274" s="4">
        <v>12</v>
      </c>
      <c r="F1274" s="4">
        <v>1755.3</v>
      </c>
      <c r="G1274" s="4">
        <v>0.04</v>
      </c>
      <c r="H1274" s="4" t="s">
        <v>31</v>
      </c>
      <c r="I1274" s="6">
        <v>-7.0099999999999909</v>
      </c>
      <c r="J1274" s="4">
        <v>150.97999999999999</v>
      </c>
      <c r="K1274" s="4">
        <v>16.010000000000002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spans="1:21" ht="12" customHeight="1">
      <c r="A1275" s="4">
        <v>3429</v>
      </c>
      <c r="B1275" s="4">
        <v>24452</v>
      </c>
      <c r="C1275" s="5">
        <f>DATE(2012,12,31)-1334</f>
        <v>39940</v>
      </c>
      <c r="D1275" s="4" t="s">
        <v>30</v>
      </c>
      <c r="E1275" s="4">
        <v>18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spans="1:21" ht="12" customHeight="1">
      <c r="A1276" s="4">
        <v>3436</v>
      </c>
      <c r="B1276" s="4">
        <v>24544</v>
      </c>
      <c r="C1276" s="5">
        <f t="shared" ref="C1276:C1278" si="532">DATE(2012,12,31)-1435</f>
        <v>39839</v>
      </c>
      <c r="D1276" s="4" t="s">
        <v>30</v>
      </c>
      <c r="E1276" s="4">
        <v>31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150.97999999999999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3">C1276+1</f>
        <v>39840</v>
      </c>
    </row>
    <row r="1277" spans="1:21" ht="12" customHeight="1">
      <c r="A1277" s="4">
        <v>3437</v>
      </c>
      <c r="B1277" s="4">
        <v>24544</v>
      </c>
      <c r="C1277" s="5">
        <f t="shared" si="532"/>
        <v>39839</v>
      </c>
      <c r="D1277" s="4" t="s">
        <v>30</v>
      </c>
      <c r="E1277" s="4">
        <v>15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3"/>
        <v>39840</v>
      </c>
    </row>
    <row r="1278" spans="1:21" ht="12" customHeight="1">
      <c r="A1278" s="4">
        <v>3438</v>
      </c>
      <c r="B1278" s="4">
        <v>24544</v>
      </c>
      <c r="C1278" s="5">
        <f t="shared" si="532"/>
        <v>39839</v>
      </c>
      <c r="D1278" s="4" t="s">
        <v>30</v>
      </c>
      <c r="E1278" s="4">
        <v>39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32.479999999999997</v>
      </c>
      <c r="K1278" s="4">
        <v>35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3"/>
        <v>39840</v>
      </c>
    </row>
    <row r="1279" spans="1:21" ht="12" customHeight="1">
      <c r="A1279" s="4">
        <v>3582</v>
      </c>
      <c r="B1279" s="4">
        <v>25541</v>
      </c>
      <c r="C1279" s="5">
        <f>DATE(2012,12,31)-1448</f>
        <v>39826</v>
      </c>
      <c r="D1279" s="4" t="s">
        <v>21</v>
      </c>
      <c r="E1279" s="4">
        <v>50</v>
      </c>
      <c r="F1279" s="4">
        <v>297.76</v>
      </c>
      <c r="G1279" s="4">
        <v>7.0000000000000007E-2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spans="1:21" ht="12" customHeight="1">
      <c r="A1280" s="4">
        <v>3588</v>
      </c>
      <c r="B1280" s="4">
        <v>25601</v>
      </c>
      <c r="C1280" s="5">
        <f>DATE(2012,12,31)-1456</f>
        <v>39818</v>
      </c>
      <c r="D1280" s="4" t="s">
        <v>63</v>
      </c>
      <c r="E1280" s="4">
        <v>43</v>
      </c>
      <c r="F1280" s="4">
        <v>257.41000000000003</v>
      </c>
      <c r="G1280" s="4">
        <v>0.09</v>
      </c>
      <c r="H1280" s="4" t="s">
        <v>22</v>
      </c>
      <c r="I1280" s="6">
        <v>-131.08000000000001</v>
      </c>
      <c r="J1280" s="4">
        <v>5.98</v>
      </c>
      <c r="K1280" s="4">
        <v>4.6900000000000004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spans="1:21" ht="12" customHeight="1">
      <c r="A1281" s="4">
        <v>3682</v>
      </c>
      <c r="B1281" s="4">
        <v>26337</v>
      </c>
      <c r="C1281" s="5">
        <f>DATE(2012,12,31)-1150</f>
        <v>40124</v>
      </c>
      <c r="D1281" s="4" t="s">
        <v>78</v>
      </c>
      <c r="E1281" s="4">
        <v>45</v>
      </c>
      <c r="F1281" s="4">
        <v>153.27000000000001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spans="1:21" ht="12" customHeight="1">
      <c r="A1282" s="4">
        <v>3772</v>
      </c>
      <c r="B1282" s="4">
        <v>26945</v>
      </c>
      <c r="C1282" s="5">
        <f>DATE(2012,12,31)-1425</f>
        <v>39849</v>
      </c>
      <c r="D1282" s="4" t="s">
        <v>78</v>
      </c>
      <c r="E1282" s="4">
        <v>29</v>
      </c>
      <c r="F1282" s="4">
        <v>221.33</v>
      </c>
      <c r="G1282" s="4">
        <v>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spans="1:21" ht="12" customHeight="1">
      <c r="A1283" s="4">
        <v>3848</v>
      </c>
      <c r="B1283" s="4">
        <v>27460</v>
      </c>
      <c r="C1283" s="5">
        <f t="shared" ref="C1283:C1284" si="534">DATE(2012,12,31)-1329</f>
        <v>39945</v>
      </c>
      <c r="D1283" s="4" t="s">
        <v>45</v>
      </c>
      <c r="E1283" s="4">
        <v>7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spans="1:21" ht="12" customHeight="1">
      <c r="A1284" s="4">
        <v>3849</v>
      </c>
      <c r="B1284" s="4">
        <v>27460</v>
      </c>
      <c r="C1284" s="5">
        <f t="shared" si="534"/>
        <v>39945</v>
      </c>
      <c r="D1284" s="4" t="s">
        <v>45</v>
      </c>
      <c r="E1284" s="4">
        <v>31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5">C1284+2</f>
        <v>39947</v>
      </c>
    </row>
    <row r="1285" spans="1:21" ht="12" customHeight="1">
      <c r="A1285" s="4">
        <v>3961</v>
      </c>
      <c r="B1285" s="4">
        <v>28259</v>
      </c>
      <c r="C1285" s="5">
        <f>DATE(2012,12,31)-1153</f>
        <v>40121</v>
      </c>
      <c r="D1285" s="4" t="s">
        <v>30</v>
      </c>
      <c r="E1285" s="4">
        <v>22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5"/>
        <v>40123</v>
      </c>
    </row>
    <row r="1286" spans="1:21" ht="12" customHeight="1">
      <c r="A1286" s="4">
        <v>3979</v>
      </c>
      <c r="B1286" s="4">
        <v>28419</v>
      </c>
      <c r="C1286" s="5">
        <f>DATE(2012,12,31)-1157</f>
        <v>40117</v>
      </c>
      <c r="D1286" s="4" t="s">
        <v>21</v>
      </c>
      <c r="E1286" s="4">
        <v>9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spans="1:21" ht="12" customHeight="1">
      <c r="A1287" s="4">
        <v>4010</v>
      </c>
      <c r="B1287" s="4">
        <v>28614</v>
      </c>
      <c r="C1287" s="5">
        <f>DATE(2012,12,31)-1169</f>
        <v>40105</v>
      </c>
      <c r="D1287" s="4" t="s">
        <v>78</v>
      </c>
      <c r="E1287" s="4">
        <v>50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6">C1287+2</f>
        <v>40107</v>
      </c>
    </row>
    <row r="1288" spans="1:21" ht="12" customHeight="1">
      <c r="A1288" s="4">
        <v>4086</v>
      </c>
      <c r="B1288" s="4">
        <v>29127</v>
      </c>
      <c r="C1288" s="5">
        <f>DATE(2012,12,31)-1371</f>
        <v>39903</v>
      </c>
      <c r="D1288" s="4" t="s">
        <v>78</v>
      </c>
      <c r="E1288" s="4">
        <v>18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6"/>
        <v>39905</v>
      </c>
    </row>
    <row r="1289" spans="1:21" ht="12" customHeight="1">
      <c r="A1289" s="4">
        <v>4363</v>
      </c>
      <c r="B1289" s="4">
        <v>31078</v>
      </c>
      <c r="C1289" s="5">
        <f>DATE(2012,12,31)-1420</f>
        <v>39854</v>
      </c>
      <c r="D1289" s="4" t="s">
        <v>78</v>
      </c>
      <c r="E1289" s="4">
        <v>7</v>
      </c>
      <c r="F1289" s="4">
        <v>104.46</v>
      </c>
      <c r="G1289" s="4">
        <v>0.01</v>
      </c>
      <c r="H1289" s="4" t="s">
        <v>22</v>
      </c>
      <c r="I1289" s="6">
        <v>-36.766199999999998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7">C1289+1</f>
        <v>39855</v>
      </c>
    </row>
    <row r="1290" spans="1:21" ht="12" customHeight="1">
      <c r="A1290" s="4">
        <v>4414</v>
      </c>
      <c r="B1290" s="4">
        <v>31493</v>
      </c>
      <c r="C1290" s="5">
        <f>DATE(2012,12,31)-1171</f>
        <v>40103</v>
      </c>
      <c r="D1290" s="4" t="s">
        <v>30</v>
      </c>
      <c r="E1290" s="4">
        <v>8</v>
      </c>
      <c r="F1290" s="4">
        <v>112.47</v>
      </c>
      <c r="G1290" s="4">
        <v>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7"/>
        <v>40104</v>
      </c>
    </row>
    <row r="1291" spans="1:21" ht="12" customHeight="1">
      <c r="A1291" s="4">
        <v>4484</v>
      </c>
      <c r="B1291" s="4">
        <v>31910</v>
      </c>
      <c r="C1291" s="5">
        <f>DATE(2012,12,31)-1159</f>
        <v>40115</v>
      </c>
      <c r="D1291" s="4" t="s">
        <v>63</v>
      </c>
      <c r="E1291" s="4">
        <v>6</v>
      </c>
      <c r="F1291" s="4">
        <v>187.63749999999999</v>
      </c>
      <c r="G1291" s="4">
        <v>0.03</v>
      </c>
      <c r="H1291" s="4" t="s">
        <v>22</v>
      </c>
      <c r="I1291" s="6">
        <v>-190.02500000000001</v>
      </c>
      <c r="J1291" s="4">
        <v>35.99</v>
      </c>
      <c r="K1291" s="4">
        <v>5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7"/>
        <v>40116</v>
      </c>
    </row>
    <row r="1292" spans="1:21" ht="12" customHeight="1">
      <c r="A1292" s="4">
        <v>4712</v>
      </c>
      <c r="B1292" s="4">
        <v>33569</v>
      </c>
      <c r="C1292" s="5">
        <f>DATE(2012,12,31)-1221</f>
        <v>40053</v>
      </c>
      <c r="D1292" s="4" t="s">
        <v>21</v>
      </c>
      <c r="E1292" s="4">
        <v>9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spans="1:21" ht="12" customHeight="1">
      <c r="A1293" s="4">
        <v>4839</v>
      </c>
      <c r="B1293" s="4">
        <v>34432</v>
      </c>
      <c r="C1293" s="5">
        <f t="shared" ref="C1293:C1294" si="538">DATE(2012,12,31)-1364</f>
        <v>39910</v>
      </c>
      <c r="D1293" s="4" t="s">
        <v>45</v>
      </c>
      <c r="E1293" s="4">
        <v>20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39">C1293+1</f>
        <v>39911</v>
      </c>
    </row>
    <row r="1294" spans="1:21" ht="12" customHeight="1">
      <c r="A1294" s="4">
        <v>4840</v>
      </c>
      <c r="B1294" s="4">
        <v>34432</v>
      </c>
      <c r="C1294" s="5">
        <f t="shared" si="538"/>
        <v>39910</v>
      </c>
      <c r="D1294" s="4" t="s">
        <v>45</v>
      </c>
      <c r="E1294" s="4">
        <v>3</v>
      </c>
      <c r="F1294" s="4">
        <v>581.41999999999996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19.989999999999998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0.55000000000000004</v>
      </c>
      <c r="U1294" s="5">
        <f t="shared" si="539"/>
        <v>39911</v>
      </c>
    </row>
    <row r="1295" spans="1:21" ht="12" customHeight="1">
      <c r="A1295" s="4">
        <v>4846</v>
      </c>
      <c r="B1295" s="4">
        <v>34497</v>
      </c>
      <c r="C1295" s="5">
        <f t="shared" ref="C1295:C1296" si="540">DATE(2012,12,31)-1392</f>
        <v>39882</v>
      </c>
      <c r="D1295" s="4" t="s">
        <v>63</v>
      </c>
      <c r="E1295" s="4">
        <v>36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4.9800000000000004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39"/>
        <v>39883</v>
      </c>
    </row>
    <row r="1296" spans="1:21" ht="12" customHeight="1">
      <c r="A1296" s="4">
        <v>4847</v>
      </c>
      <c r="B1296" s="4">
        <v>34497</v>
      </c>
      <c r="C1296" s="5">
        <f t="shared" si="540"/>
        <v>39882</v>
      </c>
      <c r="D1296" s="4" t="s">
        <v>63</v>
      </c>
      <c r="E1296" s="4">
        <v>25</v>
      </c>
      <c r="F1296" s="4">
        <v>590.6</v>
      </c>
      <c r="G1296" s="4">
        <v>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spans="1:21" ht="12" customHeight="1">
      <c r="A1297" s="4">
        <v>4848</v>
      </c>
      <c r="B1297" s="4">
        <v>34498</v>
      </c>
      <c r="C1297" s="5">
        <f t="shared" ref="C1297:C1298" si="541">DATE(2012,12,31)-1415</f>
        <v>39859</v>
      </c>
      <c r="D1297" s="4" t="s">
        <v>21</v>
      </c>
      <c r="E1297" s="4">
        <v>4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2">C1297+5</f>
        <v>39864</v>
      </c>
    </row>
    <row r="1298" spans="1:21" ht="12" customHeight="1">
      <c r="A1298" s="4">
        <v>4849</v>
      </c>
      <c r="B1298" s="4">
        <v>34498</v>
      </c>
      <c r="C1298" s="5">
        <f t="shared" si="541"/>
        <v>39859</v>
      </c>
      <c r="D1298" s="4" t="s">
        <v>21</v>
      </c>
      <c r="E1298" s="4">
        <v>3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9.0299999999999994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2"/>
        <v>39864</v>
      </c>
    </row>
    <row r="1299" spans="1:21" ht="12" customHeight="1">
      <c r="A1299" s="4">
        <v>4985</v>
      </c>
      <c r="B1299" s="4">
        <v>35461</v>
      </c>
      <c r="C1299" s="5">
        <f t="shared" ref="C1299:C1300" si="543">DATE(2012,12,31)-1309</f>
        <v>39965</v>
      </c>
      <c r="D1299" s="4" t="s">
        <v>78</v>
      </c>
      <c r="E1299" s="4">
        <v>11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spans="1:21" ht="12" customHeight="1">
      <c r="A1300" s="4">
        <v>4986</v>
      </c>
      <c r="B1300" s="4">
        <v>35461</v>
      </c>
      <c r="C1300" s="5">
        <f t="shared" si="543"/>
        <v>39965</v>
      </c>
      <c r="D1300" s="4" t="s">
        <v>78</v>
      </c>
      <c r="E1300" s="4">
        <v>30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spans="1:21" ht="12" customHeight="1">
      <c r="A1301" s="4">
        <v>5011</v>
      </c>
      <c r="B1301" s="4">
        <v>35776</v>
      </c>
      <c r="C1301" s="5">
        <f t="shared" ref="C1301:C1302" si="544">DATE(2012,12,31)-1426</f>
        <v>39848</v>
      </c>
      <c r="D1301" s="4" t="s">
        <v>63</v>
      </c>
      <c r="E1301" s="4">
        <v>9</v>
      </c>
      <c r="F1301" s="4">
        <v>118.66</v>
      </c>
      <c r="G1301" s="4">
        <v>0.05</v>
      </c>
      <c r="H1301" s="4" t="s">
        <v>22</v>
      </c>
      <c r="I1301" s="6">
        <v>32.682499999999997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5">C1301+2</f>
        <v>39850</v>
      </c>
    </row>
    <row r="1302" spans="1:21" ht="12" customHeight="1">
      <c r="A1302" s="4">
        <v>5012</v>
      </c>
      <c r="B1302" s="4">
        <v>35776</v>
      </c>
      <c r="C1302" s="5">
        <f t="shared" si="544"/>
        <v>39848</v>
      </c>
      <c r="D1302" s="4" t="s">
        <v>63</v>
      </c>
      <c r="E1302" s="4">
        <v>36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5"/>
        <v>39850</v>
      </c>
    </row>
    <row r="1303" spans="1:21" ht="12" customHeight="1">
      <c r="A1303" s="4">
        <v>5022</v>
      </c>
      <c r="B1303" s="4">
        <v>35813</v>
      </c>
      <c r="C1303" s="5">
        <f t="shared" ref="C1303:C1304" si="546">DATE(2012,12,31)-1350</f>
        <v>39924</v>
      </c>
      <c r="D1303" s="4" t="s">
        <v>78</v>
      </c>
      <c r="E1303" s="4">
        <v>21</v>
      </c>
      <c r="F1303" s="4">
        <v>7841.57</v>
      </c>
      <c r="G1303" s="4">
        <v>0.05</v>
      </c>
      <c r="H1303" s="4" t="s">
        <v>56</v>
      </c>
      <c r="I1303" s="6">
        <v>2347.1799999999998</v>
      </c>
      <c r="J1303" s="4">
        <v>363.25</v>
      </c>
      <c r="K1303" s="4">
        <v>19.989999999999998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0.56999999999999995</v>
      </c>
      <c r="U1303" s="5">
        <f t="shared" ref="U1303:U1304" si="547">C1303+0</f>
        <v>39924</v>
      </c>
    </row>
    <row r="1304" spans="1:21" ht="12" customHeight="1">
      <c r="A1304" s="4">
        <v>5023</v>
      </c>
      <c r="B1304" s="4">
        <v>35813</v>
      </c>
      <c r="C1304" s="5">
        <f t="shared" si="546"/>
        <v>39924</v>
      </c>
      <c r="D1304" s="4" t="s">
        <v>78</v>
      </c>
      <c r="E1304" s="4">
        <v>21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7"/>
        <v>39924</v>
      </c>
    </row>
    <row r="1305" spans="1:21" ht="12" customHeight="1">
      <c r="A1305" s="4">
        <v>5198</v>
      </c>
      <c r="B1305" s="4">
        <v>36932</v>
      </c>
      <c r="C1305" s="5">
        <f>DATE(2012,12,31)-1273</f>
        <v>40001</v>
      </c>
      <c r="D1305" s="4" t="s">
        <v>21</v>
      </c>
      <c r="E1305" s="4">
        <v>20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5.0999999999999996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spans="1:21" ht="12" customHeight="1">
      <c r="A1306" s="4">
        <v>5211</v>
      </c>
      <c r="B1306" s="4">
        <v>37025</v>
      </c>
      <c r="C1306" s="5">
        <f>DATE(2012,12,31)-1147</f>
        <v>40127</v>
      </c>
      <c r="D1306" s="4" t="s">
        <v>30</v>
      </c>
      <c r="E1306" s="4">
        <v>37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spans="1:21" ht="12" customHeight="1">
      <c r="A1307" s="4">
        <v>5293</v>
      </c>
      <c r="B1307" s="4">
        <v>37696</v>
      </c>
      <c r="C1307" s="5">
        <f t="shared" ref="C1307:C1308" si="548">DATE(2012,12,31)-1271</f>
        <v>40003</v>
      </c>
      <c r="D1307" s="4" t="s">
        <v>45</v>
      </c>
      <c r="E1307" s="4">
        <v>5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spans="1:21" ht="12" customHeight="1">
      <c r="A1308" s="4">
        <v>5294</v>
      </c>
      <c r="B1308" s="4">
        <v>37696</v>
      </c>
      <c r="C1308" s="5">
        <f t="shared" si="548"/>
        <v>40003</v>
      </c>
      <c r="D1308" s="4" t="s">
        <v>45</v>
      </c>
      <c r="E1308" s="4">
        <v>41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spans="1:21" ht="12" customHeight="1">
      <c r="A1309" s="4">
        <v>5313</v>
      </c>
      <c r="B1309" s="4">
        <v>37794</v>
      </c>
      <c r="C1309" s="5">
        <f t="shared" ref="C1309:C1310" si="549">DATE(2012,12,31)-1378</f>
        <v>39896</v>
      </c>
      <c r="D1309" s="4" t="s">
        <v>21</v>
      </c>
      <c r="E1309" s="4">
        <v>6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spans="1:21" ht="12" customHeight="1">
      <c r="A1310" s="4">
        <v>5314</v>
      </c>
      <c r="B1310" s="4">
        <v>37794</v>
      </c>
      <c r="C1310" s="5">
        <f t="shared" si="549"/>
        <v>39896</v>
      </c>
      <c r="D1310" s="4" t="s">
        <v>21</v>
      </c>
      <c r="E1310" s="4">
        <v>32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19.989999999999998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spans="1:21" ht="12" customHeight="1">
      <c r="A1311" s="4">
        <v>5344</v>
      </c>
      <c r="B1311" s="4">
        <v>37987</v>
      </c>
      <c r="C1311" s="5">
        <f t="shared" ref="C1311:C1312" si="550">DATE(2012,12,31)-1277</f>
        <v>39997</v>
      </c>
      <c r="D1311" s="4" t="s">
        <v>30</v>
      </c>
      <c r="E1311" s="4">
        <v>26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1">C1311+1</f>
        <v>39998</v>
      </c>
    </row>
    <row r="1312" spans="1:21" ht="12" customHeight="1">
      <c r="A1312" s="4">
        <v>5345</v>
      </c>
      <c r="B1312" s="4">
        <v>37987</v>
      </c>
      <c r="C1312" s="5">
        <f t="shared" si="550"/>
        <v>39997</v>
      </c>
      <c r="D1312" s="4" t="s">
        <v>30</v>
      </c>
      <c r="E1312" s="4">
        <v>5</v>
      </c>
      <c r="F1312" s="4">
        <v>708.87</v>
      </c>
      <c r="G1312" s="4">
        <v>0.1</v>
      </c>
      <c r="H1312" s="4" t="s">
        <v>31</v>
      </c>
      <c r="I1312" s="6">
        <v>-270.85000000000002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1"/>
        <v>39998</v>
      </c>
    </row>
    <row r="1313" spans="1:21" ht="12" customHeight="1">
      <c r="A1313" s="4">
        <v>5392</v>
      </c>
      <c r="B1313" s="4">
        <v>38340</v>
      </c>
      <c r="C1313" s="5">
        <f>DATE(2012,12,31)-1441</f>
        <v>39833</v>
      </c>
      <c r="D1313" s="4" t="s">
        <v>78</v>
      </c>
      <c r="E1313" s="4">
        <v>36</v>
      </c>
      <c r="F1313" s="4">
        <v>2167.0500000000002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0.56999999999999995</v>
      </c>
      <c r="U1313" s="5">
        <f t="shared" si="551"/>
        <v>39834</v>
      </c>
    </row>
    <row r="1314" spans="1:21" ht="12" customHeight="1">
      <c r="A1314" s="4">
        <v>5468</v>
      </c>
      <c r="B1314" s="4">
        <v>38852</v>
      </c>
      <c r="C1314" s="5">
        <f>DATE(2012,12,31)-1156</f>
        <v>40118</v>
      </c>
      <c r="D1314" s="4" t="s">
        <v>45</v>
      </c>
      <c r="E1314" s="4">
        <v>25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2">C1314+2</f>
        <v>40120</v>
      </c>
    </row>
    <row r="1315" spans="1:21" ht="12" customHeight="1">
      <c r="A1315" s="4">
        <v>5696</v>
      </c>
      <c r="B1315" s="4">
        <v>40261</v>
      </c>
      <c r="C1315" s="5">
        <f t="shared" ref="C1315:C1316" si="553">DATE(2012,12,31)-1153</f>
        <v>40121</v>
      </c>
      <c r="D1315" s="4" t="s">
        <v>78</v>
      </c>
      <c r="E1315" s="4">
        <v>36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2"/>
        <v>40123</v>
      </c>
    </row>
    <row r="1316" spans="1:21" ht="12" customHeight="1">
      <c r="A1316" s="4">
        <v>5697</v>
      </c>
      <c r="B1316" s="4">
        <v>40261</v>
      </c>
      <c r="C1316" s="5">
        <f t="shared" si="553"/>
        <v>40121</v>
      </c>
      <c r="D1316" s="4" t="s">
        <v>78</v>
      </c>
      <c r="E1316" s="4">
        <v>26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0.57999999999999996</v>
      </c>
      <c r="U1316" s="5">
        <f t="shared" si="552"/>
        <v>40123</v>
      </c>
    </row>
    <row r="1317" spans="1:21" ht="12" customHeight="1">
      <c r="A1317" s="4">
        <v>5736</v>
      </c>
      <c r="B1317" s="4">
        <v>40708</v>
      </c>
      <c r="C1317" s="5">
        <f>DATE(2012,12,31)-1176</f>
        <v>40098</v>
      </c>
      <c r="D1317" s="4" t="s">
        <v>45</v>
      </c>
      <c r="E1317" s="4">
        <v>15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spans="1:21" ht="12" customHeight="1">
      <c r="A1318" s="4">
        <v>6151</v>
      </c>
      <c r="B1318" s="4">
        <v>43554</v>
      </c>
      <c r="C1318" s="5">
        <f>DATE(2012,12,31)-1158</f>
        <v>40116</v>
      </c>
      <c r="D1318" s="4" t="s">
        <v>78</v>
      </c>
      <c r="E1318" s="4">
        <v>9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2.2000000000000002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spans="1:21" ht="12" customHeight="1">
      <c r="A1319" s="4">
        <v>6264</v>
      </c>
      <c r="B1319" s="4">
        <v>44325</v>
      </c>
      <c r="C1319" s="5">
        <f>DATE(2012,12,31)-1420</f>
        <v>39854</v>
      </c>
      <c r="D1319" s="4" t="s">
        <v>63</v>
      </c>
      <c r="E1319" s="4">
        <v>44</v>
      </c>
      <c r="F1319" s="4">
        <v>951.33</v>
      </c>
      <c r="G1319" s="4">
        <v>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4">C1319+2</f>
        <v>39856</v>
      </c>
    </row>
    <row r="1320" spans="1:21" ht="12" customHeight="1">
      <c r="A1320" s="4">
        <v>6464</v>
      </c>
      <c r="B1320" s="4">
        <v>46021</v>
      </c>
      <c r="C1320" s="5">
        <f>DATE(2012,12,31)-1400</f>
        <v>39874</v>
      </c>
      <c r="D1320" s="4" t="s">
        <v>30</v>
      </c>
      <c r="E1320" s="4">
        <v>1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4"/>
        <v>39876</v>
      </c>
    </row>
    <row r="1321" spans="1:21" ht="12" customHeight="1">
      <c r="A1321" s="4">
        <v>6493</v>
      </c>
      <c r="B1321" s="4">
        <v>46241</v>
      </c>
      <c r="C1321" s="5">
        <f>DATE(2012,12,31)-1388</f>
        <v>39886</v>
      </c>
      <c r="D1321" s="4" t="s">
        <v>45</v>
      </c>
      <c r="E1321" s="4">
        <v>34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4"/>
        <v>39888</v>
      </c>
    </row>
    <row r="1322" spans="1:21" ht="12" customHeight="1">
      <c r="A1322" s="4">
        <v>6497</v>
      </c>
      <c r="B1322" s="4">
        <v>46244</v>
      </c>
      <c r="C1322" s="5">
        <f t="shared" ref="C1322:C1323" si="555">DATE(2012,12,31)-1278</f>
        <v>39996</v>
      </c>
      <c r="D1322" s="4" t="s">
        <v>63</v>
      </c>
      <c r="E1322" s="4">
        <v>10</v>
      </c>
      <c r="F1322" s="4">
        <v>601.57000000000005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spans="1:21" ht="12" customHeight="1">
      <c r="A1323" s="4">
        <v>6498</v>
      </c>
      <c r="B1323" s="4">
        <v>46244</v>
      </c>
      <c r="C1323" s="5">
        <f t="shared" si="555"/>
        <v>39996</v>
      </c>
      <c r="D1323" s="4" t="s">
        <v>63</v>
      </c>
      <c r="E1323" s="4">
        <v>9</v>
      </c>
      <c r="F1323" s="4">
        <v>157.41999999999999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spans="1:21" ht="12" customHeight="1">
      <c r="A1324" s="4">
        <v>6562</v>
      </c>
      <c r="B1324" s="4">
        <v>46656</v>
      </c>
      <c r="C1324" s="5">
        <f>DATE(2012,12,31)-1264</f>
        <v>40010</v>
      </c>
      <c r="D1324" s="4" t="s">
        <v>30</v>
      </c>
      <c r="E1324" s="4">
        <v>27</v>
      </c>
      <c r="F1324" s="4">
        <v>636.70000000000005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6">C1324+1</f>
        <v>40011</v>
      </c>
    </row>
    <row r="1325" spans="1:21" ht="12" customHeight="1">
      <c r="A1325" s="4">
        <v>6567</v>
      </c>
      <c r="B1325" s="4">
        <v>46721</v>
      </c>
      <c r="C1325" s="5">
        <f t="shared" ref="C1325:C1327" si="557">DATE(2012,12,31)-1205</f>
        <v>40069</v>
      </c>
      <c r="D1325" s="4" t="s">
        <v>63</v>
      </c>
      <c r="E1325" s="4">
        <v>17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6"/>
        <v>40070</v>
      </c>
    </row>
    <row r="1326" spans="1:21" ht="12" customHeight="1">
      <c r="A1326" s="4">
        <v>6568</v>
      </c>
      <c r="B1326" s="4">
        <v>46721</v>
      </c>
      <c r="C1326" s="5">
        <f t="shared" si="557"/>
        <v>40069</v>
      </c>
      <c r="D1326" s="4" t="s">
        <v>63</v>
      </c>
      <c r="E1326" s="4">
        <v>35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6"/>
        <v>40070</v>
      </c>
    </row>
    <row r="1327" spans="1:21" ht="12" customHeight="1">
      <c r="A1327" s="4">
        <v>6569</v>
      </c>
      <c r="B1327" s="4">
        <v>46721</v>
      </c>
      <c r="C1327" s="5">
        <f t="shared" si="557"/>
        <v>40069</v>
      </c>
      <c r="D1327" s="4" t="s">
        <v>63</v>
      </c>
      <c r="E1327" s="4">
        <v>17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6"/>
        <v>40070</v>
      </c>
    </row>
    <row r="1328" spans="1:21" ht="12" customHeight="1">
      <c r="A1328" s="4">
        <v>6673</v>
      </c>
      <c r="B1328" s="4">
        <v>47493</v>
      </c>
      <c r="C1328" s="5">
        <f>DATE(2012,12,31)-1419</f>
        <v>39855</v>
      </c>
      <c r="D1328" s="4" t="s">
        <v>78</v>
      </c>
      <c r="E1328" s="4">
        <v>36</v>
      </c>
      <c r="F1328" s="4">
        <v>9757.48</v>
      </c>
      <c r="G1328" s="4">
        <v>7.0000000000000007E-2</v>
      </c>
      <c r="H1328" s="4" t="s">
        <v>31</v>
      </c>
      <c r="I1328" s="6">
        <v>-96.05</v>
      </c>
      <c r="J1328" s="4">
        <v>270.98</v>
      </c>
      <c r="K1328" s="4">
        <v>50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spans="1:21" ht="12" customHeight="1">
      <c r="A1329" s="4">
        <v>6732</v>
      </c>
      <c r="B1329" s="4">
        <v>47941</v>
      </c>
      <c r="C1329" s="5">
        <f>DATE(2012,12,31)-1241</f>
        <v>40033</v>
      </c>
      <c r="D1329" s="4" t="s">
        <v>30</v>
      </c>
      <c r="E1329" s="4">
        <v>15</v>
      </c>
      <c r="F1329" s="4">
        <v>1187.1524999999999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4.9000000000000004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0.56000000000000005</v>
      </c>
      <c r="U1329" s="5">
        <f>C1329+0</f>
        <v>40033</v>
      </c>
    </row>
    <row r="1330" spans="1:21" ht="12" customHeight="1">
      <c r="A1330" s="4">
        <v>6889</v>
      </c>
      <c r="B1330" s="4">
        <v>49123</v>
      </c>
      <c r="C1330" s="5">
        <f t="shared" ref="C1330:C1331" si="558">DATE(2012,12,31)-1405</f>
        <v>39869</v>
      </c>
      <c r="D1330" s="4" t="s">
        <v>30</v>
      </c>
      <c r="E1330" s="4">
        <v>31</v>
      </c>
      <c r="F1330" s="4">
        <v>305.76</v>
      </c>
      <c r="G1330" s="4">
        <v>0.1</v>
      </c>
      <c r="H1330" s="4" t="s">
        <v>22</v>
      </c>
      <c r="I1330" s="6">
        <v>-22.528500000000001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59">C1330+1</f>
        <v>39870</v>
      </c>
    </row>
    <row r="1331" spans="1:21" ht="12" customHeight="1">
      <c r="A1331" s="4">
        <v>6890</v>
      </c>
      <c r="B1331" s="4">
        <v>49123</v>
      </c>
      <c r="C1331" s="5">
        <f t="shared" si="558"/>
        <v>39869</v>
      </c>
      <c r="D1331" s="4" t="s">
        <v>30</v>
      </c>
      <c r="E1331" s="4">
        <v>3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59"/>
        <v>39870</v>
      </c>
    </row>
    <row r="1332" spans="1:21" ht="12" customHeight="1">
      <c r="A1332" s="4">
        <v>7039</v>
      </c>
      <c r="B1332" s="4">
        <v>50275</v>
      </c>
      <c r="C1332" s="5">
        <f t="shared" ref="C1332:C1333" si="560">DATE(2012,12,31)-1122</f>
        <v>40152</v>
      </c>
      <c r="D1332" s="4" t="s">
        <v>63</v>
      </c>
      <c r="E1332" s="4">
        <v>5</v>
      </c>
      <c r="F1332" s="4">
        <v>9704.3700000000008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59"/>
        <v>40153</v>
      </c>
    </row>
    <row r="1333" spans="1:21" ht="12" customHeight="1">
      <c r="A1333" s="4">
        <v>7040</v>
      </c>
      <c r="B1333" s="4">
        <v>50275</v>
      </c>
      <c r="C1333" s="5">
        <f t="shared" si="560"/>
        <v>40152</v>
      </c>
      <c r="D1333" s="4" t="s">
        <v>63</v>
      </c>
      <c r="E1333" s="4">
        <v>31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59"/>
        <v>40153</v>
      </c>
    </row>
    <row r="1334" spans="1:21" ht="12" customHeight="1">
      <c r="A1334" s="4">
        <v>7203</v>
      </c>
      <c r="B1334" s="4">
        <v>51392</v>
      </c>
      <c r="C1334" s="5">
        <f>DATE(2012,12,31)-1145</f>
        <v>40129</v>
      </c>
      <c r="D1334" s="4" t="s">
        <v>63</v>
      </c>
      <c r="E1334" s="4">
        <v>10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59"/>
        <v>40130</v>
      </c>
    </row>
    <row r="1335" spans="1:21" ht="12" customHeight="1">
      <c r="A1335" s="4">
        <v>7304</v>
      </c>
      <c r="B1335" s="4">
        <v>52070</v>
      </c>
      <c r="C1335" s="5">
        <f>DATE(2012,12,31)-1126</f>
        <v>40148</v>
      </c>
      <c r="D1335" s="4" t="s">
        <v>45</v>
      </c>
      <c r="E1335" s="4">
        <v>29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2.2799999999999998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spans="1:21" ht="12" customHeight="1">
      <c r="A1336" s="4">
        <v>7333</v>
      </c>
      <c r="B1336" s="4">
        <v>52258</v>
      </c>
      <c r="C1336" s="5">
        <f>DATE(2012,12,31)-1420</f>
        <v>39854</v>
      </c>
      <c r="D1336" s="4" t="s">
        <v>21</v>
      </c>
      <c r="E1336" s="4">
        <v>5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0.55000000000000004</v>
      </c>
      <c r="U1336" s="5">
        <f>C1336+7</f>
        <v>39861</v>
      </c>
    </row>
    <row r="1337" spans="1:21" ht="12" customHeight="1">
      <c r="A1337" s="4">
        <v>7378</v>
      </c>
      <c r="B1337" s="4">
        <v>52608</v>
      </c>
      <c r="C1337" s="5">
        <f>DATE(2012,12,31)-1440</f>
        <v>39834</v>
      </c>
      <c r="D1337" s="4" t="s">
        <v>21</v>
      </c>
      <c r="E1337" s="4">
        <v>36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spans="1:21" ht="12" customHeight="1">
      <c r="A1338" s="4">
        <v>7482</v>
      </c>
      <c r="B1338" s="4">
        <v>53412</v>
      </c>
      <c r="C1338" s="5">
        <f>DATE(2012,12,31)-1203</f>
        <v>40071</v>
      </c>
      <c r="D1338" s="4" t="s">
        <v>78</v>
      </c>
      <c r="E1338" s="4">
        <v>45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spans="1:21" ht="12" customHeight="1">
      <c r="A1339" s="4">
        <v>7605</v>
      </c>
      <c r="B1339" s="4">
        <v>54436</v>
      </c>
      <c r="C1339" s="5">
        <f t="shared" ref="C1339:C1340" si="561">DATE(2012,12,31)-1199</f>
        <v>40075</v>
      </c>
      <c r="D1339" s="4" t="s">
        <v>30</v>
      </c>
      <c r="E1339" s="4">
        <v>17</v>
      </c>
      <c r="F1339" s="4">
        <v>705.85</v>
      </c>
      <c r="G1339" s="4">
        <v>0.04</v>
      </c>
      <c r="H1339" s="4" t="s">
        <v>56</v>
      </c>
      <c r="I1339" s="6">
        <v>151.66999999999999</v>
      </c>
      <c r="J1339" s="4">
        <v>39.479999999999997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spans="1:21" ht="12" customHeight="1">
      <c r="A1340" s="4">
        <v>7606</v>
      </c>
      <c r="B1340" s="4">
        <v>54436</v>
      </c>
      <c r="C1340" s="5">
        <f t="shared" si="561"/>
        <v>40075</v>
      </c>
      <c r="D1340" s="4" t="s">
        <v>30</v>
      </c>
      <c r="E1340" s="4">
        <v>37</v>
      </c>
      <c r="F1340" s="4">
        <v>321.3</v>
      </c>
      <c r="G1340" s="4">
        <v>0</v>
      </c>
      <c r="H1340" s="4" t="s">
        <v>22</v>
      </c>
      <c r="I1340" s="6">
        <v>-47.23</v>
      </c>
      <c r="J1340" s="4">
        <v>8.1199999999999992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spans="1:21" ht="12" customHeight="1">
      <c r="A1341" s="4">
        <v>7608</v>
      </c>
      <c r="B1341" s="4">
        <v>54464</v>
      </c>
      <c r="C1341" s="5">
        <f t="shared" ref="C1341:C1342" si="562">DATE(2012,12,31)-1217</f>
        <v>40057</v>
      </c>
      <c r="D1341" s="4" t="s">
        <v>30</v>
      </c>
      <c r="E1341" s="4">
        <v>11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spans="1:21" ht="12" customHeight="1">
      <c r="A1342" s="4">
        <v>7609</v>
      </c>
      <c r="B1342" s="4">
        <v>54464</v>
      </c>
      <c r="C1342" s="5">
        <f t="shared" si="562"/>
        <v>40057</v>
      </c>
      <c r="D1342" s="4" t="s">
        <v>30</v>
      </c>
      <c r="E1342" s="4">
        <v>50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4.8600000000000003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3">C1342+1</f>
        <v>40058</v>
      </c>
    </row>
    <row r="1343" spans="1:21" ht="12" customHeight="1">
      <c r="A1343" s="4">
        <v>7613</v>
      </c>
      <c r="B1343" s="4">
        <v>54468</v>
      </c>
      <c r="C1343" s="5">
        <f t="shared" ref="C1343:C1344" si="564">DATE(2012,12,31)-1113</f>
        <v>40161</v>
      </c>
      <c r="D1343" s="4" t="s">
        <v>30</v>
      </c>
      <c r="E1343" s="4">
        <v>15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3"/>
        <v>40162</v>
      </c>
    </row>
    <row r="1344" spans="1:21" ht="12" customHeight="1">
      <c r="A1344" s="4">
        <v>7614</v>
      </c>
      <c r="B1344" s="4">
        <v>54468</v>
      </c>
      <c r="C1344" s="5">
        <f t="shared" si="564"/>
        <v>40161</v>
      </c>
      <c r="D1344" s="4" t="s">
        <v>30</v>
      </c>
      <c r="E1344" s="4">
        <v>35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0.57999999999999996</v>
      </c>
      <c r="U1344" s="5">
        <f t="shared" si="563"/>
        <v>40162</v>
      </c>
    </row>
    <row r="1345" spans="1:21" ht="12" customHeight="1">
      <c r="A1345" s="4">
        <v>7649</v>
      </c>
      <c r="B1345" s="4">
        <v>54819</v>
      </c>
      <c r="C1345" s="5">
        <f t="shared" ref="C1345:C1347" si="565">DATE(2012,12,31)-1178</f>
        <v>40096</v>
      </c>
      <c r="D1345" s="4" t="s">
        <v>21</v>
      </c>
      <c r="E1345" s="4">
        <v>10</v>
      </c>
      <c r="F1345" s="4">
        <v>53.32</v>
      </c>
      <c r="G1345" s="4">
        <v>7.0000000000000007E-2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spans="1:21" ht="12" customHeight="1">
      <c r="A1346" s="4">
        <v>7650</v>
      </c>
      <c r="B1346" s="4">
        <v>54819</v>
      </c>
      <c r="C1346" s="5">
        <f t="shared" si="565"/>
        <v>40096</v>
      </c>
      <c r="D1346" s="4" t="s">
        <v>21</v>
      </c>
      <c r="E1346" s="4">
        <v>26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spans="1:21" ht="12" customHeight="1">
      <c r="A1347" s="4">
        <v>7651</v>
      </c>
      <c r="B1347" s="4">
        <v>54819</v>
      </c>
      <c r="C1347" s="5">
        <f t="shared" si="565"/>
        <v>40096</v>
      </c>
      <c r="D1347" s="4" t="s">
        <v>21</v>
      </c>
      <c r="E1347" s="4">
        <v>46</v>
      </c>
      <c r="F1347" s="4">
        <v>2710.5054999999998</v>
      </c>
      <c r="G1347" s="4">
        <v>0.03</v>
      </c>
      <c r="H1347" s="4" t="s">
        <v>22</v>
      </c>
      <c r="I1347" s="6">
        <v>624.12300000000005</v>
      </c>
      <c r="J1347" s="4">
        <v>65.989999999999995</v>
      </c>
      <c r="K1347" s="4">
        <v>8.8000000000000007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0.57999999999999996</v>
      </c>
      <c r="U1347" s="5">
        <f>C1347+0</f>
        <v>40096</v>
      </c>
    </row>
    <row r="1348" spans="1:21" ht="12" customHeight="1">
      <c r="A1348" s="4">
        <v>7683</v>
      </c>
      <c r="B1348" s="4">
        <v>55046</v>
      </c>
      <c r="C1348" s="5">
        <f>DATE(2012,12,31)-1358</f>
        <v>39916</v>
      </c>
      <c r="D1348" s="4" t="s">
        <v>78</v>
      </c>
      <c r="E1348" s="4">
        <v>2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spans="1:21" ht="12" customHeight="1">
      <c r="A1349" s="4">
        <v>7724</v>
      </c>
      <c r="B1349" s="4">
        <v>55360</v>
      </c>
      <c r="C1349" s="5">
        <f t="shared" ref="C1349:C1350" si="566">DATE(2012,12,31)-1439</f>
        <v>39835</v>
      </c>
      <c r="D1349" s="4" t="s">
        <v>63</v>
      </c>
      <c r="E1349" s="4">
        <v>49</v>
      </c>
      <c r="F1349" s="4">
        <v>134.83000000000001</v>
      </c>
      <c r="G1349" s="4">
        <v>7.0000000000000007E-2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spans="1:21" ht="12" customHeight="1">
      <c r="A1350" s="4">
        <v>7725</v>
      </c>
      <c r="B1350" s="4">
        <v>55360</v>
      </c>
      <c r="C1350" s="5">
        <f t="shared" si="566"/>
        <v>39835</v>
      </c>
      <c r="D1350" s="4" t="s">
        <v>63</v>
      </c>
      <c r="E1350" s="4">
        <v>39</v>
      </c>
      <c r="F1350" s="4">
        <v>8865.1</v>
      </c>
      <c r="G1350" s="4">
        <v>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spans="1:21" ht="12" customHeight="1">
      <c r="A1351" s="4">
        <v>7918</v>
      </c>
      <c r="B1351" s="4">
        <v>56608</v>
      </c>
      <c r="C1351" s="5">
        <f>DATE(2012,12,31)-1139</f>
        <v>40135</v>
      </c>
      <c r="D1351" s="4" t="s">
        <v>78</v>
      </c>
      <c r="E1351" s="4">
        <v>23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spans="1:21" ht="12" customHeight="1">
      <c r="A1352" s="4">
        <v>7920</v>
      </c>
      <c r="B1352" s="4">
        <v>56612</v>
      </c>
      <c r="C1352" s="5">
        <f>DATE(2012,12,31)-1258</f>
        <v>40016</v>
      </c>
      <c r="D1352" s="4" t="s">
        <v>30</v>
      </c>
      <c r="E1352" s="4">
        <v>38</v>
      </c>
      <c r="F1352" s="4">
        <v>4008.7274999999995</v>
      </c>
      <c r="G1352" s="4">
        <v>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0.57999999999999996</v>
      </c>
      <c r="U1352" s="5">
        <f t="shared" ref="U1352:U1353" si="567">C1352+0</f>
        <v>40016</v>
      </c>
    </row>
    <row r="1353" spans="1:21" ht="12" customHeight="1">
      <c r="A1353" s="4">
        <v>8055</v>
      </c>
      <c r="B1353" s="4">
        <v>57506</v>
      </c>
      <c r="C1353" s="5">
        <f>DATE(2012,12,31)-1417</f>
        <v>39857</v>
      </c>
      <c r="D1353" s="4" t="s">
        <v>63</v>
      </c>
      <c r="E1353" s="4">
        <v>48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7"/>
        <v>39857</v>
      </c>
    </row>
    <row r="1354" spans="1:21" ht="12" customHeight="1">
      <c r="A1354" s="4">
        <v>8115</v>
      </c>
      <c r="B1354" s="4">
        <v>57958</v>
      </c>
      <c r="C1354" s="5">
        <f>DATE(2012,12,31)-1402</f>
        <v>39872</v>
      </c>
      <c r="D1354" s="4" t="s">
        <v>78</v>
      </c>
      <c r="E1354" s="4">
        <v>46</v>
      </c>
      <c r="F1354" s="4">
        <v>1419.83</v>
      </c>
      <c r="G1354" s="4">
        <v>7.0000000000000007E-2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spans="1:21" ht="12" customHeight="1">
      <c r="A1355" s="4">
        <v>8141</v>
      </c>
      <c r="B1355" s="4">
        <v>58182</v>
      </c>
      <c r="C1355" s="5">
        <f>DATE(2012,12,31)-1410</f>
        <v>39864</v>
      </c>
      <c r="D1355" s="4" t="s">
        <v>30</v>
      </c>
      <c r="E1355" s="4">
        <v>24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8">C1355+2</f>
        <v>39866</v>
      </c>
    </row>
    <row r="1356" spans="1:21" ht="12" customHeight="1">
      <c r="A1356" s="4">
        <v>8310</v>
      </c>
      <c r="B1356" s="4">
        <v>59365</v>
      </c>
      <c r="C1356" s="5">
        <f>DATE(2012,12,31)-1120</f>
        <v>40154</v>
      </c>
      <c r="D1356" s="4" t="s">
        <v>63</v>
      </c>
      <c r="E1356" s="4">
        <v>1</v>
      </c>
      <c r="F1356" s="4">
        <v>534.29999999999995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8"/>
        <v>40156</v>
      </c>
    </row>
    <row r="1357" spans="1:21" ht="12" customHeight="1">
      <c r="A1357" s="4">
        <v>197</v>
      </c>
      <c r="B1357" s="4">
        <v>1287</v>
      </c>
      <c r="C1357" s="5">
        <f>DATE(2012,12,31)-1276</f>
        <v>39998</v>
      </c>
      <c r="D1357" s="4" t="s">
        <v>30</v>
      </c>
      <c r="E1357" s="4">
        <v>39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10.119999999999999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8"/>
        <v>40000</v>
      </c>
    </row>
    <row r="1358" spans="1:21" ht="12" customHeight="1">
      <c r="A1358" s="4">
        <v>277</v>
      </c>
      <c r="B1358" s="4">
        <v>1895</v>
      </c>
      <c r="C1358" s="5">
        <f>DATE(2012,12,31)-1312</f>
        <v>39962</v>
      </c>
      <c r="D1358" s="4" t="s">
        <v>63</v>
      </c>
      <c r="E1358" s="4">
        <v>5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8"/>
        <v>39964</v>
      </c>
    </row>
    <row r="1359" spans="1:21" ht="12" customHeight="1">
      <c r="A1359" s="4">
        <v>1131</v>
      </c>
      <c r="B1359" s="4">
        <v>8259</v>
      </c>
      <c r="C1359" s="5">
        <f>DATE(2012,12,31)-1353</f>
        <v>39921</v>
      </c>
      <c r="D1359" s="4" t="s">
        <v>63</v>
      </c>
      <c r="E1359" s="4">
        <v>25</v>
      </c>
      <c r="F1359" s="4">
        <v>2130.2199999999998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spans="1:21" ht="12" customHeight="1">
      <c r="A1360" s="4">
        <v>1287</v>
      </c>
      <c r="B1360" s="4">
        <v>9383</v>
      </c>
      <c r="C1360" s="5">
        <f>DATE(2012,12,31)-1386</f>
        <v>39888</v>
      </c>
      <c r="D1360" s="4" t="s">
        <v>45</v>
      </c>
      <c r="E1360" s="4">
        <v>11</v>
      </c>
      <c r="F1360" s="4">
        <v>82.42</v>
      </c>
      <c r="G1360" s="4">
        <v>7.0000000000000007E-2</v>
      </c>
      <c r="H1360" s="4" t="s">
        <v>22</v>
      </c>
      <c r="I1360" s="6">
        <v>18.53</v>
      </c>
      <c r="J1360" s="4">
        <v>7.59</v>
      </c>
      <c r="K1360" s="4">
        <v>4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spans="1:21" ht="12" customHeight="1">
      <c r="A1361" s="4">
        <v>1515</v>
      </c>
      <c r="B1361" s="4">
        <v>10949</v>
      </c>
      <c r="C1361" s="5">
        <f>DATE(2012,12,31)-1372</f>
        <v>39902</v>
      </c>
      <c r="D1361" s="4" t="s">
        <v>63</v>
      </c>
      <c r="E1361" s="4">
        <v>46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69">C1361+1</f>
        <v>39903</v>
      </c>
    </row>
    <row r="1362" spans="1:21" ht="12" customHeight="1">
      <c r="A1362" s="4">
        <v>1569</v>
      </c>
      <c r="B1362" s="4">
        <v>11335</v>
      </c>
      <c r="C1362" s="5">
        <f t="shared" ref="C1362:C1363" si="570">DATE(2012,12,31)-1167</f>
        <v>40107</v>
      </c>
      <c r="D1362" s="4" t="s">
        <v>30</v>
      </c>
      <c r="E1362" s="4">
        <v>3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4.9800000000000004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69"/>
        <v>40108</v>
      </c>
    </row>
    <row r="1363" spans="1:21" ht="12" customHeight="1">
      <c r="A1363" s="4">
        <v>1570</v>
      </c>
      <c r="B1363" s="4">
        <v>11335</v>
      </c>
      <c r="C1363" s="5">
        <f t="shared" si="570"/>
        <v>40107</v>
      </c>
      <c r="D1363" s="4" t="s">
        <v>30</v>
      </c>
      <c r="E1363" s="4">
        <v>8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spans="1:21" ht="12" customHeight="1">
      <c r="A1364" s="4">
        <v>2187</v>
      </c>
      <c r="B1364" s="4">
        <v>15751</v>
      </c>
      <c r="C1364" s="5">
        <f t="shared" ref="C1364:C1365" si="571">DATE(2012,12,31)-1234</f>
        <v>40040</v>
      </c>
      <c r="D1364" s="4" t="s">
        <v>78</v>
      </c>
      <c r="E1364" s="4">
        <v>37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4.9800000000000004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2">C1364+1</f>
        <v>40041</v>
      </c>
    </row>
    <row r="1365" spans="1:21" ht="12" customHeight="1">
      <c r="A1365" s="4">
        <v>2188</v>
      </c>
      <c r="B1365" s="4">
        <v>15751</v>
      </c>
      <c r="C1365" s="5">
        <f t="shared" si="571"/>
        <v>40040</v>
      </c>
      <c r="D1365" s="4" t="s">
        <v>78</v>
      </c>
      <c r="E1365" s="4">
        <v>21</v>
      </c>
      <c r="F1365" s="4">
        <v>397.73200000000003</v>
      </c>
      <c r="G1365" s="4">
        <v>0.01</v>
      </c>
      <c r="H1365" s="4" t="s">
        <v>22</v>
      </c>
      <c r="I1365" s="6">
        <v>-26.047999999999998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2"/>
        <v>40041</v>
      </c>
    </row>
    <row r="1366" spans="1:21" ht="12" customHeight="1">
      <c r="A1366" s="4">
        <v>2197</v>
      </c>
      <c r="B1366" s="4">
        <v>15815</v>
      </c>
      <c r="C1366" s="5">
        <f t="shared" ref="C1366:C1367" si="573">DATE(2012,12,31)-1340</f>
        <v>39934</v>
      </c>
      <c r="D1366" s="4" t="s">
        <v>78</v>
      </c>
      <c r="E1366" s="4">
        <v>43</v>
      </c>
      <c r="F1366" s="4">
        <v>528.6</v>
      </c>
      <c r="G1366" s="4">
        <v>0.01</v>
      </c>
      <c r="H1366" s="4" t="s">
        <v>22</v>
      </c>
      <c r="I1366" s="6">
        <v>52.589500000000001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spans="1:21" ht="12" customHeight="1">
      <c r="A1367" s="4">
        <v>2198</v>
      </c>
      <c r="B1367" s="4">
        <v>15815</v>
      </c>
      <c r="C1367" s="5">
        <f t="shared" si="573"/>
        <v>39934</v>
      </c>
      <c r="D1367" s="4" t="s">
        <v>78</v>
      </c>
      <c r="E1367" s="4">
        <v>24</v>
      </c>
      <c r="F1367" s="4">
        <v>107.41</v>
      </c>
      <c r="G1367" s="4">
        <v>0.03</v>
      </c>
      <c r="H1367" s="4" t="s">
        <v>22</v>
      </c>
      <c r="I1367" s="6">
        <v>20.680499999999999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spans="1:21" ht="12" customHeight="1">
      <c r="A1368" s="4">
        <v>2366</v>
      </c>
      <c r="B1368" s="4">
        <v>17124</v>
      </c>
      <c r="C1368" s="5">
        <f>DATE(2012,12,31)-1163</f>
        <v>40111</v>
      </c>
      <c r="D1368" s="4" t="s">
        <v>78</v>
      </c>
      <c r="E1368" s="4">
        <v>39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4">C1368+1</f>
        <v>40112</v>
      </c>
    </row>
    <row r="1369" spans="1:21" ht="12" customHeight="1">
      <c r="A1369" s="4">
        <v>2636</v>
      </c>
      <c r="B1369" s="4">
        <v>19075</v>
      </c>
      <c r="C1369" s="5">
        <f>DATE(2012,12,31)-1192</f>
        <v>40082</v>
      </c>
      <c r="D1369" s="4" t="s">
        <v>78</v>
      </c>
      <c r="E1369" s="4">
        <v>36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4"/>
        <v>40083</v>
      </c>
    </row>
    <row r="1370" spans="1:21" ht="12" customHeight="1">
      <c r="A1370" s="4">
        <v>3399</v>
      </c>
      <c r="B1370" s="4">
        <v>24199</v>
      </c>
      <c r="C1370" s="5">
        <f>DATE(2012,12,31)-1294</f>
        <v>39980</v>
      </c>
      <c r="D1370" s="4" t="s">
        <v>78</v>
      </c>
      <c r="E1370" s="4">
        <v>16</v>
      </c>
      <c r="F1370" s="4">
        <v>706.53</v>
      </c>
      <c r="G1370" s="4">
        <v>0</v>
      </c>
      <c r="H1370" s="4" t="s">
        <v>22</v>
      </c>
      <c r="I1370" s="6">
        <v>-314.42</v>
      </c>
      <c r="J1370" s="4">
        <v>40.479999999999997</v>
      </c>
      <c r="K1370" s="4">
        <v>19.989999999999998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4"/>
        <v>39981</v>
      </c>
    </row>
    <row r="1371" spans="1:21" ht="12" customHeight="1">
      <c r="A1371" s="4">
        <v>3654</v>
      </c>
      <c r="B1371" s="4">
        <v>26146</v>
      </c>
      <c r="C1371" s="5">
        <f t="shared" ref="C1371:C1372" si="575">DATE(2012,12,31)-1177</f>
        <v>40097</v>
      </c>
      <c r="D1371" s="4" t="s">
        <v>21</v>
      </c>
      <c r="E1371" s="4">
        <v>13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0.57999999999999996</v>
      </c>
      <c r="U1371" s="5">
        <f>C1371+7</f>
        <v>40104</v>
      </c>
    </row>
    <row r="1372" spans="1:21" ht="12" customHeight="1">
      <c r="A1372" s="4">
        <v>3655</v>
      </c>
      <c r="B1372" s="4">
        <v>26146</v>
      </c>
      <c r="C1372" s="5">
        <f t="shared" si="575"/>
        <v>40097</v>
      </c>
      <c r="D1372" s="4" t="s">
        <v>21</v>
      </c>
      <c r="E1372" s="4">
        <v>49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0.57999999999999996</v>
      </c>
      <c r="U1372" s="5">
        <f>C1372+9</f>
        <v>40106</v>
      </c>
    </row>
    <row r="1373" spans="1:21" ht="12" customHeight="1">
      <c r="A1373" s="4">
        <v>4028</v>
      </c>
      <c r="B1373" s="4">
        <v>28772</v>
      </c>
      <c r="C1373" s="5">
        <f t="shared" ref="C1373:C1374" si="576">DATE(2012,12,31)-1424</f>
        <v>39850</v>
      </c>
      <c r="D1373" s="4" t="s">
        <v>30</v>
      </c>
      <c r="E1373" s="4">
        <v>16</v>
      </c>
      <c r="F1373" s="4">
        <v>950.46399999999994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spans="1:21" ht="12" customHeight="1">
      <c r="A1374" s="4">
        <v>4029</v>
      </c>
      <c r="B1374" s="4">
        <v>28772</v>
      </c>
      <c r="C1374" s="5">
        <f t="shared" si="576"/>
        <v>39850</v>
      </c>
      <c r="D1374" s="4" t="s">
        <v>30</v>
      </c>
      <c r="E1374" s="4">
        <v>4</v>
      </c>
      <c r="F1374" s="4">
        <v>705.68700000000001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spans="1:21" ht="12" customHeight="1">
      <c r="A1375" s="4">
        <v>4275</v>
      </c>
      <c r="B1375" s="4">
        <v>30407</v>
      </c>
      <c r="C1375" s="5">
        <f>DATE(2012,12,31)-1354</f>
        <v>39920</v>
      </c>
      <c r="D1375" s="4" t="s">
        <v>21</v>
      </c>
      <c r="E1375" s="4">
        <v>41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19.989999999999998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0.57999999999999996</v>
      </c>
      <c r="U1375" s="5">
        <f>C1375+0</f>
        <v>39920</v>
      </c>
    </row>
    <row r="1376" spans="1:21" ht="12" customHeight="1">
      <c r="A1376" s="4">
        <v>4378</v>
      </c>
      <c r="B1376" s="4">
        <v>31175</v>
      </c>
      <c r="C1376" s="5">
        <f>DATE(2012,12,31)-1192</f>
        <v>40082</v>
      </c>
      <c r="D1376" s="4" t="s">
        <v>78</v>
      </c>
      <c r="E1376" s="4">
        <v>26</v>
      </c>
      <c r="F1376" s="4">
        <v>539.66</v>
      </c>
      <c r="G1376" s="4">
        <v>0</v>
      </c>
      <c r="H1376" s="4" t="s">
        <v>56</v>
      </c>
      <c r="I1376" s="6">
        <v>147.08000000000001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spans="1:21" ht="12" customHeight="1">
      <c r="A1377" s="4">
        <v>4938</v>
      </c>
      <c r="B1377" s="4">
        <v>35136</v>
      </c>
      <c r="C1377" s="5">
        <f>DATE(2012,12,31)-1180</f>
        <v>40094</v>
      </c>
      <c r="D1377" s="4" t="s">
        <v>78</v>
      </c>
      <c r="E1377" s="4">
        <v>23</v>
      </c>
      <c r="F1377" s="4">
        <v>68.73</v>
      </c>
      <c r="G1377" s="4">
        <v>7.0000000000000007E-2</v>
      </c>
      <c r="H1377" s="4" t="s">
        <v>22</v>
      </c>
      <c r="I1377" s="6">
        <v>17.170000000000002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spans="1:21" ht="12" customHeight="1">
      <c r="A1378" s="4">
        <v>5181</v>
      </c>
      <c r="B1378" s="4">
        <v>36835</v>
      </c>
      <c r="C1378" s="5">
        <f t="shared" ref="C1378:C1380" si="577">DATE(2012,12,31)-1168</f>
        <v>40106</v>
      </c>
      <c r="D1378" s="4" t="s">
        <v>78</v>
      </c>
      <c r="E1378" s="4">
        <v>39</v>
      </c>
      <c r="F1378" s="4">
        <v>12073.06</v>
      </c>
      <c r="G1378" s="4">
        <v>0.03</v>
      </c>
      <c r="H1378" s="4" t="s">
        <v>22</v>
      </c>
      <c r="I1378" s="6">
        <v>5081.8694999999998</v>
      </c>
      <c r="J1378" s="4">
        <v>315.98</v>
      </c>
      <c r="K1378" s="4">
        <v>19.989999999999998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spans="1:21" ht="12" customHeight="1">
      <c r="A1379" s="4">
        <v>5182</v>
      </c>
      <c r="B1379" s="4">
        <v>36835</v>
      </c>
      <c r="C1379" s="5">
        <f t="shared" si="577"/>
        <v>40106</v>
      </c>
      <c r="D1379" s="4" t="s">
        <v>78</v>
      </c>
      <c r="E1379" s="4">
        <v>25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8">C1379+1</f>
        <v>40107</v>
      </c>
    </row>
    <row r="1380" spans="1:21" ht="12" customHeight="1">
      <c r="A1380" s="4">
        <v>5183</v>
      </c>
      <c r="B1380" s="4">
        <v>36835</v>
      </c>
      <c r="C1380" s="5">
        <f t="shared" si="577"/>
        <v>40106</v>
      </c>
      <c r="D1380" s="4" t="s">
        <v>78</v>
      </c>
      <c r="E1380" s="4">
        <v>18</v>
      </c>
      <c r="F1380" s="4">
        <v>1175.53</v>
      </c>
      <c r="G1380" s="4">
        <v>0.03</v>
      </c>
      <c r="H1380" s="4" t="s">
        <v>22</v>
      </c>
      <c r="I1380" s="6">
        <v>257.58999999999997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8"/>
        <v>40107</v>
      </c>
    </row>
    <row r="1381" spans="1:21" ht="12" customHeight="1">
      <c r="A1381" s="4">
        <v>5316</v>
      </c>
      <c r="B1381" s="4">
        <v>37825</v>
      </c>
      <c r="C1381" s="5">
        <f t="shared" ref="C1381:C1382" si="579">DATE(2012,12,31)-1258</f>
        <v>40016</v>
      </c>
      <c r="D1381" s="4" t="s">
        <v>21</v>
      </c>
      <c r="E1381" s="4">
        <v>44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4.9800000000000004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0.57999999999999996</v>
      </c>
      <c r="U1381" s="5">
        <f>C1381+2</f>
        <v>40018</v>
      </c>
    </row>
    <row r="1382" spans="1:21" ht="12" customHeight="1">
      <c r="A1382" s="4">
        <v>5317</v>
      </c>
      <c r="B1382" s="4">
        <v>37825</v>
      </c>
      <c r="C1382" s="5">
        <f t="shared" si="579"/>
        <v>40016</v>
      </c>
      <c r="D1382" s="4" t="s">
        <v>21</v>
      </c>
      <c r="E1382" s="4">
        <v>41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spans="1:21" ht="12" customHeight="1">
      <c r="A1383" s="4">
        <v>5342</v>
      </c>
      <c r="B1383" s="4">
        <v>37926</v>
      </c>
      <c r="C1383" s="5">
        <f>DATE(2012,12,31)-1210</f>
        <v>40064</v>
      </c>
      <c r="D1383" s="4" t="s">
        <v>78</v>
      </c>
      <c r="E1383" s="4">
        <v>31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0.55000000000000004</v>
      </c>
      <c r="U1383" s="5">
        <f t="shared" ref="U1383:U1384" si="580">C1383+2</f>
        <v>40066</v>
      </c>
    </row>
    <row r="1384" spans="1:21" ht="12" customHeight="1">
      <c r="A1384" s="4">
        <v>5495</v>
      </c>
      <c r="B1384" s="4">
        <v>38978</v>
      </c>
      <c r="C1384" s="5">
        <f>DATE(2012,12,31)-1246</f>
        <v>40028</v>
      </c>
      <c r="D1384" s="4" t="s">
        <v>21</v>
      </c>
      <c r="E1384" s="4">
        <v>24</v>
      </c>
      <c r="F1384" s="4">
        <v>4547.26</v>
      </c>
      <c r="G1384" s="4">
        <v>0</v>
      </c>
      <c r="H1384" s="4" t="s">
        <v>31</v>
      </c>
      <c r="I1384" s="6">
        <v>468.27</v>
      </c>
      <c r="J1384" s="4">
        <v>180.98</v>
      </c>
      <c r="K1384" s="4">
        <v>30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0"/>
        <v>40030</v>
      </c>
    </row>
    <row r="1385" spans="1:21" ht="12" customHeight="1">
      <c r="A1385" s="4">
        <v>5765</v>
      </c>
      <c r="B1385" s="4">
        <v>40928</v>
      </c>
      <c r="C1385" s="5">
        <f>DATE(2012,12,31)-1206</f>
        <v>40068</v>
      </c>
      <c r="D1385" s="4" t="s">
        <v>21</v>
      </c>
      <c r="E1385" s="4">
        <v>4</v>
      </c>
      <c r="F1385" s="4">
        <v>292.34050000000002</v>
      </c>
      <c r="G1385" s="4">
        <v>0.01</v>
      </c>
      <c r="H1385" s="4" t="s">
        <v>22</v>
      </c>
      <c r="I1385" s="6">
        <v>-420.58499999999998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spans="1:21" ht="12" customHeight="1">
      <c r="A1386" s="4">
        <v>5812</v>
      </c>
      <c r="B1386" s="4">
        <v>41216</v>
      </c>
      <c r="C1386" s="5">
        <f t="shared" ref="C1386:C1387" si="581">DATE(2012,12,31)-1279</f>
        <v>39995</v>
      </c>
      <c r="D1386" s="4" t="s">
        <v>45</v>
      </c>
      <c r="E1386" s="4">
        <v>8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spans="1:21" ht="12" customHeight="1">
      <c r="A1387" s="4">
        <v>5813</v>
      </c>
      <c r="B1387" s="4">
        <v>41216</v>
      </c>
      <c r="C1387" s="5">
        <f t="shared" si="581"/>
        <v>39995</v>
      </c>
      <c r="D1387" s="4" t="s">
        <v>45</v>
      </c>
      <c r="E1387" s="4">
        <v>45</v>
      </c>
      <c r="F1387" s="4">
        <v>6865.0720000000001</v>
      </c>
      <c r="G1387" s="4">
        <v>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spans="1:21" ht="12" customHeight="1">
      <c r="A1388" s="4">
        <v>5966</v>
      </c>
      <c r="B1388" s="4">
        <v>42310</v>
      </c>
      <c r="C1388" s="5">
        <f>DATE(2012,12,31)-1259</f>
        <v>40015</v>
      </c>
      <c r="D1388" s="4" t="s">
        <v>78</v>
      </c>
      <c r="E1388" s="4">
        <v>20</v>
      </c>
      <c r="F1388" s="4">
        <v>3361.7584999999999</v>
      </c>
      <c r="G1388" s="4">
        <v>0.04</v>
      </c>
      <c r="H1388" s="4" t="s">
        <v>22</v>
      </c>
      <c r="I1388" s="6">
        <v>394.35300000000001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0.56000000000000005</v>
      </c>
      <c r="U1388" s="5">
        <f t="shared" ref="U1388:U1392" si="582">C1388+1</f>
        <v>40016</v>
      </c>
    </row>
    <row r="1389" spans="1:21" ht="12" customHeight="1">
      <c r="A1389" s="4">
        <v>5983</v>
      </c>
      <c r="B1389" s="4">
        <v>42403</v>
      </c>
      <c r="C1389" s="5">
        <f t="shared" ref="C1389:C1390" si="583">DATE(2012,12,31)-1290</f>
        <v>39984</v>
      </c>
      <c r="D1389" s="4" t="s">
        <v>45</v>
      </c>
      <c r="E1389" s="4">
        <v>38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2"/>
        <v>39985</v>
      </c>
    </row>
    <row r="1390" spans="1:21" ht="12" customHeight="1">
      <c r="A1390" s="4">
        <v>5984</v>
      </c>
      <c r="B1390" s="4">
        <v>42403</v>
      </c>
      <c r="C1390" s="5">
        <f t="shared" si="583"/>
        <v>39984</v>
      </c>
      <c r="D1390" s="4" t="s">
        <v>45</v>
      </c>
      <c r="E1390" s="4">
        <v>47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2"/>
        <v>39985</v>
      </c>
    </row>
    <row r="1391" spans="1:21" ht="12" customHeight="1">
      <c r="A1391" s="4">
        <v>6098</v>
      </c>
      <c r="B1391" s="4">
        <v>43206</v>
      </c>
      <c r="C1391" s="5">
        <f>DATE(2012,12,31)-1226</f>
        <v>40048</v>
      </c>
      <c r="D1391" s="4" t="s">
        <v>63</v>
      </c>
      <c r="E1391" s="4">
        <v>16</v>
      </c>
      <c r="F1391" s="4">
        <v>587.88</v>
      </c>
      <c r="G1391" s="4">
        <v>0</v>
      </c>
      <c r="H1391" s="4" t="s">
        <v>56</v>
      </c>
      <c r="I1391" s="6">
        <v>135.37</v>
      </c>
      <c r="J1391" s="4">
        <v>35.409999999999997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2"/>
        <v>40049</v>
      </c>
    </row>
    <row r="1392" spans="1:21" ht="12" customHeight="1">
      <c r="A1392" s="4">
        <v>6160</v>
      </c>
      <c r="B1392" s="4">
        <v>43650</v>
      </c>
      <c r="C1392" s="5">
        <f t="shared" ref="C1392:C1393" si="584">DATE(2012,12,31)-1379</f>
        <v>39895</v>
      </c>
      <c r="D1392" s="4" t="s">
        <v>45</v>
      </c>
      <c r="E1392" s="4">
        <v>3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2"/>
        <v>39896</v>
      </c>
    </row>
    <row r="1393" spans="1:21" ht="12" customHeight="1">
      <c r="A1393" s="4">
        <v>6161</v>
      </c>
      <c r="B1393" s="4">
        <v>43650</v>
      </c>
      <c r="C1393" s="5">
        <f t="shared" si="584"/>
        <v>39895</v>
      </c>
      <c r="D1393" s="4" t="s">
        <v>45</v>
      </c>
      <c r="E1393" s="4">
        <v>7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spans="1:21" ht="12" customHeight="1">
      <c r="A1394" s="4">
        <v>6476</v>
      </c>
      <c r="B1394" s="4">
        <v>46113</v>
      </c>
      <c r="C1394" s="5">
        <f>DATE(2012,12,31)-1125</f>
        <v>40149</v>
      </c>
      <c r="D1394" s="4" t="s">
        <v>45</v>
      </c>
      <c r="E1394" s="4">
        <v>18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136.97999999999999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spans="1:21" ht="12" customHeight="1">
      <c r="A1395" s="4">
        <v>6757</v>
      </c>
      <c r="B1395" s="4">
        <v>48135</v>
      </c>
      <c r="C1395" s="5">
        <f>DATE(2012,12,31)-1352</f>
        <v>39922</v>
      </c>
      <c r="D1395" s="4" t="s">
        <v>30</v>
      </c>
      <c r="E1395" s="4">
        <v>40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17.670000000000002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spans="1:21" ht="12" customHeight="1">
      <c r="A1396" s="4">
        <v>6954</v>
      </c>
      <c r="B1396" s="4">
        <v>49735</v>
      </c>
      <c r="C1396" s="5">
        <f>DATE(2012,12,31)-1195</f>
        <v>40079</v>
      </c>
      <c r="D1396" s="4" t="s">
        <v>45</v>
      </c>
      <c r="E1396" s="4">
        <v>32</v>
      </c>
      <c r="F1396" s="4">
        <v>1929.19</v>
      </c>
      <c r="G1396" s="4">
        <v>0.04</v>
      </c>
      <c r="H1396" s="4" t="s">
        <v>22</v>
      </c>
      <c r="I1396" s="6">
        <v>570.66999999999996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0.56000000000000005</v>
      </c>
      <c r="U1396" s="5">
        <f>C1396+1</f>
        <v>40080</v>
      </c>
    </row>
    <row r="1397" spans="1:21" ht="12" customHeight="1">
      <c r="A1397" s="4">
        <v>7078</v>
      </c>
      <c r="B1397" s="4">
        <v>50501</v>
      </c>
      <c r="C1397" s="5">
        <f>DATE(2012,12,31)-1312</f>
        <v>39962</v>
      </c>
      <c r="D1397" s="4" t="s">
        <v>30</v>
      </c>
      <c r="E1397" s="4">
        <v>31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spans="1:21" ht="12" customHeight="1">
      <c r="A1398" s="4">
        <v>7841</v>
      </c>
      <c r="B1398" s="4">
        <v>56064</v>
      </c>
      <c r="C1398" s="5">
        <f>DATE(2012,12,31)-1159</f>
        <v>40115</v>
      </c>
      <c r="D1398" s="4" t="s">
        <v>63</v>
      </c>
      <c r="E1398" s="4">
        <v>41</v>
      </c>
      <c r="F1398" s="4">
        <v>1169.26</v>
      </c>
      <c r="G1398" s="4">
        <v>0.02</v>
      </c>
      <c r="H1398" s="4" t="s">
        <v>22</v>
      </c>
      <c r="I1398" s="6">
        <v>515.61850000000004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spans="1:21" ht="12" customHeight="1">
      <c r="A1399" s="4">
        <v>8131</v>
      </c>
      <c r="B1399" s="4">
        <v>58116</v>
      </c>
      <c r="C1399" s="5">
        <f>DATE(2012,12,31)-1374</f>
        <v>39900</v>
      </c>
      <c r="D1399" s="4" t="s">
        <v>78</v>
      </c>
      <c r="E1399" s="4">
        <v>6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spans="1:21" ht="12" customHeight="1">
      <c r="A1400" s="4">
        <v>8157</v>
      </c>
      <c r="B1400" s="4">
        <v>58339</v>
      </c>
      <c r="C1400" s="5">
        <f t="shared" ref="C1400:C1401" si="585">DATE(2012,12,31)-1297</f>
        <v>39977</v>
      </c>
      <c r="D1400" s="4" t="s">
        <v>30</v>
      </c>
      <c r="E1400" s="4">
        <v>9</v>
      </c>
      <c r="F1400" s="4">
        <v>1608.87</v>
      </c>
      <c r="G1400" s="4">
        <v>7.0000000000000007E-2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0.56000000000000005</v>
      </c>
      <c r="U1400" s="5">
        <f>C1400+0</f>
        <v>39977</v>
      </c>
    </row>
    <row r="1401" spans="1:21" ht="12" customHeight="1">
      <c r="A1401" s="4">
        <v>8158</v>
      </c>
      <c r="B1401" s="4">
        <v>58339</v>
      </c>
      <c r="C1401" s="5">
        <f t="shared" si="585"/>
        <v>39977</v>
      </c>
      <c r="D1401" s="4" t="s">
        <v>30</v>
      </c>
      <c r="E1401" s="4">
        <v>11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6">C1401+1</f>
        <v>39978</v>
      </c>
    </row>
    <row r="1402" spans="1:21" ht="12" customHeight="1">
      <c r="A1402" s="4">
        <v>87</v>
      </c>
      <c r="B1402" s="4">
        <v>548</v>
      </c>
      <c r="C1402" s="5">
        <f t="shared" ref="C1402:C1404" si="587">DATE(2012,12,31)-1198</f>
        <v>40076</v>
      </c>
      <c r="D1402" s="4" t="s">
        <v>78</v>
      </c>
      <c r="E1402" s="4">
        <v>41</v>
      </c>
      <c r="F1402" s="4">
        <v>129.49</v>
      </c>
      <c r="G1402" s="4">
        <v>0.04</v>
      </c>
      <c r="H1402" s="4" t="s">
        <v>22</v>
      </c>
      <c r="I1402" s="6">
        <v>36.020000000000003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6"/>
        <v>40077</v>
      </c>
    </row>
    <row r="1403" spans="1:21" ht="12" customHeight="1">
      <c r="A1403" s="4">
        <v>88</v>
      </c>
      <c r="B1403" s="4">
        <v>548</v>
      </c>
      <c r="C1403" s="5">
        <f t="shared" si="587"/>
        <v>40076</v>
      </c>
      <c r="D1403" s="4" t="s">
        <v>78</v>
      </c>
      <c r="E1403" s="4">
        <v>29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6"/>
        <v>40077</v>
      </c>
    </row>
    <row r="1404" spans="1:21" ht="12" customHeight="1">
      <c r="A1404" s="4">
        <v>89</v>
      </c>
      <c r="B1404" s="4">
        <v>548</v>
      </c>
      <c r="C1404" s="5">
        <f t="shared" si="587"/>
        <v>40076</v>
      </c>
      <c r="D1404" s="4" t="s">
        <v>78</v>
      </c>
      <c r="E1404" s="4">
        <v>26</v>
      </c>
      <c r="F1404" s="4">
        <v>2753.1925000000001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8">C1404+2</f>
        <v>40078</v>
      </c>
    </row>
    <row r="1405" spans="1:21" ht="12" customHeight="1">
      <c r="A1405" s="4">
        <v>303</v>
      </c>
      <c r="B1405" s="4">
        <v>2086</v>
      </c>
      <c r="C1405" s="5">
        <f t="shared" ref="C1405:C1407" si="589">DATE(2012,12,31)-1170</f>
        <v>40104</v>
      </c>
      <c r="D1405" s="4" t="s">
        <v>78</v>
      </c>
      <c r="E1405" s="4">
        <v>24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4.8600000000000003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8"/>
        <v>40106</v>
      </c>
    </row>
    <row r="1406" spans="1:21" ht="12" customHeight="1">
      <c r="A1406" s="4">
        <v>304</v>
      </c>
      <c r="B1406" s="4">
        <v>2086</v>
      </c>
      <c r="C1406" s="5">
        <f t="shared" si="589"/>
        <v>40104</v>
      </c>
      <c r="D1406" s="4" t="s">
        <v>78</v>
      </c>
      <c r="E1406" s="4">
        <v>38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65.989999999999995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0.56000000000000005</v>
      </c>
      <c r="U1406" s="5">
        <f>C1406+1</f>
        <v>40105</v>
      </c>
    </row>
    <row r="1407" spans="1:21" ht="12" customHeight="1">
      <c r="A1407" s="4">
        <v>305</v>
      </c>
      <c r="B1407" s="4">
        <v>2086</v>
      </c>
      <c r="C1407" s="5">
        <f t="shared" si="589"/>
        <v>40104</v>
      </c>
      <c r="D1407" s="4" t="s">
        <v>78</v>
      </c>
      <c r="E1407" s="4">
        <v>9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spans="1:21" ht="12" customHeight="1">
      <c r="A1408" s="4">
        <v>1052</v>
      </c>
      <c r="B1408" s="4">
        <v>7776</v>
      </c>
      <c r="C1408" s="5">
        <f t="shared" ref="C1408:C1409" si="590">DATE(2012,12,31)-1388</f>
        <v>39886</v>
      </c>
      <c r="D1408" s="4" t="s">
        <v>63</v>
      </c>
      <c r="E1408" s="4">
        <v>36</v>
      </c>
      <c r="F1408" s="4">
        <v>7223.59</v>
      </c>
      <c r="G1408" s="4">
        <v>7.0000000000000007E-2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0.57999999999999996</v>
      </c>
      <c r="U1408" s="5">
        <f>C1408+1</f>
        <v>39887</v>
      </c>
    </row>
    <row r="1409" spans="1:21" ht="12" customHeight="1">
      <c r="A1409" s="4">
        <v>1053</v>
      </c>
      <c r="B1409" s="4">
        <v>7776</v>
      </c>
      <c r="C1409" s="5">
        <f t="shared" si="590"/>
        <v>39886</v>
      </c>
      <c r="D1409" s="4" t="s">
        <v>63</v>
      </c>
      <c r="E1409" s="4">
        <v>6</v>
      </c>
      <c r="F1409" s="4">
        <v>934.21600000000001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spans="1:21" ht="12" customHeight="1">
      <c r="A1410" s="4">
        <v>2639</v>
      </c>
      <c r="B1410" s="4">
        <v>19105</v>
      </c>
      <c r="C1410" s="5">
        <f t="shared" ref="C1410:C1411" si="591">DATE(2012,12,31)-1160</f>
        <v>40114</v>
      </c>
      <c r="D1410" s="4" t="s">
        <v>30</v>
      </c>
      <c r="E1410" s="4">
        <v>31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spans="1:21" ht="12" customHeight="1">
      <c r="A1411" s="4">
        <v>2640</v>
      </c>
      <c r="B1411" s="4">
        <v>19105</v>
      </c>
      <c r="C1411" s="5">
        <f t="shared" si="591"/>
        <v>40114</v>
      </c>
      <c r="D1411" s="4" t="s">
        <v>30</v>
      </c>
      <c r="E1411" s="4">
        <v>29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spans="1:21" ht="12" customHeight="1">
      <c r="A1412" s="4">
        <v>2775</v>
      </c>
      <c r="B1412" s="4">
        <v>20037</v>
      </c>
      <c r="C1412" s="5">
        <f t="shared" ref="C1412:C1413" si="592">DATE(2012,12,31)-1451</f>
        <v>39823</v>
      </c>
      <c r="D1412" s="4" t="s">
        <v>21</v>
      </c>
      <c r="E1412" s="4">
        <v>35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8.5500000000000007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3">C1412+5</f>
        <v>39828</v>
      </c>
    </row>
    <row r="1413" spans="1:21" ht="12" customHeight="1">
      <c r="A1413" s="4">
        <v>2776</v>
      </c>
      <c r="B1413" s="4">
        <v>20037</v>
      </c>
      <c r="C1413" s="5">
        <f t="shared" si="592"/>
        <v>39823</v>
      </c>
      <c r="D1413" s="4" t="s">
        <v>21</v>
      </c>
      <c r="E1413" s="4">
        <v>49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0.56999999999999995</v>
      </c>
      <c r="U1413" s="5">
        <f t="shared" si="593"/>
        <v>39828</v>
      </c>
    </row>
    <row r="1414" spans="1:21" ht="12" customHeight="1">
      <c r="A1414" s="4">
        <v>2855</v>
      </c>
      <c r="B1414" s="4">
        <v>20549</v>
      </c>
      <c r="C1414" s="5">
        <f>DATE(2012,12,31)-1449</f>
        <v>39825</v>
      </c>
      <c r="D1414" s="4" t="s">
        <v>45</v>
      </c>
      <c r="E1414" s="4">
        <v>40</v>
      </c>
      <c r="F1414" s="4">
        <v>1030.0899999999999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19.989999999999998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spans="1:21" ht="12" customHeight="1">
      <c r="A1415" s="4">
        <v>3345</v>
      </c>
      <c r="B1415" s="4">
        <v>23936</v>
      </c>
      <c r="C1415" s="5">
        <f>DATE(2012,12,31)-1110</f>
        <v>40164</v>
      </c>
      <c r="D1415" s="4" t="s">
        <v>63</v>
      </c>
      <c r="E1415" s="4">
        <v>27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0.57999999999999996</v>
      </c>
      <c r="U1415" s="5">
        <f>C1415+2</f>
        <v>40166</v>
      </c>
    </row>
    <row r="1416" spans="1:21" ht="12" customHeight="1">
      <c r="A1416" s="4">
        <v>3627</v>
      </c>
      <c r="B1416" s="4">
        <v>25926</v>
      </c>
      <c r="C1416" s="5">
        <f t="shared" ref="C1416:C1417" si="594">DATE(2012,12,31)-1137</f>
        <v>40137</v>
      </c>
      <c r="D1416" s="4" t="s">
        <v>30</v>
      </c>
      <c r="E1416" s="4">
        <v>20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spans="1:21" ht="12" customHeight="1">
      <c r="A1417" s="4">
        <v>3628</v>
      </c>
      <c r="B1417" s="4">
        <v>25926</v>
      </c>
      <c r="C1417" s="5">
        <f t="shared" si="594"/>
        <v>40137</v>
      </c>
      <c r="D1417" s="4" t="s">
        <v>30</v>
      </c>
      <c r="E1417" s="4">
        <v>23</v>
      </c>
      <c r="F1417" s="4">
        <v>331.54</v>
      </c>
      <c r="G1417" s="4">
        <v>0.05</v>
      </c>
      <c r="H1417" s="4" t="s">
        <v>22</v>
      </c>
      <c r="I1417" s="6">
        <v>9.4094999999999995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5">C1417+2</f>
        <v>40139</v>
      </c>
    </row>
    <row r="1418" spans="1:21" ht="12" customHeight="1">
      <c r="A1418" s="4">
        <v>3901</v>
      </c>
      <c r="B1418" s="4">
        <v>27813</v>
      </c>
      <c r="C1418" s="5">
        <f>DATE(2012,12,31)-1449</f>
        <v>39825</v>
      </c>
      <c r="D1418" s="4" t="s">
        <v>63</v>
      </c>
      <c r="E1418" s="4">
        <v>10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5"/>
        <v>39827</v>
      </c>
    </row>
    <row r="1419" spans="1:21" ht="12" customHeight="1">
      <c r="A1419" s="4">
        <v>3958</v>
      </c>
      <c r="B1419" s="4">
        <v>28256</v>
      </c>
      <c r="C1419" s="5">
        <f>DATE(2012,12,31)-1407</f>
        <v>39867</v>
      </c>
      <c r="D1419" s="4" t="s">
        <v>30</v>
      </c>
      <c r="E1419" s="4">
        <v>19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spans="1:21" ht="12" customHeight="1">
      <c r="A1420" s="4">
        <v>4288</v>
      </c>
      <c r="B1420" s="4">
        <v>30564</v>
      </c>
      <c r="C1420" s="5">
        <f>DATE(2012,12,31)-1404</f>
        <v>39870</v>
      </c>
      <c r="D1420" s="4" t="s">
        <v>78</v>
      </c>
      <c r="E1420" s="4">
        <v>20</v>
      </c>
      <c r="F1420" s="4">
        <v>606.39850000000001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spans="1:21" ht="12" customHeight="1">
      <c r="A1421" s="4">
        <v>5629</v>
      </c>
      <c r="B1421" s="4">
        <v>39846</v>
      </c>
      <c r="C1421" s="5">
        <f>DATE(2012,12,31)-1403</f>
        <v>39871</v>
      </c>
      <c r="D1421" s="4" t="s">
        <v>21</v>
      </c>
      <c r="E1421" s="4">
        <v>10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130.97999999999999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spans="1:21" ht="12" customHeight="1">
      <c r="A1422" s="4">
        <v>5722</v>
      </c>
      <c r="B1422" s="4">
        <v>40547</v>
      </c>
      <c r="C1422" s="5">
        <f>DATE(2012,12,31)-1271</f>
        <v>40003</v>
      </c>
      <c r="D1422" s="4" t="s">
        <v>78</v>
      </c>
      <c r="E1422" s="4">
        <v>45</v>
      </c>
      <c r="F1422" s="4">
        <v>6944.0920000000006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0.56999999999999995</v>
      </c>
      <c r="U1422" s="5">
        <f>C1422+2</f>
        <v>40005</v>
      </c>
    </row>
    <row r="1423" spans="1:21" ht="12" customHeight="1">
      <c r="A1423" s="4">
        <v>6939</v>
      </c>
      <c r="B1423" s="4">
        <v>49511</v>
      </c>
      <c r="C1423" s="5">
        <f>DATE(2012,12,31)-1351</f>
        <v>39923</v>
      </c>
      <c r="D1423" s="4" t="s">
        <v>30</v>
      </c>
      <c r="E1423" s="4">
        <v>35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spans="1:21" ht="12" customHeight="1">
      <c r="A1424" s="4">
        <v>7440</v>
      </c>
      <c r="B1424" s="4">
        <v>53029</v>
      </c>
      <c r="C1424" s="5">
        <f>DATE(2012,12,31)-1253</f>
        <v>40021</v>
      </c>
      <c r="D1424" s="4" t="s">
        <v>21</v>
      </c>
      <c r="E1424" s="4">
        <v>39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spans="1:21" ht="12" customHeight="1">
      <c r="A1425" s="4">
        <v>7903</v>
      </c>
      <c r="B1425" s="4">
        <v>56516</v>
      </c>
      <c r="C1425" s="5">
        <f t="shared" ref="C1425:C1426" si="596">DATE(2012,12,31)-1246</f>
        <v>40028</v>
      </c>
      <c r="D1425" s="4" t="s">
        <v>63</v>
      </c>
      <c r="E1425" s="4">
        <v>6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spans="1:21" ht="12" customHeight="1">
      <c r="A1426" s="4">
        <v>7904</v>
      </c>
      <c r="B1426" s="4">
        <v>56516</v>
      </c>
      <c r="C1426" s="5">
        <f t="shared" si="596"/>
        <v>40028</v>
      </c>
      <c r="D1426" s="4" t="s">
        <v>63</v>
      </c>
      <c r="E1426" s="4">
        <v>24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7">C1426+2</f>
        <v>40030</v>
      </c>
    </row>
    <row r="1427" spans="1:21" ht="12" customHeight="1">
      <c r="A1427" s="4">
        <v>8331</v>
      </c>
      <c r="B1427" s="4">
        <v>59556</v>
      </c>
      <c r="C1427" s="5">
        <f t="shared" ref="C1427:C1428" si="598">DATE(2012,12,31)-1112</f>
        <v>40162</v>
      </c>
      <c r="D1427" s="4" t="s">
        <v>45</v>
      </c>
      <c r="E1427" s="4">
        <v>27</v>
      </c>
      <c r="F1427" s="4">
        <v>43.46</v>
      </c>
      <c r="G1427" s="4">
        <v>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7"/>
        <v>40164</v>
      </c>
    </row>
    <row r="1428" spans="1:21" ht="12" customHeight="1">
      <c r="A1428" s="4">
        <v>8332</v>
      </c>
      <c r="B1428" s="4">
        <v>59556</v>
      </c>
      <c r="C1428" s="5">
        <f t="shared" si="598"/>
        <v>40162</v>
      </c>
      <c r="D1428" s="4" t="s">
        <v>45</v>
      </c>
      <c r="E1428" s="4">
        <v>5</v>
      </c>
      <c r="F1428" s="4">
        <v>927.98749999999995</v>
      </c>
      <c r="G1428" s="4">
        <v>0</v>
      </c>
      <c r="H1428" s="4" t="s">
        <v>22</v>
      </c>
      <c r="I1428" s="6">
        <v>-615.91199999999992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0.56000000000000005</v>
      </c>
      <c r="U1428" s="5">
        <f>C1428+1</f>
        <v>40163</v>
      </c>
    </row>
    <row r="1429" spans="1:21" ht="12" customHeight="1">
      <c r="A1429" s="4">
        <v>8364</v>
      </c>
      <c r="B1429" s="4">
        <v>59779</v>
      </c>
      <c r="C1429" s="5">
        <f>DATE(2012,12,31)-1324</f>
        <v>39950</v>
      </c>
      <c r="D1429" s="4" t="s">
        <v>21</v>
      </c>
      <c r="E1429" s="4">
        <v>30</v>
      </c>
      <c r="F1429" s="4">
        <v>3575.23</v>
      </c>
      <c r="G1429" s="4">
        <v>0.04</v>
      </c>
      <c r="H1429" s="4" t="s">
        <v>31</v>
      </c>
      <c r="I1429" s="6">
        <v>87.879999999999953</v>
      </c>
      <c r="J1429" s="4">
        <v>113.98</v>
      </c>
      <c r="K1429" s="4">
        <v>30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spans="1:21" ht="12" customHeight="1">
      <c r="A1430" s="4">
        <v>265</v>
      </c>
      <c r="B1430" s="4">
        <v>1829</v>
      </c>
      <c r="C1430" s="5">
        <f>DATE(2012,12,31)-1334</f>
        <v>39940</v>
      </c>
      <c r="D1430" s="4" t="s">
        <v>30</v>
      </c>
      <c r="E1430" s="4">
        <v>48</v>
      </c>
      <c r="F1430" s="4">
        <v>133.04</v>
      </c>
      <c r="G1430" s="4">
        <v>7.0000000000000007E-2</v>
      </c>
      <c r="H1430" s="4" t="s">
        <v>22</v>
      </c>
      <c r="I1430" s="6">
        <v>6.7320000000000002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spans="1:21" ht="12" customHeight="1">
      <c r="A1431" s="4">
        <v>866</v>
      </c>
      <c r="B1431" s="4">
        <v>6211</v>
      </c>
      <c r="C1431" s="5">
        <f t="shared" ref="C1431:C1432" si="599">DATE(2012,12,31)-1134</f>
        <v>40140</v>
      </c>
      <c r="D1431" s="4" t="s">
        <v>78</v>
      </c>
      <c r="E1431" s="4">
        <v>28</v>
      </c>
      <c r="F1431" s="4">
        <v>67.72</v>
      </c>
      <c r="G1431" s="4">
        <v>0.01</v>
      </c>
      <c r="H1431" s="4" t="s">
        <v>22</v>
      </c>
      <c r="I1431" s="6">
        <v>-142.66900000000001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0">C1431+2</f>
        <v>40142</v>
      </c>
    </row>
    <row r="1432" spans="1:21" ht="12" customHeight="1">
      <c r="A1432" s="4">
        <v>867</v>
      </c>
      <c r="B1432" s="4">
        <v>6211</v>
      </c>
      <c r="C1432" s="5">
        <f t="shared" si="599"/>
        <v>40140</v>
      </c>
      <c r="D1432" s="4" t="s">
        <v>78</v>
      </c>
      <c r="E1432" s="4">
        <v>3</v>
      </c>
      <c r="F1432" s="4">
        <v>68.64</v>
      </c>
      <c r="G1432" s="4">
        <v>7.0000000000000007E-2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0"/>
        <v>40142</v>
      </c>
    </row>
    <row r="1433" spans="1:21" ht="12" customHeight="1">
      <c r="A1433" s="4">
        <v>1315</v>
      </c>
      <c r="B1433" s="4">
        <v>9637</v>
      </c>
      <c r="C1433" s="5">
        <f t="shared" ref="C1433:C1435" si="601">DATE(2012,12,31)-1458</f>
        <v>39816</v>
      </c>
      <c r="D1433" s="4" t="s">
        <v>21</v>
      </c>
      <c r="E1433" s="4">
        <v>12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0"/>
        <v>39818</v>
      </c>
    </row>
    <row r="1434" spans="1:21" ht="12" customHeight="1">
      <c r="A1434" s="4">
        <v>1316</v>
      </c>
      <c r="B1434" s="4">
        <v>9637</v>
      </c>
      <c r="C1434" s="5">
        <f t="shared" si="601"/>
        <v>39816</v>
      </c>
      <c r="D1434" s="4" t="s">
        <v>21</v>
      </c>
      <c r="E1434" s="4">
        <v>49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spans="1:21" ht="12" customHeight="1">
      <c r="A1435" s="4">
        <v>1317</v>
      </c>
      <c r="B1435" s="4">
        <v>9637</v>
      </c>
      <c r="C1435" s="5">
        <f t="shared" si="601"/>
        <v>39816</v>
      </c>
      <c r="D1435" s="4" t="s">
        <v>21</v>
      </c>
      <c r="E1435" s="4">
        <v>12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spans="1:21" ht="12" customHeight="1">
      <c r="A1436" s="4">
        <v>3120</v>
      </c>
      <c r="B1436" s="4">
        <v>22407</v>
      </c>
      <c r="C1436" s="5">
        <f t="shared" ref="C1436:C1438" si="602">DATE(2012,12,31)-1140</f>
        <v>40134</v>
      </c>
      <c r="D1436" s="4" t="s">
        <v>45</v>
      </c>
      <c r="E1436" s="4">
        <v>20</v>
      </c>
      <c r="F1436" s="4">
        <v>676.44</v>
      </c>
      <c r="G1436" s="4">
        <v>7.0000000000000007E-2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spans="1:21" ht="12" customHeight="1">
      <c r="A1437" s="4">
        <v>3121</v>
      </c>
      <c r="B1437" s="4">
        <v>22407</v>
      </c>
      <c r="C1437" s="5">
        <f t="shared" si="602"/>
        <v>40134</v>
      </c>
      <c r="D1437" s="4" t="s">
        <v>45</v>
      </c>
      <c r="E1437" s="4">
        <v>10</v>
      </c>
      <c r="F1437" s="4">
        <v>128.02000000000001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spans="1:21" ht="12" customHeight="1">
      <c r="A1438" s="4">
        <v>3122</v>
      </c>
      <c r="B1438" s="4">
        <v>22407</v>
      </c>
      <c r="C1438" s="5">
        <f t="shared" si="602"/>
        <v>40134</v>
      </c>
      <c r="D1438" s="4" t="s">
        <v>45</v>
      </c>
      <c r="E1438" s="4">
        <v>15</v>
      </c>
      <c r="F1438" s="4">
        <v>526.82000000000005</v>
      </c>
      <c r="G1438" s="4">
        <v>0.06</v>
      </c>
      <c r="H1438" s="4" t="s">
        <v>56</v>
      </c>
      <c r="I1438" s="6">
        <v>32.340000000000003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0.56000000000000005</v>
      </c>
      <c r="U1438" s="5">
        <f>C1438+2</f>
        <v>40136</v>
      </c>
    </row>
    <row r="1439" spans="1:21" ht="12" customHeight="1">
      <c r="A1439" s="4">
        <v>3586</v>
      </c>
      <c r="B1439" s="4">
        <v>25574</v>
      </c>
      <c r="C1439" s="5">
        <f t="shared" ref="C1439:C1440" si="603">DATE(2012,12,31)-1390</f>
        <v>39884</v>
      </c>
      <c r="D1439" s="4" t="s">
        <v>45</v>
      </c>
      <c r="E1439" s="4">
        <v>46</v>
      </c>
      <c r="F1439" s="4">
        <v>5074.07</v>
      </c>
      <c r="G1439" s="4">
        <v>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spans="1:21" ht="12" customHeight="1">
      <c r="A1440" s="4">
        <v>3587</v>
      </c>
      <c r="B1440" s="4">
        <v>25574</v>
      </c>
      <c r="C1440" s="5">
        <f t="shared" si="603"/>
        <v>39884</v>
      </c>
      <c r="D1440" s="4" t="s">
        <v>45</v>
      </c>
      <c r="E1440" s="4">
        <v>31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spans="1:21" ht="12" customHeight="1">
      <c r="A1441" s="4">
        <v>5069</v>
      </c>
      <c r="B1441" s="4">
        <v>36131</v>
      </c>
      <c r="C1441" s="5">
        <f t="shared" ref="C1441:C1442" si="604">DATE(2012,12,31)-1324</f>
        <v>39950</v>
      </c>
      <c r="D1441" s="4" t="s">
        <v>30</v>
      </c>
      <c r="E1441" s="4">
        <v>43</v>
      </c>
      <c r="F1441" s="4">
        <v>354.96</v>
      </c>
      <c r="G1441" s="4">
        <v>7.0000000000000007E-2</v>
      </c>
      <c r="H1441" s="4" t="s">
        <v>22</v>
      </c>
      <c r="I1441" s="6">
        <v>151.27000000000001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spans="1:21" ht="12" customHeight="1">
      <c r="A1442" s="4">
        <v>5070</v>
      </c>
      <c r="B1442" s="4">
        <v>36131</v>
      </c>
      <c r="C1442" s="5">
        <f t="shared" si="604"/>
        <v>39950</v>
      </c>
      <c r="D1442" s="4" t="s">
        <v>30</v>
      </c>
      <c r="E1442" s="4">
        <v>26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4.9800000000000004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spans="1:21" ht="12" customHeight="1">
      <c r="A1443" s="4">
        <v>5203</v>
      </c>
      <c r="B1443" s="4">
        <v>36992</v>
      </c>
      <c r="C1443" s="5">
        <f>DATE(2012,12,31)-1120</f>
        <v>40154</v>
      </c>
      <c r="D1443" s="4" t="s">
        <v>63</v>
      </c>
      <c r="E1443" s="4">
        <v>34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spans="1:21" ht="12" customHeight="1">
      <c r="A1444" s="4">
        <v>6457</v>
      </c>
      <c r="B1444" s="4">
        <v>45986</v>
      </c>
      <c r="C1444" s="5">
        <f>DATE(2012,12,31)-1102</f>
        <v>40172</v>
      </c>
      <c r="D1444" s="4" t="s">
        <v>21</v>
      </c>
      <c r="E1444" s="4">
        <v>20</v>
      </c>
      <c r="F1444" s="4">
        <v>71.069999999999993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spans="1:21" ht="12" customHeight="1">
      <c r="A1445" s="4">
        <v>6584</v>
      </c>
      <c r="B1445" s="4">
        <v>46881</v>
      </c>
      <c r="C1445" s="5">
        <f>DATE(2012,12,31)-1182</f>
        <v>40092</v>
      </c>
      <c r="D1445" s="4" t="s">
        <v>78</v>
      </c>
      <c r="E1445" s="4">
        <v>31</v>
      </c>
      <c r="F1445" s="4">
        <v>176.28</v>
      </c>
      <c r="G1445" s="4">
        <v>7.0000000000000007E-2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spans="1:21" ht="12" customHeight="1">
      <c r="A1446" s="4">
        <v>7473</v>
      </c>
      <c r="B1446" s="4">
        <v>53350</v>
      </c>
      <c r="C1446" s="5">
        <f>DATE(2012,12,31)-1296</f>
        <v>39978</v>
      </c>
      <c r="D1446" s="4" t="s">
        <v>45</v>
      </c>
      <c r="E1446" s="4">
        <v>24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19.989999999999998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spans="1:21" ht="12" customHeight="1">
      <c r="A1447" s="4">
        <v>7773</v>
      </c>
      <c r="B1447" s="4">
        <v>55648</v>
      </c>
      <c r="C1447" s="5">
        <f>DATE(2012,12,31)-1209</f>
        <v>40065</v>
      </c>
      <c r="D1447" s="4" t="s">
        <v>78</v>
      </c>
      <c r="E1447" s="4">
        <v>5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0.56000000000000005</v>
      </c>
      <c r="U1447" s="5">
        <f t="shared" ref="U1447:U1448" si="605">C1447+3</f>
        <v>40068</v>
      </c>
    </row>
    <row r="1448" spans="1:21" ht="12" customHeight="1">
      <c r="A1448" s="4">
        <v>7807</v>
      </c>
      <c r="B1448" s="4">
        <v>55847</v>
      </c>
      <c r="C1448" s="5">
        <f t="shared" ref="C1448:C1449" si="606">DATE(2012,12,31)-1260</f>
        <v>40014</v>
      </c>
      <c r="D1448" s="4" t="s">
        <v>45</v>
      </c>
      <c r="E1448" s="4">
        <v>21</v>
      </c>
      <c r="F1448" s="4">
        <v>133.15</v>
      </c>
      <c r="G1448" s="4">
        <v>0.05</v>
      </c>
      <c r="H1448" s="4" t="s">
        <v>22</v>
      </c>
      <c r="I1448" s="6">
        <v>-51.427999999999997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5"/>
        <v>40017</v>
      </c>
    </row>
    <row r="1449" spans="1:21" ht="12" customHeight="1">
      <c r="A1449" s="4">
        <v>7808</v>
      </c>
      <c r="B1449" s="4">
        <v>55847</v>
      </c>
      <c r="C1449" s="5">
        <f t="shared" si="606"/>
        <v>40014</v>
      </c>
      <c r="D1449" s="4" t="s">
        <v>45</v>
      </c>
      <c r="E1449" s="4">
        <v>45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spans="1:21" ht="12" customHeight="1">
      <c r="A1450" s="4">
        <v>7859</v>
      </c>
      <c r="B1450" s="4">
        <v>56197</v>
      </c>
      <c r="C1450" s="5">
        <f t="shared" ref="C1450:C1451" si="607">DATE(2012,12,31)-1330</f>
        <v>39944</v>
      </c>
      <c r="D1450" s="4" t="s">
        <v>30</v>
      </c>
      <c r="E1450" s="4">
        <v>11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spans="1:21" ht="12" customHeight="1">
      <c r="A1451" s="4">
        <v>7860</v>
      </c>
      <c r="B1451" s="4">
        <v>56197</v>
      </c>
      <c r="C1451" s="5">
        <f t="shared" si="607"/>
        <v>39944</v>
      </c>
      <c r="D1451" s="4" t="s">
        <v>30</v>
      </c>
      <c r="E1451" s="4">
        <v>45</v>
      </c>
      <c r="F1451" s="4">
        <v>8014.6240000000007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32.479999999999997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spans="1:21" ht="12" customHeight="1">
      <c r="A1452" s="4">
        <v>8291</v>
      </c>
      <c r="B1452" s="4">
        <v>59232</v>
      </c>
      <c r="C1452" s="5">
        <f>DATE(2012,12,31)-1456</f>
        <v>39818</v>
      </c>
      <c r="D1452" s="4" t="s">
        <v>30</v>
      </c>
      <c r="E1452" s="4">
        <v>23</v>
      </c>
      <c r="F1452" s="4">
        <v>725.43</v>
      </c>
      <c r="G1452" s="4">
        <v>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spans="1:21" ht="12" customHeight="1">
      <c r="A1453" s="4">
        <v>1627</v>
      </c>
      <c r="B1453" s="4">
        <v>11777</v>
      </c>
      <c r="C1453" s="5">
        <f>DATE(2012,12,31)-1102</f>
        <v>40172</v>
      </c>
      <c r="D1453" s="4" t="s">
        <v>21</v>
      </c>
      <c r="E1453" s="4">
        <v>39</v>
      </c>
      <c r="F1453" s="4">
        <v>651.45000000000005</v>
      </c>
      <c r="G1453" s="4">
        <v>7.0000000000000007E-2</v>
      </c>
      <c r="H1453" s="4" t="s">
        <v>22</v>
      </c>
      <c r="I1453" s="6">
        <v>-160.56</v>
      </c>
      <c r="J1453" s="4">
        <v>17.7</v>
      </c>
      <c r="K1453" s="4">
        <v>9.4700000000000006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spans="1:21" ht="12" customHeight="1">
      <c r="A1454" s="4">
        <v>1769</v>
      </c>
      <c r="B1454" s="4">
        <v>12676</v>
      </c>
      <c r="C1454" s="5">
        <f>DATE(2012,12,31)-1446</f>
        <v>39828</v>
      </c>
      <c r="D1454" s="4" t="s">
        <v>30</v>
      </c>
      <c r="E1454" s="4">
        <v>25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spans="1:21" ht="12" customHeight="1">
      <c r="A1455" s="4">
        <v>2103</v>
      </c>
      <c r="B1455" s="4">
        <v>15040</v>
      </c>
      <c r="C1455" s="5">
        <f>DATE(2012,12,31)-1123</f>
        <v>40151</v>
      </c>
      <c r="D1455" s="4" t="s">
        <v>21</v>
      </c>
      <c r="E1455" s="4">
        <v>48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spans="1:21" ht="12" customHeight="1">
      <c r="A1456" s="4">
        <v>2359</v>
      </c>
      <c r="B1456" s="4">
        <v>17028</v>
      </c>
      <c r="C1456" s="5">
        <f>DATE(2012,12,31)-1173</f>
        <v>40101</v>
      </c>
      <c r="D1456" s="4" t="s">
        <v>30</v>
      </c>
      <c r="E1456" s="4">
        <v>19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0.56000000000000005</v>
      </c>
      <c r="U1456" s="5">
        <f>C1456+2</f>
        <v>40103</v>
      </c>
    </row>
    <row r="1457" spans="1:21" ht="12" customHeight="1">
      <c r="A1457" s="4">
        <v>2993</v>
      </c>
      <c r="B1457" s="4">
        <v>21602</v>
      </c>
      <c r="C1457" s="5">
        <f>DATE(2012,12,31)-1279</f>
        <v>39995</v>
      </c>
      <c r="D1457" s="4" t="s">
        <v>78</v>
      </c>
      <c r="E1457" s="4">
        <v>6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spans="1:21" ht="12" customHeight="1">
      <c r="A1458" s="4">
        <v>3746</v>
      </c>
      <c r="B1458" s="4">
        <v>26758</v>
      </c>
      <c r="C1458" s="5">
        <f t="shared" ref="C1458:C1459" si="608">DATE(2012,12,31)-1318</f>
        <v>39956</v>
      </c>
      <c r="D1458" s="4" t="s">
        <v>45</v>
      </c>
      <c r="E1458" s="4">
        <v>46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77.510000000000005</v>
      </c>
      <c r="K1458" s="4">
        <v>4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09">C1458+2</f>
        <v>39958</v>
      </c>
    </row>
    <row r="1459" spans="1:21" ht="12" customHeight="1">
      <c r="A1459" s="4">
        <v>3747</v>
      </c>
      <c r="B1459" s="4">
        <v>26758</v>
      </c>
      <c r="C1459" s="5">
        <f t="shared" si="608"/>
        <v>39956</v>
      </c>
      <c r="D1459" s="4" t="s">
        <v>45</v>
      </c>
      <c r="E1459" s="4">
        <v>37</v>
      </c>
      <c r="F1459" s="4">
        <v>108.33</v>
      </c>
      <c r="G1459" s="4">
        <v>0</v>
      </c>
      <c r="H1459" s="4" t="s">
        <v>22</v>
      </c>
      <c r="I1459" s="6">
        <v>17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0.56000000000000005</v>
      </c>
      <c r="U1459" s="5">
        <f t="shared" si="609"/>
        <v>39958</v>
      </c>
    </row>
    <row r="1460" spans="1:21" ht="12" customHeight="1">
      <c r="A1460" s="4">
        <v>3966</v>
      </c>
      <c r="B1460" s="4">
        <v>28291</v>
      </c>
      <c r="C1460" s="5">
        <f>DATE(2012,12,31)-1398</f>
        <v>39876</v>
      </c>
      <c r="D1460" s="4" t="s">
        <v>78</v>
      </c>
      <c r="E1460" s="4">
        <v>14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spans="1:21" ht="12" customHeight="1">
      <c r="A1461" s="4">
        <v>4667</v>
      </c>
      <c r="B1461" s="4">
        <v>33220</v>
      </c>
      <c r="C1461" s="5">
        <f t="shared" ref="C1461:C1462" si="610">DATE(2012,12,31)-1356</f>
        <v>39918</v>
      </c>
      <c r="D1461" s="4" t="s">
        <v>45</v>
      </c>
      <c r="E1461" s="4">
        <v>49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spans="1:21" ht="12" customHeight="1">
      <c r="A1462" s="4">
        <v>4668</v>
      </c>
      <c r="B1462" s="4">
        <v>33220</v>
      </c>
      <c r="C1462" s="5">
        <f t="shared" si="610"/>
        <v>39918</v>
      </c>
      <c r="D1462" s="4" t="s">
        <v>45</v>
      </c>
      <c r="E1462" s="4">
        <v>40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spans="1:21" ht="12" customHeight="1">
      <c r="A1463" s="4">
        <v>4736</v>
      </c>
      <c r="B1463" s="4">
        <v>33701</v>
      </c>
      <c r="C1463" s="5">
        <f>DATE(2012,12,31)-1187</f>
        <v>40087</v>
      </c>
      <c r="D1463" s="4" t="s">
        <v>63</v>
      </c>
      <c r="E1463" s="4">
        <v>35</v>
      </c>
      <c r="F1463" s="4">
        <v>2333.06</v>
      </c>
      <c r="G1463" s="4">
        <v>0.08</v>
      </c>
      <c r="H1463" s="4" t="s">
        <v>56</v>
      </c>
      <c r="I1463" s="6">
        <v>473.39049999999997</v>
      </c>
      <c r="J1463" s="4">
        <v>67.28</v>
      </c>
      <c r="K1463" s="4">
        <v>19.989999999999998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spans="1:21" ht="12" customHeight="1">
      <c r="A1464" s="4">
        <v>6158</v>
      </c>
      <c r="B1464" s="4">
        <v>43620</v>
      </c>
      <c r="C1464" s="5">
        <f t="shared" ref="C1464:C1465" si="611">DATE(2012,12,31)-1444</f>
        <v>39830</v>
      </c>
      <c r="D1464" s="4" t="s">
        <v>63</v>
      </c>
      <c r="E1464" s="4">
        <v>13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spans="1:21" ht="12" customHeight="1">
      <c r="A1465" s="4">
        <v>6159</v>
      </c>
      <c r="B1465" s="4">
        <v>43620</v>
      </c>
      <c r="C1465" s="5">
        <f t="shared" si="611"/>
        <v>39830</v>
      </c>
      <c r="D1465" s="4" t="s">
        <v>63</v>
      </c>
      <c r="E1465" s="4">
        <v>11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2.2599999999999998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spans="1:21" ht="12" customHeight="1">
      <c r="A1466" s="4">
        <v>6463</v>
      </c>
      <c r="B1466" s="4">
        <v>46018</v>
      </c>
      <c r="C1466" s="5">
        <f>DATE(2012,12,31)-1238</f>
        <v>40036</v>
      </c>
      <c r="D1466" s="4" t="s">
        <v>63</v>
      </c>
      <c r="E1466" s="4">
        <v>31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spans="1:21" ht="12" customHeight="1">
      <c r="A1467" s="4">
        <v>6786</v>
      </c>
      <c r="B1467" s="4">
        <v>48327</v>
      </c>
      <c r="C1467" s="5">
        <f>DATE(2012,12,31)-1239</f>
        <v>40035</v>
      </c>
      <c r="D1467" s="4" t="s">
        <v>45</v>
      </c>
      <c r="E1467" s="4">
        <v>14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2">C1467+2</f>
        <v>40037</v>
      </c>
    </row>
    <row r="1468" spans="1:21" ht="12" customHeight="1">
      <c r="A1468" s="4">
        <v>6862</v>
      </c>
      <c r="B1468" s="4">
        <v>48900</v>
      </c>
      <c r="C1468" s="5">
        <f t="shared" ref="C1468:C1469" si="613">DATE(2012,12,31)-1380</f>
        <v>39894</v>
      </c>
      <c r="D1468" s="4" t="s">
        <v>45</v>
      </c>
      <c r="E1468" s="4">
        <v>27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2"/>
        <v>39896</v>
      </c>
    </row>
    <row r="1469" spans="1:21" ht="12" customHeight="1">
      <c r="A1469" s="4">
        <v>6863</v>
      </c>
      <c r="B1469" s="4">
        <v>48900</v>
      </c>
      <c r="C1469" s="5">
        <f t="shared" si="613"/>
        <v>39894</v>
      </c>
      <c r="D1469" s="4" t="s">
        <v>45</v>
      </c>
      <c r="E1469" s="4">
        <v>42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4">C1469+1</f>
        <v>39895</v>
      </c>
    </row>
    <row r="1470" spans="1:21" ht="12" customHeight="1">
      <c r="A1470" s="4">
        <v>7409</v>
      </c>
      <c r="B1470" s="4">
        <v>52867</v>
      </c>
      <c r="C1470" s="5">
        <f>DATE(2012,12,31)-1236</f>
        <v>40038</v>
      </c>
      <c r="D1470" s="4" t="s">
        <v>30</v>
      </c>
      <c r="E1470" s="4">
        <v>15</v>
      </c>
      <c r="F1470" s="4">
        <v>1917.61</v>
      </c>
      <c r="G1470" s="4">
        <v>0.03</v>
      </c>
      <c r="H1470" s="4" t="s">
        <v>31</v>
      </c>
      <c r="I1470" s="6">
        <v>-286.89999999999998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4"/>
        <v>40039</v>
      </c>
    </row>
    <row r="1471" spans="1:21" ht="12" customHeight="1">
      <c r="A1471" s="4">
        <v>8135</v>
      </c>
      <c r="B1471" s="4">
        <v>58147</v>
      </c>
      <c r="C1471" s="5">
        <f>DATE(2012,12,31)-1323</f>
        <v>39951</v>
      </c>
      <c r="D1471" s="4" t="s">
        <v>30</v>
      </c>
      <c r="E1471" s="4">
        <v>41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0.57999999999999996</v>
      </c>
      <c r="U1471" s="5">
        <f>C1471+0</f>
        <v>39951</v>
      </c>
    </row>
    <row r="1472" spans="1:21" ht="12" customHeight="1">
      <c r="A1472" s="4">
        <v>8220</v>
      </c>
      <c r="B1472" s="4">
        <v>58784</v>
      </c>
      <c r="C1472" s="5">
        <f t="shared" ref="C1472:C1474" si="615">DATE(2012,12,31)-1443</f>
        <v>39831</v>
      </c>
      <c r="D1472" s="4" t="s">
        <v>63</v>
      </c>
      <c r="E1472" s="4">
        <v>12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spans="1:21" ht="12" customHeight="1">
      <c r="A1473" s="4">
        <v>8221</v>
      </c>
      <c r="B1473" s="4">
        <v>58784</v>
      </c>
      <c r="C1473" s="5">
        <f t="shared" si="615"/>
        <v>39831</v>
      </c>
      <c r="D1473" s="4" t="s">
        <v>63</v>
      </c>
      <c r="E1473" s="4">
        <v>29</v>
      </c>
      <c r="F1473" s="4">
        <v>1379.1</v>
      </c>
      <c r="G1473" s="4">
        <v>0.06</v>
      </c>
      <c r="H1473" s="4" t="s">
        <v>22</v>
      </c>
      <c r="I1473" s="6">
        <v>573.79999999999995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spans="1:21" ht="12" customHeight="1">
      <c r="A1474" s="4">
        <v>8222</v>
      </c>
      <c r="B1474" s="4">
        <v>58784</v>
      </c>
      <c r="C1474" s="5">
        <f t="shared" si="615"/>
        <v>39831</v>
      </c>
      <c r="D1474" s="4" t="s">
        <v>63</v>
      </c>
      <c r="E1474" s="4">
        <v>17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6">C1474+1</f>
        <v>39832</v>
      </c>
    </row>
    <row r="1475" spans="1:21" ht="12" customHeight="1">
      <c r="A1475" s="4">
        <v>8340</v>
      </c>
      <c r="B1475" s="4">
        <v>59591</v>
      </c>
      <c r="C1475" s="5">
        <f t="shared" ref="C1475:C1476" si="617">DATE(2012,12,31)-1179</f>
        <v>40095</v>
      </c>
      <c r="D1475" s="4" t="s">
        <v>45</v>
      </c>
      <c r="E1475" s="4">
        <v>34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6"/>
        <v>40096</v>
      </c>
    </row>
    <row r="1476" spans="1:21" ht="12" customHeight="1">
      <c r="A1476" s="4">
        <v>8341</v>
      </c>
      <c r="B1476" s="4">
        <v>59591</v>
      </c>
      <c r="C1476" s="5">
        <f t="shared" si="617"/>
        <v>40095</v>
      </c>
      <c r="D1476" s="4" t="s">
        <v>45</v>
      </c>
      <c r="E1476" s="4">
        <v>29</v>
      </c>
      <c r="F1476" s="4">
        <v>195.82</v>
      </c>
      <c r="G1476" s="4">
        <v>7.0000000000000007E-2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8">C1476+2</f>
        <v>40097</v>
      </c>
    </row>
    <row r="1477" spans="1:21" ht="12" customHeight="1">
      <c r="A1477" s="4">
        <v>8381</v>
      </c>
      <c r="B1477" s="4">
        <v>59879</v>
      </c>
      <c r="C1477" s="5">
        <f>DATE(2012,12,31)-1393</f>
        <v>39881</v>
      </c>
      <c r="D1477" s="4" t="s">
        <v>45</v>
      </c>
      <c r="E1477" s="4">
        <v>33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8"/>
        <v>39883</v>
      </c>
    </row>
    <row r="1478" spans="1:21" ht="12" customHeight="1">
      <c r="A1478" s="4">
        <v>12</v>
      </c>
      <c r="B1478" s="4">
        <v>69</v>
      </c>
      <c r="C1478" s="5">
        <f t="shared" ref="C1478:C1479" si="619">DATE(2012,12,31)-1307</f>
        <v>39967</v>
      </c>
      <c r="D1478" s="4" t="s">
        <v>45</v>
      </c>
      <c r="E1478" s="4">
        <v>42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8"/>
        <v>39969</v>
      </c>
    </row>
    <row r="1479" spans="1:21" ht="12" customHeight="1">
      <c r="A1479" s="4">
        <v>13</v>
      </c>
      <c r="B1479" s="4">
        <v>69</v>
      </c>
      <c r="C1479" s="5">
        <f t="shared" si="619"/>
        <v>39967</v>
      </c>
      <c r="D1479" s="4" t="s">
        <v>45</v>
      </c>
      <c r="E1479" s="4">
        <v>28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8"/>
        <v>39969</v>
      </c>
    </row>
    <row r="1480" spans="1:21" ht="12" customHeight="1">
      <c r="A1480" s="4">
        <v>306</v>
      </c>
      <c r="B1480" s="4">
        <v>2144</v>
      </c>
      <c r="C1480" s="5">
        <f>DATE(2012,12,31)-1374</f>
        <v>39900</v>
      </c>
      <c r="D1480" s="4" t="s">
        <v>63</v>
      </c>
      <c r="E1480" s="4">
        <v>40</v>
      </c>
      <c r="F1480" s="4">
        <v>5945.3675000000003</v>
      </c>
      <c r="G1480" s="4">
        <v>0.08</v>
      </c>
      <c r="H1480" s="4" t="s">
        <v>22</v>
      </c>
      <c r="I1480" s="6">
        <v>1585.4760000000001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spans="1:21" ht="12" customHeight="1">
      <c r="A1481" s="4">
        <v>652</v>
      </c>
      <c r="B1481" s="4">
        <v>4583</v>
      </c>
      <c r="C1481" s="5">
        <f>DATE(2012,12,31)-1194</f>
        <v>40080</v>
      </c>
      <c r="D1481" s="4" t="s">
        <v>63</v>
      </c>
      <c r="E1481" s="4">
        <v>44</v>
      </c>
      <c r="F1481" s="4">
        <v>3021.64</v>
      </c>
      <c r="G1481" s="4">
        <v>7.0000000000000007E-2</v>
      </c>
      <c r="H1481" s="4" t="s">
        <v>31</v>
      </c>
      <c r="I1481" s="6">
        <v>-720.2</v>
      </c>
      <c r="J1481" s="4">
        <v>70.98</v>
      </c>
      <c r="K1481" s="4">
        <v>30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spans="1:21" ht="12" customHeight="1">
      <c r="A1482" s="4">
        <v>684</v>
      </c>
      <c r="B1482" s="4">
        <v>4772</v>
      </c>
      <c r="C1482" s="5">
        <f>DATE(2012,12,31)-1205</f>
        <v>40069</v>
      </c>
      <c r="D1482" s="4" t="s">
        <v>78</v>
      </c>
      <c r="E1482" s="4">
        <v>28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65.989999999999995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0.55000000000000004</v>
      </c>
      <c r="U1482" s="5">
        <f>C1482+1</f>
        <v>40070</v>
      </c>
    </row>
    <row r="1483" spans="1:21" ht="12" customHeight="1">
      <c r="A1483" s="4">
        <v>804</v>
      </c>
      <c r="B1483" s="4">
        <v>5765</v>
      </c>
      <c r="C1483" s="5">
        <f>DATE(2012,12,31)-1113</f>
        <v>40161</v>
      </c>
      <c r="D1483" s="4" t="s">
        <v>21</v>
      </c>
      <c r="E1483" s="4">
        <v>23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19.989999999999998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spans="1:21" ht="12" customHeight="1">
      <c r="A1484" s="4">
        <v>1054</v>
      </c>
      <c r="B1484" s="4">
        <v>7782</v>
      </c>
      <c r="C1484" s="5">
        <f>DATE(2012,12,31)-1278</f>
        <v>39996</v>
      </c>
      <c r="D1484" s="4" t="s">
        <v>78</v>
      </c>
      <c r="E1484" s="4">
        <v>20</v>
      </c>
      <c r="F1484" s="4">
        <v>1205.73</v>
      </c>
      <c r="G1484" s="4">
        <v>7.0000000000000007E-2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0.56000000000000005</v>
      </c>
      <c r="U1484" s="5">
        <f t="shared" ref="U1484:U1486" si="620">C1484+2</f>
        <v>39998</v>
      </c>
    </row>
    <row r="1485" spans="1:21" ht="12" customHeight="1">
      <c r="A1485" s="4">
        <v>1766</v>
      </c>
      <c r="B1485" s="4">
        <v>12642</v>
      </c>
      <c r="C1485" s="5">
        <f t="shared" ref="C1485:C1486" si="621">DATE(2012,12,31)-1344</f>
        <v>39930</v>
      </c>
      <c r="D1485" s="4" t="s">
        <v>78</v>
      </c>
      <c r="E1485" s="4">
        <v>10</v>
      </c>
      <c r="F1485" s="4">
        <v>564.85</v>
      </c>
      <c r="G1485" s="4">
        <v>0.09</v>
      </c>
      <c r="H1485" s="4" t="s">
        <v>56</v>
      </c>
      <c r="I1485" s="6">
        <v>181.02449999999999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0"/>
        <v>39932</v>
      </c>
    </row>
    <row r="1486" spans="1:21" ht="12" customHeight="1">
      <c r="A1486" s="4">
        <v>1767</v>
      </c>
      <c r="B1486" s="4">
        <v>12642</v>
      </c>
      <c r="C1486" s="5">
        <f t="shared" si="621"/>
        <v>39930</v>
      </c>
      <c r="D1486" s="4" t="s">
        <v>78</v>
      </c>
      <c r="E1486" s="4">
        <v>14</v>
      </c>
      <c r="F1486" s="4">
        <v>572.33000000000004</v>
      </c>
      <c r="G1486" s="4">
        <v>0.01</v>
      </c>
      <c r="H1486" s="4" t="s">
        <v>22</v>
      </c>
      <c r="I1486" s="6">
        <v>-62.28</v>
      </c>
      <c r="J1486" s="4">
        <v>39.979999999999997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0"/>
        <v>39932</v>
      </c>
    </row>
    <row r="1487" spans="1:21" ht="12" customHeight="1">
      <c r="A1487" s="4">
        <v>1884</v>
      </c>
      <c r="B1487" s="4">
        <v>13542</v>
      </c>
      <c r="C1487" s="5">
        <f t="shared" ref="C1487:C1488" si="622">DATE(2012,12,31)-1394</f>
        <v>39880</v>
      </c>
      <c r="D1487" s="4" t="s">
        <v>21</v>
      </c>
      <c r="E1487" s="4">
        <v>11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0.56000000000000005</v>
      </c>
      <c r="U1487" s="5">
        <f>C1487+7</f>
        <v>39887</v>
      </c>
    </row>
    <row r="1488" spans="1:21" ht="12" customHeight="1">
      <c r="A1488" s="4">
        <v>1885</v>
      </c>
      <c r="B1488" s="4">
        <v>13542</v>
      </c>
      <c r="C1488" s="5">
        <f t="shared" si="622"/>
        <v>39880</v>
      </c>
      <c r="D1488" s="4" t="s">
        <v>21</v>
      </c>
      <c r="E1488" s="4">
        <v>33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8.2899999999999991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spans="1:21" ht="12" customHeight="1">
      <c r="A1489" s="4">
        <v>2085</v>
      </c>
      <c r="B1489" s="4">
        <v>14913</v>
      </c>
      <c r="C1489" s="5">
        <f>DATE(2012,12,31)-1416</f>
        <v>39858</v>
      </c>
      <c r="D1489" s="4" t="s">
        <v>30</v>
      </c>
      <c r="E1489" s="4">
        <v>47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3">C1489+1</f>
        <v>39859</v>
      </c>
    </row>
    <row r="1490" spans="1:21" ht="12" customHeight="1">
      <c r="A1490" s="4">
        <v>2097</v>
      </c>
      <c r="B1490" s="4">
        <v>14983</v>
      </c>
      <c r="C1490" s="5">
        <f t="shared" ref="C1490:C1491" si="624">DATE(2012,12,31)-1419</f>
        <v>39855</v>
      </c>
      <c r="D1490" s="4" t="s">
        <v>30</v>
      </c>
      <c r="E1490" s="4">
        <v>48</v>
      </c>
      <c r="F1490" s="4">
        <v>8475.9619999999995</v>
      </c>
      <c r="G1490" s="4">
        <v>0.05</v>
      </c>
      <c r="H1490" s="4" t="s">
        <v>56</v>
      </c>
      <c r="I1490" s="6">
        <v>2497.9409999999998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0.57999999999999996</v>
      </c>
      <c r="U1490" s="5">
        <f t="shared" si="623"/>
        <v>39856</v>
      </c>
    </row>
    <row r="1491" spans="1:21" ht="12" customHeight="1">
      <c r="A1491" s="4">
        <v>2098</v>
      </c>
      <c r="B1491" s="4">
        <v>14983</v>
      </c>
      <c r="C1491" s="5">
        <f t="shared" si="624"/>
        <v>39855</v>
      </c>
      <c r="D1491" s="4" t="s">
        <v>30</v>
      </c>
      <c r="E1491" s="4">
        <v>18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0.56000000000000005</v>
      </c>
      <c r="U1491" s="5">
        <f t="shared" si="623"/>
        <v>39856</v>
      </c>
    </row>
    <row r="1492" spans="1:21" ht="12" customHeight="1">
      <c r="A1492" s="4">
        <v>2382</v>
      </c>
      <c r="B1492" s="4">
        <v>17282</v>
      </c>
      <c r="C1492" s="5">
        <f>DATE(2012,12,31)-1139</f>
        <v>40135</v>
      </c>
      <c r="D1492" s="4" t="s">
        <v>21</v>
      </c>
      <c r="E1492" s="4">
        <v>37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spans="1:21" ht="12" customHeight="1">
      <c r="A1493" s="4">
        <v>2464</v>
      </c>
      <c r="B1493" s="4">
        <v>17927</v>
      </c>
      <c r="C1493" s="5">
        <f>DATE(2012,12,31)-1240</f>
        <v>40034</v>
      </c>
      <c r="D1493" s="4" t="s">
        <v>63</v>
      </c>
      <c r="E1493" s="4">
        <v>42</v>
      </c>
      <c r="F1493" s="4">
        <v>865.21</v>
      </c>
      <c r="G1493" s="4">
        <v>7.0000000000000007E-2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spans="1:21" ht="12" customHeight="1">
      <c r="A1494" s="4">
        <v>2481</v>
      </c>
      <c r="B1494" s="4">
        <v>18049</v>
      </c>
      <c r="C1494" s="5">
        <f>DATE(2012,12,31)-1236</f>
        <v>40038</v>
      </c>
      <c r="D1494" s="4" t="s">
        <v>63</v>
      </c>
      <c r="E1494" s="4">
        <v>10</v>
      </c>
      <c r="F1494" s="4">
        <v>65.52</v>
      </c>
      <c r="G1494" s="4">
        <v>7.0000000000000007E-2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spans="1:21" ht="12" customHeight="1">
      <c r="A1495" s="4">
        <v>2531</v>
      </c>
      <c r="B1495" s="4">
        <v>18371</v>
      </c>
      <c r="C1495" s="5">
        <f>DATE(2012,12,31)-1200</f>
        <v>40074</v>
      </c>
      <c r="D1495" s="4" t="s">
        <v>63</v>
      </c>
      <c r="E1495" s="4">
        <v>30</v>
      </c>
      <c r="F1495" s="4">
        <v>1394.36</v>
      </c>
      <c r="G1495" s="4">
        <v>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0.57999999999999996</v>
      </c>
      <c r="U1495" s="5">
        <f>C1495+0</f>
        <v>40074</v>
      </c>
    </row>
    <row r="1496" spans="1:21" ht="12" customHeight="1">
      <c r="A1496" s="4">
        <v>3203</v>
      </c>
      <c r="B1496" s="4">
        <v>22978</v>
      </c>
      <c r="C1496" s="5">
        <f>DATE(2012,12,31)-1369</f>
        <v>39905</v>
      </c>
      <c r="D1496" s="4" t="s">
        <v>63</v>
      </c>
      <c r="E1496" s="4">
        <v>28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32.409999999999997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0.56000000000000005</v>
      </c>
      <c r="U1496" s="5">
        <f t="shared" ref="U1496:U1502" si="625">C1496+1</f>
        <v>39906</v>
      </c>
    </row>
    <row r="1497" spans="1:21" ht="12" customHeight="1">
      <c r="A1497" s="4">
        <v>3632</v>
      </c>
      <c r="B1497" s="4">
        <v>25953</v>
      </c>
      <c r="C1497" s="5">
        <f t="shared" ref="C1497:C1498" si="626">DATE(2012,12,31)-1191</f>
        <v>40083</v>
      </c>
      <c r="D1497" s="4" t="s">
        <v>78</v>
      </c>
      <c r="E1497" s="4">
        <v>27</v>
      </c>
      <c r="F1497" s="4">
        <v>258.54000000000002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5"/>
        <v>40084</v>
      </c>
    </row>
    <row r="1498" spans="1:21" ht="12" customHeight="1">
      <c r="A1498" s="4">
        <v>3633</v>
      </c>
      <c r="B1498" s="4">
        <v>25953</v>
      </c>
      <c r="C1498" s="5">
        <f t="shared" si="626"/>
        <v>40083</v>
      </c>
      <c r="D1498" s="4" t="s">
        <v>78</v>
      </c>
      <c r="E1498" s="4">
        <v>19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0.57999999999999996</v>
      </c>
      <c r="U1498" s="5">
        <f t="shared" si="625"/>
        <v>40084</v>
      </c>
    </row>
    <row r="1499" spans="1:21" ht="12" customHeight="1">
      <c r="A1499" s="4">
        <v>3707</v>
      </c>
      <c r="B1499" s="4">
        <v>26466</v>
      </c>
      <c r="C1499" s="5">
        <f>DATE(2012,12,31)-1299</f>
        <v>39975</v>
      </c>
      <c r="D1499" s="4" t="s">
        <v>78</v>
      </c>
      <c r="E1499" s="4">
        <v>29</v>
      </c>
      <c r="F1499" s="4">
        <v>909.721</v>
      </c>
      <c r="G1499" s="4">
        <v>0.01</v>
      </c>
      <c r="H1499" s="4" t="s">
        <v>22</v>
      </c>
      <c r="I1499" s="6">
        <v>287.99099999999999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5"/>
        <v>39976</v>
      </c>
    </row>
    <row r="1500" spans="1:21" ht="12" customHeight="1">
      <c r="A1500" s="4">
        <v>3937</v>
      </c>
      <c r="B1500" s="4">
        <v>28037</v>
      </c>
      <c r="C1500" s="5">
        <f>DATE(2012,12,31)-1115</f>
        <v>40159</v>
      </c>
      <c r="D1500" s="4" t="s">
        <v>30</v>
      </c>
      <c r="E1500" s="4">
        <v>31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5"/>
        <v>40160</v>
      </c>
    </row>
    <row r="1501" spans="1:21" ht="12" customHeight="1">
      <c r="A1501" s="4">
        <v>4593</v>
      </c>
      <c r="B1501" s="4">
        <v>32675</v>
      </c>
      <c r="C1501" s="5">
        <f>DATE(2012,12,31)-1154</f>
        <v>40120</v>
      </c>
      <c r="D1501" s="4" t="s">
        <v>30</v>
      </c>
      <c r="E1501" s="4">
        <v>20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5"/>
        <v>40121</v>
      </c>
    </row>
    <row r="1502" spans="1:21" ht="12" customHeight="1">
      <c r="A1502" s="4">
        <v>5499</v>
      </c>
      <c r="B1502" s="4">
        <v>38982</v>
      </c>
      <c r="C1502" s="5">
        <f>DATE(2012,12,31)-1263</f>
        <v>40011</v>
      </c>
      <c r="D1502" s="4" t="s">
        <v>45</v>
      </c>
      <c r="E1502" s="4">
        <v>43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5"/>
        <v>40012</v>
      </c>
    </row>
    <row r="1503" spans="1:21" ht="12" customHeight="1">
      <c r="A1503" s="4">
        <v>5642</v>
      </c>
      <c r="B1503" s="4">
        <v>39908</v>
      </c>
      <c r="C1503" s="5">
        <f>DATE(2012,12,31)-1331</f>
        <v>39943</v>
      </c>
      <c r="D1503" s="4" t="s">
        <v>21</v>
      </c>
      <c r="E1503" s="4">
        <v>23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spans="1:21" ht="12" customHeight="1">
      <c r="A1504" s="4">
        <v>5869</v>
      </c>
      <c r="B1504" s="4">
        <v>41636</v>
      </c>
      <c r="C1504" s="5">
        <f t="shared" ref="C1504:C1506" si="627">DATE(2012,12,31)-1235</f>
        <v>40039</v>
      </c>
      <c r="D1504" s="4" t="s">
        <v>78</v>
      </c>
      <c r="E1504" s="4">
        <v>47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spans="1:21" ht="12" customHeight="1">
      <c r="A1505" s="4">
        <v>5870</v>
      </c>
      <c r="B1505" s="4">
        <v>41636</v>
      </c>
      <c r="C1505" s="5">
        <f t="shared" si="627"/>
        <v>40039</v>
      </c>
      <c r="D1505" s="4" t="s">
        <v>78</v>
      </c>
      <c r="E1505" s="4">
        <v>25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0.56999999999999995</v>
      </c>
      <c r="U1505" s="5">
        <f t="shared" ref="U1505:U1506" si="628">C1505+2</f>
        <v>40041</v>
      </c>
    </row>
    <row r="1506" spans="1:21" ht="12" customHeight="1">
      <c r="A1506" s="4">
        <v>5871</v>
      </c>
      <c r="B1506" s="4">
        <v>41636</v>
      </c>
      <c r="C1506" s="5">
        <f t="shared" si="627"/>
        <v>40039</v>
      </c>
      <c r="D1506" s="4" t="s">
        <v>78</v>
      </c>
      <c r="E1506" s="4">
        <v>27</v>
      </c>
      <c r="F1506" s="4">
        <v>2762.857</v>
      </c>
      <c r="G1506" s="4">
        <v>0.03</v>
      </c>
      <c r="H1506" s="4" t="s">
        <v>22</v>
      </c>
      <c r="I1506" s="6">
        <v>722.24099999999999</v>
      </c>
      <c r="J1506" s="4">
        <v>115.99</v>
      </c>
      <c r="K1506" s="4">
        <v>4.2300000000000004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0.56000000000000005</v>
      </c>
      <c r="U1506" s="5">
        <f t="shared" si="628"/>
        <v>40041</v>
      </c>
    </row>
    <row r="1507" spans="1:21" ht="12" customHeight="1">
      <c r="A1507" s="4">
        <v>5894</v>
      </c>
      <c r="B1507" s="4">
        <v>41799</v>
      </c>
      <c r="C1507" s="5">
        <f>DATE(2012,12,31)-1287</f>
        <v>39987</v>
      </c>
      <c r="D1507" s="4" t="s">
        <v>30</v>
      </c>
      <c r="E1507" s="4">
        <v>21</v>
      </c>
      <c r="F1507" s="4">
        <v>1130.8059999999998</v>
      </c>
      <c r="G1507" s="4">
        <v>0.04</v>
      </c>
      <c r="H1507" s="4" t="s">
        <v>22</v>
      </c>
      <c r="I1507" s="6">
        <v>95.147999999999996</v>
      </c>
      <c r="J1507" s="4">
        <v>65.989999999999995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0.56999999999999995</v>
      </c>
      <c r="U1507" s="5">
        <f>C1507+1</f>
        <v>39988</v>
      </c>
    </row>
    <row r="1508" spans="1:21" ht="12" customHeight="1">
      <c r="A1508" s="4">
        <v>5970</v>
      </c>
      <c r="B1508" s="4">
        <v>42342</v>
      </c>
      <c r="C1508" s="5">
        <f>DATE(2012,12,31)-1214</f>
        <v>40060</v>
      </c>
      <c r="D1508" s="4" t="s">
        <v>45</v>
      </c>
      <c r="E1508" s="4">
        <v>43</v>
      </c>
      <c r="F1508" s="4">
        <v>9501.6240000000016</v>
      </c>
      <c r="G1508" s="4">
        <v>7.0000000000000007E-2</v>
      </c>
      <c r="H1508" s="4" t="s">
        <v>31</v>
      </c>
      <c r="I1508" s="6">
        <v>-686.45</v>
      </c>
      <c r="J1508" s="4">
        <v>286.85000000000002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spans="1:21" ht="12" customHeight="1">
      <c r="A1509" s="4">
        <v>6016</v>
      </c>
      <c r="B1509" s="4">
        <v>42631</v>
      </c>
      <c r="C1509" s="5">
        <f t="shared" ref="C1509:C1512" si="629">DATE(2012,12,31)-1332</f>
        <v>39942</v>
      </c>
      <c r="D1509" s="4" t="s">
        <v>30</v>
      </c>
      <c r="E1509" s="4">
        <v>41</v>
      </c>
      <c r="F1509" s="4">
        <v>257.66000000000003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spans="1:21" ht="12" customHeight="1">
      <c r="A1510" s="4">
        <v>6017</v>
      </c>
      <c r="B1510" s="4">
        <v>42631</v>
      </c>
      <c r="C1510" s="5">
        <f t="shared" si="629"/>
        <v>39942</v>
      </c>
      <c r="D1510" s="4" t="s">
        <v>30</v>
      </c>
      <c r="E1510" s="4">
        <v>18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0">C1510+1</f>
        <v>39943</v>
      </c>
    </row>
    <row r="1511" spans="1:21" ht="12" customHeight="1">
      <c r="A1511" s="4">
        <v>6018</v>
      </c>
      <c r="B1511" s="4">
        <v>42631</v>
      </c>
      <c r="C1511" s="5">
        <f t="shared" si="629"/>
        <v>39942</v>
      </c>
      <c r="D1511" s="4" t="s">
        <v>30</v>
      </c>
      <c r="E1511" s="4">
        <v>44</v>
      </c>
      <c r="F1511" s="4">
        <v>287.22000000000003</v>
      </c>
      <c r="G1511" s="4">
        <v>0.06</v>
      </c>
      <c r="H1511" s="4" t="s">
        <v>22</v>
      </c>
      <c r="I1511" s="6">
        <v>-72.930000000000007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0"/>
        <v>39943</v>
      </c>
    </row>
    <row r="1512" spans="1:21" ht="12" customHeight="1">
      <c r="A1512" s="4">
        <v>6019</v>
      </c>
      <c r="B1512" s="4">
        <v>42631</v>
      </c>
      <c r="C1512" s="5">
        <f t="shared" si="629"/>
        <v>39942</v>
      </c>
      <c r="D1512" s="4" t="s">
        <v>30</v>
      </c>
      <c r="E1512" s="4">
        <v>22</v>
      </c>
      <c r="F1512" s="4">
        <v>1148.0355</v>
      </c>
      <c r="G1512" s="4">
        <v>0.08</v>
      </c>
      <c r="H1512" s="4" t="s">
        <v>56</v>
      </c>
      <c r="I1512" s="6">
        <v>21.978000000000002</v>
      </c>
      <c r="J1512" s="4">
        <v>65.989999999999995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0.55000000000000004</v>
      </c>
      <c r="U1512" s="5">
        <f>C1512+2</f>
        <v>39944</v>
      </c>
    </row>
    <row r="1513" spans="1:21" ht="12" customHeight="1">
      <c r="A1513" s="4">
        <v>6638</v>
      </c>
      <c r="B1513" s="4">
        <v>47203</v>
      </c>
      <c r="C1513" s="5">
        <f t="shared" ref="C1513:C1514" si="631">DATE(2012,12,31)-1109</f>
        <v>40165</v>
      </c>
      <c r="D1513" s="4" t="s">
        <v>78</v>
      </c>
      <c r="E1513" s="4">
        <v>8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spans="1:21" ht="12" customHeight="1">
      <c r="A1514" s="4">
        <v>6639</v>
      </c>
      <c r="B1514" s="4">
        <v>47203</v>
      </c>
      <c r="C1514" s="5">
        <f t="shared" si="631"/>
        <v>40165</v>
      </c>
      <c r="D1514" s="4" t="s">
        <v>78</v>
      </c>
      <c r="E1514" s="4">
        <v>44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spans="1:21" ht="12" customHeight="1">
      <c r="A1515" s="4">
        <v>6748</v>
      </c>
      <c r="B1515" s="4">
        <v>48035</v>
      </c>
      <c r="C1515" s="5">
        <f>DATE(2012,12,31)-1371</f>
        <v>39903</v>
      </c>
      <c r="D1515" s="4" t="s">
        <v>78</v>
      </c>
      <c r="E1515" s="4">
        <v>8</v>
      </c>
      <c r="F1515" s="4">
        <v>155.92400000000001</v>
      </c>
      <c r="G1515" s="4">
        <v>0.09</v>
      </c>
      <c r="H1515" s="4" t="s">
        <v>56</v>
      </c>
      <c r="I1515" s="6">
        <v>-63.118000000000002</v>
      </c>
      <c r="J1515" s="4">
        <v>20.99</v>
      </c>
      <c r="K1515" s="4">
        <v>4.8099999999999996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0.57999999999999996</v>
      </c>
      <c r="U1515" s="5">
        <f t="shared" ref="U1515:U1516" si="632">C1515+1</f>
        <v>39904</v>
      </c>
    </row>
    <row r="1516" spans="1:21" ht="12" customHeight="1">
      <c r="A1516" s="4">
        <v>6752</v>
      </c>
      <c r="B1516" s="4">
        <v>48096</v>
      </c>
      <c r="C1516" s="5">
        <f t="shared" ref="C1516:C1517" si="633">DATE(2012,12,31)-1298</f>
        <v>39976</v>
      </c>
      <c r="D1516" s="4" t="s">
        <v>30</v>
      </c>
      <c r="E1516" s="4">
        <v>3</v>
      </c>
      <c r="F1516" s="4">
        <v>34.229999999999997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2"/>
        <v>39977</v>
      </c>
    </row>
    <row r="1517" spans="1:21" ht="12" customHeight="1">
      <c r="A1517" s="4">
        <v>6753</v>
      </c>
      <c r="B1517" s="4">
        <v>48096</v>
      </c>
      <c r="C1517" s="5">
        <f t="shared" si="633"/>
        <v>39976</v>
      </c>
      <c r="D1517" s="4" t="s">
        <v>30</v>
      </c>
      <c r="E1517" s="4">
        <v>22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8.1300000000000008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4">C1517+2</f>
        <v>39978</v>
      </c>
    </row>
    <row r="1518" spans="1:21" ht="12" customHeight="1">
      <c r="A1518" s="4">
        <v>6975</v>
      </c>
      <c r="B1518" s="4">
        <v>49830</v>
      </c>
      <c r="C1518" s="5">
        <f>DATE(2012,12,31)-1271</f>
        <v>40003</v>
      </c>
      <c r="D1518" s="4" t="s">
        <v>78</v>
      </c>
      <c r="E1518" s="4">
        <v>31</v>
      </c>
      <c r="F1518" s="4">
        <v>16949.439999999999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19.989999999999998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4"/>
        <v>40005</v>
      </c>
    </row>
    <row r="1519" spans="1:21" ht="12" customHeight="1">
      <c r="A1519" s="4">
        <v>7027</v>
      </c>
      <c r="B1519" s="4">
        <v>50147</v>
      </c>
      <c r="C1519" s="5">
        <f t="shared" ref="C1519:C1520" si="635">DATE(2012,12,31)-1180</f>
        <v>40094</v>
      </c>
      <c r="D1519" s="4" t="s">
        <v>63</v>
      </c>
      <c r="E1519" s="4">
        <v>42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spans="1:21" ht="12" customHeight="1">
      <c r="A1520" s="4">
        <v>7028</v>
      </c>
      <c r="B1520" s="4">
        <v>50147</v>
      </c>
      <c r="C1520" s="5">
        <f t="shared" si="635"/>
        <v>40094</v>
      </c>
      <c r="D1520" s="4" t="s">
        <v>63</v>
      </c>
      <c r="E1520" s="4">
        <v>13</v>
      </c>
      <c r="F1520" s="4">
        <v>163.62</v>
      </c>
      <c r="G1520" s="4">
        <v>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spans="1:21" ht="12" customHeight="1">
      <c r="A1521" s="4">
        <v>7227</v>
      </c>
      <c r="B1521" s="4">
        <v>51554</v>
      </c>
      <c r="C1521" s="5">
        <f t="shared" ref="C1521:C1522" si="636">DATE(2012,12,31)-1376</f>
        <v>39898</v>
      </c>
      <c r="D1521" s="4" t="s">
        <v>63</v>
      </c>
      <c r="E1521" s="4">
        <v>7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spans="1:21" ht="12" customHeight="1">
      <c r="A1522" s="4">
        <v>7228</v>
      </c>
      <c r="B1522" s="4">
        <v>51554</v>
      </c>
      <c r="C1522" s="5">
        <f t="shared" si="636"/>
        <v>39898</v>
      </c>
      <c r="D1522" s="4" t="s">
        <v>63</v>
      </c>
      <c r="E1522" s="4">
        <v>29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spans="1:21" ht="12" customHeight="1">
      <c r="A1523" s="4">
        <v>7380</v>
      </c>
      <c r="B1523" s="4">
        <v>52615</v>
      </c>
      <c r="C1523" s="5">
        <f t="shared" ref="C1523:C1524" si="637">DATE(2012,12,31)-1169</f>
        <v>40105</v>
      </c>
      <c r="D1523" s="4" t="s">
        <v>21</v>
      </c>
      <c r="E1523" s="4">
        <v>4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4.4800000000000004</v>
      </c>
      <c r="K1523" s="4">
        <v>49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8">C1523+4</f>
        <v>40109</v>
      </c>
    </row>
    <row r="1524" spans="1:21" ht="12" customHeight="1">
      <c r="A1524" s="4">
        <v>7381</v>
      </c>
      <c r="B1524" s="4">
        <v>52615</v>
      </c>
      <c r="C1524" s="5">
        <f t="shared" si="637"/>
        <v>40105</v>
      </c>
      <c r="D1524" s="4" t="s">
        <v>21</v>
      </c>
      <c r="E1524" s="4">
        <v>18</v>
      </c>
      <c r="F1524" s="4">
        <v>76.849999999999994</v>
      </c>
      <c r="G1524" s="4">
        <v>0.1</v>
      </c>
      <c r="H1524" s="4" t="s">
        <v>22</v>
      </c>
      <c r="I1524" s="6">
        <v>-64.078000000000003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8"/>
        <v>40109</v>
      </c>
    </row>
    <row r="1525" spans="1:21" ht="12" customHeight="1">
      <c r="A1525" s="4">
        <v>8361</v>
      </c>
      <c r="B1525" s="4">
        <v>59776</v>
      </c>
      <c r="C1525" s="5">
        <f t="shared" ref="C1525:C1526" si="639">DATE(2012,12,31)-1393</f>
        <v>39881</v>
      </c>
      <c r="D1525" s="4" t="s">
        <v>21</v>
      </c>
      <c r="E1525" s="4">
        <v>35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8"/>
        <v>39885</v>
      </c>
    </row>
    <row r="1526" spans="1:21" ht="12" customHeight="1">
      <c r="A1526" s="4">
        <v>8362</v>
      </c>
      <c r="B1526" s="4">
        <v>59776</v>
      </c>
      <c r="C1526" s="5">
        <f t="shared" si="639"/>
        <v>39881</v>
      </c>
      <c r="D1526" s="4" t="s">
        <v>21</v>
      </c>
      <c r="E1526" s="4">
        <v>33</v>
      </c>
      <c r="F1526" s="4">
        <v>12215.43</v>
      </c>
      <c r="G1526" s="4">
        <v>7.0000000000000007E-2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8"/>
        <v>39885</v>
      </c>
    </row>
    <row r="1527" spans="1:21" ht="12" customHeight="1">
      <c r="A1527" s="4">
        <v>417</v>
      </c>
      <c r="B1527" s="4">
        <v>2817</v>
      </c>
      <c r="C1527" s="5">
        <f t="shared" ref="C1527:C1528" si="640">DATE(2012,12,31)-1353</f>
        <v>39921</v>
      </c>
      <c r="D1527" s="4" t="s">
        <v>63</v>
      </c>
      <c r="E1527" s="4">
        <v>14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300.97000000000003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spans="1:21" ht="12" customHeight="1">
      <c r="A1528" s="4">
        <v>418</v>
      </c>
      <c r="B1528" s="4">
        <v>2817</v>
      </c>
      <c r="C1528" s="5">
        <f t="shared" si="640"/>
        <v>39921</v>
      </c>
      <c r="D1528" s="4" t="s">
        <v>63</v>
      </c>
      <c r="E1528" s="4">
        <v>40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1">C1528+2</f>
        <v>39923</v>
      </c>
    </row>
    <row r="1529" spans="1:21" ht="12" customHeight="1">
      <c r="A1529" s="4">
        <v>1460</v>
      </c>
      <c r="B1529" s="4">
        <v>10528</v>
      </c>
      <c r="C1529" s="5">
        <f>DATE(2012,12,31)-1205</f>
        <v>40069</v>
      </c>
      <c r="D1529" s="4" t="s">
        <v>63</v>
      </c>
      <c r="E1529" s="4">
        <v>47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9.4700000000000006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1"/>
        <v>40071</v>
      </c>
    </row>
    <row r="1530" spans="1:21" ht="12" customHeight="1">
      <c r="A1530" s="4">
        <v>1581</v>
      </c>
      <c r="B1530" s="4">
        <v>11426</v>
      </c>
      <c r="C1530" s="5">
        <f>DATE(2012,12,31)-1334</f>
        <v>39940</v>
      </c>
      <c r="D1530" s="4" t="s">
        <v>63</v>
      </c>
      <c r="E1530" s="4">
        <v>19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spans="1:21" ht="12" customHeight="1">
      <c r="A1531" s="4">
        <v>1797</v>
      </c>
      <c r="B1531" s="4">
        <v>12869</v>
      </c>
      <c r="C1531" s="5">
        <f>DATE(2012,12,31)-1436</f>
        <v>39838</v>
      </c>
      <c r="D1531" s="4" t="s">
        <v>45</v>
      </c>
      <c r="E1531" s="4">
        <v>15</v>
      </c>
      <c r="F1531" s="4">
        <v>1532.482</v>
      </c>
      <c r="G1531" s="4">
        <v>0.1</v>
      </c>
      <c r="H1531" s="4" t="s">
        <v>22</v>
      </c>
      <c r="I1531" s="6">
        <v>-42.999000000000002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0.56999999999999995</v>
      </c>
      <c r="U1531" s="5">
        <f>C1531+3</f>
        <v>39841</v>
      </c>
    </row>
    <row r="1532" spans="1:21" ht="12" customHeight="1">
      <c r="A1532" s="4">
        <v>2001</v>
      </c>
      <c r="B1532" s="4">
        <v>14274</v>
      </c>
      <c r="C1532" s="5">
        <f t="shared" ref="C1532:C1534" si="642">DATE(2012,12,31)-1455</f>
        <v>39819</v>
      </c>
      <c r="D1532" s="4" t="s">
        <v>45</v>
      </c>
      <c r="E1532" s="4">
        <v>23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150.97999999999999</v>
      </c>
      <c r="K1532" s="4">
        <v>30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3">C1532+2</f>
        <v>39821</v>
      </c>
    </row>
    <row r="1533" spans="1:21" ht="12" customHeight="1">
      <c r="A1533" s="4">
        <v>2002</v>
      </c>
      <c r="B1533" s="4">
        <v>14274</v>
      </c>
      <c r="C1533" s="5">
        <f t="shared" si="642"/>
        <v>39819</v>
      </c>
      <c r="D1533" s="4" t="s">
        <v>45</v>
      </c>
      <c r="E1533" s="4">
        <v>46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0.57999999999999996</v>
      </c>
      <c r="U1533" s="5">
        <f t="shared" si="643"/>
        <v>39821</v>
      </c>
    </row>
    <row r="1534" spans="1:21" ht="12" customHeight="1">
      <c r="A1534" s="4">
        <v>2003</v>
      </c>
      <c r="B1534" s="4">
        <v>14274</v>
      </c>
      <c r="C1534" s="5">
        <f t="shared" si="642"/>
        <v>39819</v>
      </c>
      <c r="D1534" s="4" t="s">
        <v>45</v>
      </c>
      <c r="E1534" s="4">
        <v>2</v>
      </c>
      <c r="F1534" s="4">
        <v>61.718499999999999</v>
      </c>
      <c r="G1534" s="4">
        <v>0.03</v>
      </c>
      <c r="H1534" s="4" t="s">
        <v>22</v>
      </c>
      <c r="I1534" s="6">
        <v>-164.04300000000001</v>
      </c>
      <c r="J1534" s="4">
        <v>35.99</v>
      </c>
      <c r="K1534" s="4">
        <v>1.1000000000000001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0.55000000000000004</v>
      </c>
      <c r="U1534" s="5">
        <f>C1534+1</f>
        <v>39820</v>
      </c>
    </row>
    <row r="1535" spans="1:21" ht="12" customHeight="1">
      <c r="A1535" s="4">
        <v>2039</v>
      </c>
      <c r="B1535" s="4">
        <v>14530</v>
      </c>
      <c r="C1535" s="5">
        <f t="shared" ref="C1535:C1537" si="644">DATE(2012,12,31)-1365</f>
        <v>39909</v>
      </c>
      <c r="D1535" s="4" t="s">
        <v>30</v>
      </c>
      <c r="E1535" s="4">
        <v>17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5">C1535+2</f>
        <v>39911</v>
      </c>
    </row>
    <row r="1536" spans="1:21" ht="12" customHeight="1">
      <c r="A1536" s="4">
        <v>2040</v>
      </c>
      <c r="B1536" s="4">
        <v>14530</v>
      </c>
      <c r="C1536" s="5">
        <f t="shared" si="644"/>
        <v>39909</v>
      </c>
      <c r="D1536" s="4" t="s">
        <v>30</v>
      </c>
      <c r="E1536" s="4">
        <v>49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0.56999999999999995</v>
      </c>
      <c r="U1536" s="5">
        <f t="shared" si="645"/>
        <v>39911</v>
      </c>
    </row>
    <row r="1537" spans="1:21" ht="12" customHeight="1">
      <c r="A1537" s="4">
        <v>2041</v>
      </c>
      <c r="B1537" s="4">
        <v>14530</v>
      </c>
      <c r="C1537" s="5">
        <f t="shared" si="644"/>
        <v>39909</v>
      </c>
      <c r="D1537" s="4" t="s">
        <v>30</v>
      </c>
      <c r="E1537" s="4">
        <v>44</v>
      </c>
      <c r="F1537" s="4">
        <v>4851.5024999999996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0.57999999999999996</v>
      </c>
      <c r="U1537" s="5">
        <f t="shared" ref="U1537:U1538" si="646">C1537+0</f>
        <v>39909</v>
      </c>
    </row>
    <row r="1538" spans="1:21" ht="12" customHeight="1">
      <c r="A1538" s="4">
        <v>3003</v>
      </c>
      <c r="B1538" s="4">
        <v>21635</v>
      </c>
      <c r="C1538" s="5">
        <f>DATE(2012,12,31)-1125</f>
        <v>40149</v>
      </c>
      <c r="D1538" s="4" t="s">
        <v>21</v>
      </c>
      <c r="E1538" s="4">
        <v>2</v>
      </c>
      <c r="F1538" s="4">
        <v>65.31</v>
      </c>
      <c r="G1538" s="4">
        <v>0</v>
      </c>
      <c r="H1538" s="4" t="s">
        <v>22</v>
      </c>
      <c r="I1538" s="6">
        <v>-34.419499999999999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6"/>
        <v>40149</v>
      </c>
    </row>
    <row r="1539" spans="1:21" ht="12" customHeight="1">
      <c r="A1539" s="4">
        <v>3529</v>
      </c>
      <c r="B1539" s="4">
        <v>25120</v>
      </c>
      <c r="C1539" s="5">
        <f t="shared" ref="C1539:C1541" si="647">DATE(2012,12,31)-1426</f>
        <v>39848</v>
      </c>
      <c r="D1539" s="4" t="s">
        <v>63</v>
      </c>
      <c r="E1539" s="4">
        <v>46</v>
      </c>
      <c r="F1539" s="4">
        <v>237.15</v>
      </c>
      <c r="G1539" s="4">
        <v>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spans="1:21" ht="12" customHeight="1">
      <c r="A1540" s="4">
        <v>3530</v>
      </c>
      <c r="B1540" s="4">
        <v>25120</v>
      </c>
      <c r="C1540" s="5">
        <f t="shared" si="647"/>
        <v>39848</v>
      </c>
      <c r="D1540" s="4" t="s">
        <v>63</v>
      </c>
      <c r="E1540" s="4">
        <v>22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spans="1:21" ht="12" customHeight="1">
      <c r="A1541" s="4">
        <v>3531</v>
      </c>
      <c r="B1541" s="4">
        <v>25120</v>
      </c>
      <c r="C1541" s="5">
        <f t="shared" si="647"/>
        <v>39848</v>
      </c>
      <c r="D1541" s="4" t="s">
        <v>63</v>
      </c>
      <c r="E1541" s="4">
        <v>10</v>
      </c>
      <c r="F1541" s="4">
        <v>71.86</v>
      </c>
      <c r="G1541" s="4">
        <v>0.1</v>
      </c>
      <c r="H1541" s="4" t="s">
        <v>22</v>
      </c>
      <c r="I1541" s="6">
        <v>-35.520000000000003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spans="1:21" ht="12" customHeight="1">
      <c r="A1542" s="4">
        <v>3563</v>
      </c>
      <c r="B1542" s="4">
        <v>25440</v>
      </c>
      <c r="C1542" s="5">
        <f>DATE(2012,12,31)-1424</f>
        <v>39850</v>
      </c>
      <c r="D1542" s="4" t="s">
        <v>30</v>
      </c>
      <c r="E1542" s="4">
        <v>30</v>
      </c>
      <c r="F1542" s="4">
        <v>6589.3040000000001</v>
      </c>
      <c r="G1542" s="4">
        <v>0.02</v>
      </c>
      <c r="H1542" s="4" t="s">
        <v>31</v>
      </c>
      <c r="I1542" s="6">
        <v>912.48</v>
      </c>
      <c r="J1542" s="4">
        <v>259.70999999999998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spans="1:21" ht="12" customHeight="1">
      <c r="A1543" s="4">
        <v>3620</v>
      </c>
      <c r="B1543" s="4">
        <v>25831</v>
      </c>
      <c r="C1543" s="5">
        <f>DATE(2012,12,31)-1204</f>
        <v>40070</v>
      </c>
      <c r="D1543" s="4" t="s">
        <v>63</v>
      </c>
      <c r="E1543" s="4">
        <v>6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0.56000000000000005</v>
      </c>
      <c r="U1543" s="5">
        <f>C1543+2</f>
        <v>40072</v>
      </c>
    </row>
    <row r="1544" spans="1:21" ht="12" customHeight="1">
      <c r="A1544" s="4">
        <v>4234</v>
      </c>
      <c r="B1544" s="4">
        <v>30083</v>
      </c>
      <c r="C1544" s="5">
        <f>DATE(2012,12,31)-1453</f>
        <v>39821</v>
      </c>
      <c r="D1544" s="4" t="s">
        <v>45</v>
      </c>
      <c r="E1544" s="4">
        <v>23</v>
      </c>
      <c r="F1544" s="4">
        <v>324.27999999999997</v>
      </c>
      <c r="G1544" s="4">
        <v>7.0000000000000007E-2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0.57999999999999996</v>
      </c>
      <c r="U1544" s="5">
        <f>C1544+1</f>
        <v>39822</v>
      </c>
    </row>
    <row r="1545" spans="1:21" ht="12" customHeight="1">
      <c r="A1545" s="4">
        <v>4686</v>
      </c>
      <c r="B1545" s="4">
        <v>33350</v>
      </c>
      <c r="C1545" s="5">
        <f>DATE(2012,12,31)-1259</f>
        <v>40015</v>
      </c>
      <c r="D1545" s="4" t="s">
        <v>45</v>
      </c>
      <c r="E1545" s="4">
        <v>1</v>
      </c>
      <c r="F1545" s="4">
        <v>1786.04</v>
      </c>
      <c r="G1545" s="4">
        <v>0.1</v>
      </c>
      <c r="H1545" s="4" t="s">
        <v>22</v>
      </c>
      <c r="I1545" s="6">
        <v>-924.99099999999999</v>
      </c>
      <c r="J1545" s="4">
        <v>1889.99</v>
      </c>
      <c r="K1545" s="4">
        <v>19.989999999999998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spans="1:21" ht="12" customHeight="1">
      <c r="A1546" s="4">
        <v>5963</v>
      </c>
      <c r="B1546" s="4">
        <v>42309</v>
      </c>
      <c r="C1546" s="5">
        <f t="shared" ref="C1546:C1548" si="648">DATE(2012,12,31)-1243</f>
        <v>40031</v>
      </c>
      <c r="D1546" s="4" t="s">
        <v>21</v>
      </c>
      <c r="E1546" s="4">
        <v>41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0.57999999999999996</v>
      </c>
      <c r="U1546" s="5">
        <f>C1546+2</f>
        <v>40033</v>
      </c>
    </row>
    <row r="1547" spans="1:21" ht="12" customHeight="1">
      <c r="A1547" s="4">
        <v>5964</v>
      </c>
      <c r="B1547" s="4">
        <v>42309</v>
      </c>
      <c r="C1547" s="5">
        <f t="shared" si="648"/>
        <v>40031</v>
      </c>
      <c r="D1547" s="4" t="s">
        <v>21</v>
      </c>
      <c r="E1547" s="4">
        <v>26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49">C1547+5</f>
        <v>40036</v>
      </c>
    </row>
    <row r="1548" spans="1:21" ht="12" customHeight="1">
      <c r="A1548" s="4">
        <v>5965</v>
      </c>
      <c r="B1548" s="4">
        <v>42309</v>
      </c>
      <c r="C1548" s="5">
        <f t="shared" si="648"/>
        <v>40031</v>
      </c>
      <c r="D1548" s="4" t="s">
        <v>21</v>
      </c>
      <c r="E1548" s="4">
        <v>38</v>
      </c>
      <c r="F1548" s="4">
        <v>6427.2579999999998</v>
      </c>
      <c r="G1548" s="4">
        <v>0.08</v>
      </c>
      <c r="H1548" s="4" t="s">
        <v>22</v>
      </c>
      <c r="I1548" s="6">
        <v>1636.4069999999999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49"/>
        <v>40036</v>
      </c>
    </row>
    <row r="1549" spans="1:21" ht="12" customHeight="1">
      <c r="A1549" s="4">
        <v>6396</v>
      </c>
      <c r="B1549" s="4">
        <v>45410</v>
      </c>
      <c r="C1549" s="5">
        <f>DATE(2012,12,31)-1230</f>
        <v>40044</v>
      </c>
      <c r="D1549" s="4" t="s">
        <v>21</v>
      </c>
      <c r="E1549" s="4">
        <v>19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19.989999999999998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49"/>
        <v>40049</v>
      </c>
    </row>
    <row r="1550" spans="1:21" ht="12" customHeight="1">
      <c r="A1550" s="4">
        <v>6935</v>
      </c>
      <c r="B1550" s="4">
        <v>49504</v>
      </c>
      <c r="C1550" s="5">
        <f>DATE(2012,12,31)-1141</f>
        <v>40133</v>
      </c>
      <c r="D1550" s="4" t="s">
        <v>45</v>
      </c>
      <c r="E1550" s="4">
        <v>45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spans="1:21" ht="12" customHeight="1">
      <c r="A1551" s="4">
        <v>7006</v>
      </c>
      <c r="B1551" s="4">
        <v>50016</v>
      </c>
      <c r="C1551" s="5">
        <f>DATE(2012,12,31)-1366</f>
        <v>39908</v>
      </c>
      <c r="D1551" s="4" t="s">
        <v>30</v>
      </c>
      <c r="E1551" s="4">
        <v>15</v>
      </c>
      <c r="F1551" s="4">
        <v>1093.6355000000001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0.55000000000000004</v>
      </c>
      <c r="U1551" s="5">
        <f t="shared" ref="U1551:U1552" si="650">C1551+2</f>
        <v>39910</v>
      </c>
    </row>
    <row r="1552" spans="1:21" ht="12" customHeight="1">
      <c r="A1552" s="4">
        <v>7182</v>
      </c>
      <c r="B1552" s="4">
        <v>51266</v>
      </c>
      <c r="C1552" s="5">
        <f t="shared" ref="C1552:C1555" si="651">DATE(2012,12,31)-1377</f>
        <v>39897</v>
      </c>
      <c r="D1552" s="4" t="s">
        <v>45</v>
      </c>
      <c r="E1552" s="4">
        <v>11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150.97999999999999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0"/>
        <v>39899</v>
      </c>
    </row>
    <row r="1553" spans="1:21" ht="12" customHeight="1">
      <c r="A1553" s="4">
        <v>7183</v>
      </c>
      <c r="B1553" s="4">
        <v>51266</v>
      </c>
      <c r="C1553" s="5">
        <f t="shared" si="651"/>
        <v>39897</v>
      </c>
      <c r="D1553" s="4" t="s">
        <v>45</v>
      </c>
      <c r="E1553" s="4">
        <v>30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9.0299999999999994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spans="1:21" ht="12" customHeight="1">
      <c r="A1554" s="4">
        <v>7184</v>
      </c>
      <c r="B1554" s="4">
        <v>51266</v>
      </c>
      <c r="C1554" s="5">
        <f t="shared" si="651"/>
        <v>39897</v>
      </c>
      <c r="D1554" s="4" t="s">
        <v>45</v>
      </c>
      <c r="E1554" s="4">
        <v>23</v>
      </c>
      <c r="F1554" s="4">
        <v>278.83</v>
      </c>
      <c r="G1554" s="4">
        <v>0.03</v>
      </c>
      <c r="H1554" s="4" t="s">
        <v>22</v>
      </c>
      <c r="I1554" s="6">
        <v>35.159999999999997</v>
      </c>
      <c r="J1554" s="4">
        <v>12.28</v>
      </c>
      <c r="K1554" s="4">
        <v>4.8600000000000003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spans="1:21" ht="12" customHeight="1">
      <c r="A1555" s="4">
        <v>7185</v>
      </c>
      <c r="B1555" s="4">
        <v>51266</v>
      </c>
      <c r="C1555" s="5">
        <f t="shared" si="651"/>
        <v>39897</v>
      </c>
      <c r="D1555" s="4" t="s">
        <v>45</v>
      </c>
      <c r="E1555" s="4">
        <v>46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spans="1:21" ht="12" customHeight="1">
      <c r="A1556" s="4">
        <v>7682</v>
      </c>
      <c r="B1556" s="4">
        <v>55045</v>
      </c>
      <c r="C1556" s="5">
        <f>DATE(2012,12,31)-1135</f>
        <v>40139</v>
      </c>
      <c r="D1556" s="4" t="s">
        <v>30</v>
      </c>
      <c r="E1556" s="4">
        <v>20</v>
      </c>
      <c r="F1556" s="4">
        <v>632.04999999999995</v>
      </c>
      <c r="G1556" s="4">
        <v>0.09</v>
      </c>
      <c r="H1556" s="4" t="s">
        <v>22</v>
      </c>
      <c r="I1556" s="6">
        <v>-626.61</v>
      </c>
      <c r="J1556" s="4">
        <v>32.479999999999997</v>
      </c>
      <c r="K1556" s="4">
        <v>35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spans="1:21" ht="12" customHeight="1">
      <c r="A1557" s="4">
        <v>7817</v>
      </c>
      <c r="B1557" s="4">
        <v>55906</v>
      </c>
      <c r="C1557" s="5">
        <f t="shared" ref="C1557:C1559" si="652">DATE(2012,12,31)-1131</f>
        <v>40143</v>
      </c>
      <c r="D1557" s="4" t="s">
        <v>78</v>
      </c>
      <c r="E1557" s="4">
        <v>49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spans="1:21" ht="12" customHeight="1">
      <c r="A1558" s="4">
        <v>7818</v>
      </c>
      <c r="B1558" s="4">
        <v>55906</v>
      </c>
      <c r="C1558" s="5">
        <f t="shared" si="652"/>
        <v>40143</v>
      </c>
      <c r="D1558" s="4" t="s">
        <v>78</v>
      </c>
      <c r="E1558" s="4">
        <v>15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3">C1558+1</f>
        <v>40144</v>
      </c>
    </row>
    <row r="1559" spans="1:21" ht="12" customHeight="1">
      <c r="A1559" s="4">
        <v>7819</v>
      </c>
      <c r="B1559" s="4">
        <v>55906</v>
      </c>
      <c r="C1559" s="5">
        <f t="shared" si="652"/>
        <v>40143</v>
      </c>
      <c r="D1559" s="4" t="s">
        <v>78</v>
      </c>
      <c r="E1559" s="4">
        <v>42</v>
      </c>
      <c r="F1559" s="4">
        <v>2269.0100000000002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19.989999999999998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3"/>
        <v>40144</v>
      </c>
    </row>
    <row r="1560" spans="1:21" ht="12" customHeight="1">
      <c r="A1560" s="4">
        <v>667</v>
      </c>
      <c r="B1560" s="4">
        <v>4674</v>
      </c>
      <c r="C1560" s="5">
        <f>DATE(2012,12,31)-1353</f>
        <v>39921</v>
      </c>
      <c r="D1560" s="4" t="s">
        <v>78</v>
      </c>
      <c r="E1560" s="4">
        <v>23</v>
      </c>
      <c r="F1560" s="4">
        <v>3041.33</v>
      </c>
      <c r="G1560" s="4">
        <v>0.02</v>
      </c>
      <c r="H1560" s="4" t="s">
        <v>31</v>
      </c>
      <c r="I1560" s="6">
        <v>-260.41000000000003</v>
      </c>
      <c r="J1560" s="4">
        <v>130.97999999999999</v>
      </c>
      <c r="K1560" s="4">
        <v>30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3"/>
        <v>39922</v>
      </c>
    </row>
    <row r="1561" spans="1:21" ht="12" customHeight="1">
      <c r="A1561" s="4">
        <v>842</v>
      </c>
      <c r="B1561" s="4">
        <v>6020</v>
      </c>
      <c r="C1561" s="5">
        <f>DATE(2012,12,31)-1197</f>
        <v>40077</v>
      </c>
      <c r="D1561" s="4" t="s">
        <v>63</v>
      </c>
      <c r="E1561" s="4">
        <v>23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spans="1:21" ht="12" customHeight="1">
      <c r="A1562" s="4">
        <v>849</v>
      </c>
      <c r="B1562" s="4">
        <v>6112</v>
      </c>
      <c r="C1562" s="5">
        <f t="shared" ref="C1562:C1563" si="654">DATE(2012,12,31)-1226</f>
        <v>40048</v>
      </c>
      <c r="D1562" s="4" t="s">
        <v>63</v>
      </c>
      <c r="E1562" s="4">
        <v>10</v>
      </c>
      <c r="F1562" s="4">
        <v>1597.37</v>
      </c>
      <c r="G1562" s="4">
        <v>0.02</v>
      </c>
      <c r="H1562" s="4" t="s">
        <v>31</v>
      </c>
      <c r="I1562" s="6">
        <v>-533.69000000000005</v>
      </c>
      <c r="J1562" s="4">
        <v>146.05000000000001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spans="1:21" ht="12" customHeight="1">
      <c r="A1563" s="4">
        <v>850</v>
      </c>
      <c r="B1563" s="4">
        <v>6112</v>
      </c>
      <c r="C1563" s="5">
        <f t="shared" si="654"/>
        <v>40048</v>
      </c>
      <c r="D1563" s="4" t="s">
        <v>63</v>
      </c>
      <c r="E1563" s="4">
        <v>31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65.989999999999995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0.55000000000000004</v>
      </c>
      <c r="U1563" s="5">
        <f t="shared" ref="U1563:U1564" si="655">C1563+1</f>
        <v>40049</v>
      </c>
    </row>
    <row r="1564" spans="1:21" ht="12" customHeight="1">
      <c r="A1564" s="4">
        <v>1058</v>
      </c>
      <c r="B1564" s="4">
        <v>7815</v>
      </c>
      <c r="C1564" s="5">
        <f>DATE(2012,12,31)-1439</f>
        <v>39835</v>
      </c>
      <c r="D1564" s="4" t="s">
        <v>78</v>
      </c>
      <c r="E1564" s="4">
        <v>6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32.979999999999997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5"/>
        <v>39836</v>
      </c>
    </row>
    <row r="1565" spans="1:21" ht="12" customHeight="1">
      <c r="A1565" s="4">
        <v>1422</v>
      </c>
      <c r="B1565" s="4">
        <v>10309</v>
      </c>
      <c r="C1565" s="5">
        <f>DATE(2012,12,31)-1136</f>
        <v>40138</v>
      </c>
      <c r="D1565" s="4" t="s">
        <v>21</v>
      </c>
      <c r="E1565" s="4">
        <v>23</v>
      </c>
      <c r="F1565" s="4">
        <v>496.15</v>
      </c>
      <c r="G1565" s="4">
        <v>0.03</v>
      </c>
      <c r="H1565" s="4" t="s">
        <v>22</v>
      </c>
      <c r="I1565" s="6">
        <v>213.37549999999999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spans="1:21" ht="12" customHeight="1">
      <c r="A1566" s="4">
        <v>1517</v>
      </c>
      <c r="B1566" s="4">
        <v>10978</v>
      </c>
      <c r="C1566" s="5">
        <f>DATE(2012,12,31)-1370</f>
        <v>39904</v>
      </c>
      <c r="D1566" s="4" t="s">
        <v>78</v>
      </c>
      <c r="E1566" s="4">
        <v>9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6">C1566+1</f>
        <v>39905</v>
      </c>
    </row>
    <row r="1567" spans="1:21" ht="12" customHeight="1">
      <c r="A1567" s="4">
        <v>1907</v>
      </c>
      <c r="B1567" s="4">
        <v>13635</v>
      </c>
      <c r="C1567" s="5">
        <f t="shared" ref="C1567:C1568" si="657">DATE(2012,12,31)-1340</f>
        <v>39934</v>
      </c>
      <c r="D1567" s="4" t="s">
        <v>78</v>
      </c>
      <c r="E1567" s="4">
        <v>28</v>
      </c>
      <c r="F1567" s="4">
        <v>149</v>
      </c>
      <c r="G1567" s="4">
        <v>0.06</v>
      </c>
      <c r="H1567" s="4" t="s">
        <v>22</v>
      </c>
      <c r="I1567" s="6">
        <v>-119.48</v>
      </c>
      <c r="J1567" s="4">
        <v>4.9800000000000004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6"/>
        <v>39935</v>
      </c>
    </row>
    <row r="1568" spans="1:21" ht="12" customHeight="1">
      <c r="A1568" s="4">
        <v>1908</v>
      </c>
      <c r="B1568" s="4">
        <v>13635</v>
      </c>
      <c r="C1568" s="5">
        <f t="shared" si="657"/>
        <v>39934</v>
      </c>
      <c r="D1568" s="4" t="s">
        <v>78</v>
      </c>
      <c r="E1568" s="4">
        <v>49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spans="1:21" ht="12" customHeight="1">
      <c r="A1569" s="4">
        <v>2203</v>
      </c>
      <c r="B1569" s="4">
        <v>15904</v>
      </c>
      <c r="C1569" s="5">
        <f t="shared" ref="C1569:C1570" si="658">DATE(2012,12,31)-1161</f>
        <v>40113</v>
      </c>
      <c r="D1569" s="4" t="s">
        <v>45</v>
      </c>
      <c r="E1569" s="4">
        <v>39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0.56000000000000005</v>
      </c>
      <c r="U1569" s="5">
        <f>C1569+1</f>
        <v>40114</v>
      </c>
    </row>
    <row r="1570" spans="1:21" ht="12" customHeight="1">
      <c r="A1570" s="4">
        <v>2204</v>
      </c>
      <c r="B1570" s="4">
        <v>15904</v>
      </c>
      <c r="C1570" s="5">
        <f t="shared" si="658"/>
        <v>40113</v>
      </c>
      <c r="D1570" s="4" t="s">
        <v>45</v>
      </c>
      <c r="E1570" s="4">
        <v>49</v>
      </c>
      <c r="F1570" s="4">
        <v>1836.84</v>
      </c>
      <c r="G1570" s="4">
        <v>0.09</v>
      </c>
      <c r="H1570" s="4" t="s">
        <v>56</v>
      </c>
      <c r="I1570" s="6">
        <v>129.94999999999999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spans="1:21" ht="12" customHeight="1">
      <c r="A1571" s="4">
        <v>2661</v>
      </c>
      <c r="B1571" s="4">
        <v>19232</v>
      </c>
      <c r="C1571" s="5">
        <f t="shared" ref="C1571:C1573" si="659">DATE(2012,12,31)-1268</f>
        <v>40006</v>
      </c>
      <c r="D1571" s="4" t="s">
        <v>21</v>
      </c>
      <c r="E1571" s="4">
        <v>43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spans="1:21" ht="12" customHeight="1">
      <c r="A1572" s="4">
        <v>2662</v>
      </c>
      <c r="B1572" s="4">
        <v>19232</v>
      </c>
      <c r="C1572" s="5">
        <f t="shared" si="659"/>
        <v>40006</v>
      </c>
      <c r="D1572" s="4" t="s">
        <v>21</v>
      </c>
      <c r="E1572" s="4">
        <v>5</v>
      </c>
      <c r="F1572" s="4">
        <v>33.409999999999997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spans="1:21" ht="12" customHeight="1">
      <c r="A1573" s="4">
        <v>2663</v>
      </c>
      <c r="B1573" s="4">
        <v>19232</v>
      </c>
      <c r="C1573" s="5">
        <f t="shared" si="659"/>
        <v>40006</v>
      </c>
      <c r="D1573" s="4" t="s">
        <v>21</v>
      </c>
      <c r="E1573" s="4">
        <v>28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spans="1:21" ht="12" customHeight="1">
      <c r="A1574" s="4">
        <v>2679</v>
      </c>
      <c r="B1574" s="4">
        <v>19367</v>
      </c>
      <c r="C1574" s="5">
        <f>DATE(2012,12,31)-1351</f>
        <v>39923</v>
      </c>
      <c r="D1574" s="4" t="s">
        <v>30</v>
      </c>
      <c r="E1574" s="4">
        <v>20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spans="1:21" ht="12" customHeight="1">
      <c r="A1575" s="4">
        <v>3040</v>
      </c>
      <c r="B1575" s="4">
        <v>21830</v>
      </c>
      <c r="C1575" s="5">
        <f>DATE(2012,12,31)-1450</f>
        <v>39824</v>
      </c>
      <c r="D1575" s="4" t="s">
        <v>21</v>
      </c>
      <c r="E1575" s="4">
        <v>19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0.56000000000000005</v>
      </c>
      <c r="U1575" s="5">
        <f>C1575+7</f>
        <v>39831</v>
      </c>
    </row>
    <row r="1576" spans="1:21" ht="12" customHeight="1">
      <c r="A1576" s="4">
        <v>3086</v>
      </c>
      <c r="B1576" s="4">
        <v>22147</v>
      </c>
      <c r="C1576" s="5">
        <f>DATE(2012,12,31)-1445</f>
        <v>39829</v>
      </c>
      <c r="D1576" s="4" t="s">
        <v>21</v>
      </c>
      <c r="E1576" s="4">
        <v>37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spans="1:21" ht="12" customHeight="1">
      <c r="A1577" s="4">
        <v>3103</v>
      </c>
      <c r="B1577" s="4">
        <v>22243</v>
      </c>
      <c r="C1577" s="5">
        <f>DATE(2012,12,31)-1446</f>
        <v>39828</v>
      </c>
      <c r="D1577" s="4" t="s">
        <v>78</v>
      </c>
      <c r="E1577" s="4">
        <v>9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0.56000000000000005</v>
      </c>
      <c r="U1577" s="5">
        <f>C1577+1</f>
        <v>39829</v>
      </c>
    </row>
    <row r="1578" spans="1:21" ht="12" customHeight="1">
      <c r="A1578" s="4">
        <v>3392</v>
      </c>
      <c r="B1578" s="4">
        <v>24193</v>
      </c>
      <c r="C1578" s="5">
        <f t="shared" ref="C1578:C1580" si="660">DATE(2012,12,31)-1388</f>
        <v>39886</v>
      </c>
      <c r="D1578" s="4" t="s">
        <v>45</v>
      </c>
      <c r="E1578" s="4">
        <v>45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spans="1:21" ht="12" customHeight="1">
      <c r="A1579" s="4">
        <v>3393</v>
      </c>
      <c r="B1579" s="4">
        <v>24193</v>
      </c>
      <c r="C1579" s="5">
        <f t="shared" si="660"/>
        <v>39886</v>
      </c>
      <c r="D1579" s="4" t="s">
        <v>45</v>
      </c>
      <c r="E1579" s="4">
        <v>24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spans="1:21" ht="12" customHeight="1">
      <c r="A1580" s="4">
        <v>3394</v>
      </c>
      <c r="B1580" s="4">
        <v>24193</v>
      </c>
      <c r="C1580" s="5">
        <f t="shared" si="660"/>
        <v>39886</v>
      </c>
      <c r="D1580" s="4" t="s">
        <v>45</v>
      </c>
      <c r="E1580" s="4">
        <v>19</v>
      </c>
      <c r="F1580" s="4">
        <v>1426.5125</v>
      </c>
      <c r="G1580" s="4">
        <v>0.04</v>
      </c>
      <c r="H1580" s="4" t="s">
        <v>22</v>
      </c>
      <c r="I1580" s="6">
        <v>-175.17500000000001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1">C1580+2</f>
        <v>39888</v>
      </c>
    </row>
    <row r="1581" spans="1:21" ht="12" customHeight="1">
      <c r="A1581" s="4">
        <v>3517</v>
      </c>
      <c r="B1581" s="4">
        <v>25060</v>
      </c>
      <c r="C1581" s="5">
        <f t="shared" ref="C1581:C1582" si="662">DATE(2012,12,31)-1260</f>
        <v>40014</v>
      </c>
      <c r="D1581" s="4" t="s">
        <v>45</v>
      </c>
      <c r="E1581" s="4">
        <v>6</v>
      </c>
      <c r="F1581" s="4">
        <v>7767.02</v>
      </c>
      <c r="G1581" s="4">
        <v>0.03</v>
      </c>
      <c r="H1581" s="4" t="s">
        <v>22</v>
      </c>
      <c r="I1581" s="6">
        <v>2070.6170000000002</v>
      </c>
      <c r="J1581" s="4">
        <v>1270.99</v>
      </c>
      <c r="K1581" s="4">
        <v>19.989999999999998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1"/>
        <v>40016</v>
      </c>
    </row>
    <row r="1582" spans="1:21" ht="12" customHeight="1">
      <c r="A1582" s="4">
        <v>3518</v>
      </c>
      <c r="B1582" s="4">
        <v>25060</v>
      </c>
      <c r="C1582" s="5">
        <f t="shared" si="662"/>
        <v>40014</v>
      </c>
      <c r="D1582" s="4" t="s">
        <v>45</v>
      </c>
      <c r="E1582" s="4">
        <v>1</v>
      </c>
      <c r="F1582" s="4">
        <v>1893.93</v>
      </c>
      <c r="G1582" s="4">
        <v>7.0000000000000007E-2</v>
      </c>
      <c r="H1582" s="4" t="s">
        <v>31</v>
      </c>
      <c r="I1582" s="6">
        <v>-4654.7349000000004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0.55000000000000004</v>
      </c>
      <c r="U1582" s="5">
        <f t="shared" si="661"/>
        <v>40016</v>
      </c>
    </row>
    <row r="1583" spans="1:21" ht="12" customHeight="1">
      <c r="A1583" s="4">
        <v>3767</v>
      </c>
      <c r="B1583" s="4">
        <v>26913</v>
      </c>
      <c r="C1583" s="5">
        <f>DATE(2012,12,31)-1189</f>
        <v>40085</v>
      </c>
      <c r="D1583" s="4" t="s">
        <v>30</v>
      </c>
      <c r="E1583" s="4">
        <v>11</v>
      </c>
      <c r="F1583" s="4">
        <v>642.91449999999998</v>
      </c>
      <c r="G1583" s="4">
        <v>0.01</v>
      </c>
      <c r="H1583" s="4" t="s">
        <v>22</v>
      </c>
      <c r="I1583" s="6">
        <v>-118.8</v>
      </c>
      <c r="J1583" s="4">
        <v>65.989999999999995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1"/>
        <v>40087</v>
      </c>
    </row>
    <row r="1584" spans="1:21" ht="12" customHeight="1">
      <c r="A1584" s="4">
        <v>3855</v>
      </c>
      <c r="B1584" s="4">
        <v>27491</v>
      </c>
      <c r="C1584" s="5">
        <f t="shared" ref="C1584:C1586" si="663">DATE(2012,12,31)-1362</f>
        <v>39912</v>
      </c>
      <c r="D1584" s="4" t="s">
        <v>45</v>
      </c>
      <c r="E1584" s="4">
        <v>11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19.989999999999998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1"/>
        <v>39914</v>
      </c>
    </row>
    <row r="1585" spans="1:21" ht="12" customHeight="1">
      <c r="A1585" s="4">
        <v>3856</v>
      </c>
      <c r="B1585" s="4">
        <v>27491</v>
      </c>
      <c r="C1585" s="5">
        <f t="shared" si="663"/>
        <v>39912</v>
      </c>
      <c r="D1585" s="4" t="s">
        <v>45</v>
      </c>
      <c r="E1585" s="4">
        <v>36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spans="1:21" ht="12" customHeight="1">
      <c r="A1586" s="4">
        <v>3857</v>
      </c>
      <c r="B1586" s="4">
        <v>27491</v>
      </c>
      <c r="C1586" s="5">
        <f t="shared" si="663"/>
        <v>39912</v>
      </c>
      <c r="D1586" s="4" t="s">
        <v>45</v>
      </c>
      <c r="E1586" s="4">
        <v>2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spans="1:21" ht="12" customHeight="1">
      <c r="A1587" s="4">
        <v>4243</v>
      </c>
      <c r="B1587" s="4">
        <v>30176</v>
      </c>
      <c r="C1587" s="5">
        <f>DATE(2012,12,31)-1352</f>
        <v>39922</v>
      </c>
      <c r="D1587" s="4" t="s">
        <v>21</v>
      </c>
      <c r="E1587" s="4">
        <v>30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spans="1:21" ht="12" customHeight="1">
      <c r="A1588" s="4">
        <v>4291</v>
      </c>
      <c r="B1588" s="4">
        <v>30567</v>
      </c>
      <c r="C1588" s="5">
        <f t="shared" ref="C1588:C1591" si="664">DATE(2012,12,31)-1447</f>
        <v>39827</v>
      </c>
      <c r="D1588" s="4" t="s">
        <v>45</v>
      </c>
      <c r="E1588" s="4">
        <v>14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0.57999999999999996</v>
      </c>
      <c r="U1588" s="5">
        <f>C1588+0</f>
        <v>39827</v>
      </c>
    </row>
    <row r="1589" spans="1:21" ht="12" customHeight="1">
      <c r="A1589" s="4">
        <v>4292</v>
      </c>
      <c r="B1589" s="4">
        <v>30567</v>
      </c>
      <c r="C1589" s="5">
        <f t="shared" si="664"/>
        <v>39827</v>
      </c>
      <c r="D1589" s="4" t="s">
        <v>45</v>
      </c>
      <c r="E1589" s="4">
        <v>8</v>
      </c>
      <c r="F1589" s="4">
        <v>733.55</v>
      </c>
      <c r="G1589" s="4">
        <v>7.0000000000000007E-2</v>
      </c>
      <c r="H1589" s="4" t="s">
        <v>22</v>
      </c>
      <c r="I1589" s="6">
        <v>103.13</v>
      </c>
      <c r="J1589" s="4">
        <v>90.48</v>
      </c>
      <c r="K1589" s="4">
        <v>19.989999999999998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spans="1:21" ht="12" customHeight="1">
      <c r="A1590" s="4">
        <v>4293</v>
      </c>
      <c r="B1590" s="4">
        <v>30567</v>
      </c>
      <c r="C1590" s="5">
        <f t="shared" si="664"/>
        <v>39827</v>
      </c>
      <c r="D1590" s="4" t="s">
        <v>45</v>
      </c>
      <c r="E1590" s="4">
        <v>3</v>
      </c>
      <c r="F1590" s="4">
        <v>38.71</v>
      </c>
      <c r="G1590" s="4">
        <v>0.01</v>
      </c>
      <c r="H1590" s="4" t="s">
        <v>56</v>
      </c>
      <c r="I1590" s="6">
        <v>23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spans="1:21" ht="12" customHeight="1">
      <c r="A1591" s="4">
        <v>4294</v>
      </c>
      <c r="B1591" s="4">
        <v>30567</v>
      </c>
      <c r="C1591" s="5">
        <f t="shared" si="664"/>
        <v>39827</v>
      </c>
      <c r="D1591" s="4" t="s">
        <v>45</v>
      </c>
      <c r="E1591" s="4">
        <v>14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0.56000000000000005</v>
      </c>
      <c r="U1591" s="5">
        <f>C1591+1</f>
        <v>39828</v>
      </c>
    </row>
    <row r="1592" spans="1:21" ht="12" customHeight="1">
      <c r="A1592" s="4">
        <v>4470</v>
      </c>
      <c r="B1592" s="4">
        <v>31847</v>
      </c>
      <c r="C1592" s="5">
        <f>DATE(2012,12,31)-1109</f>
        <v>40165</v>
      </c>
      <c r="D1592" s="4" t="s">
        <v>21</v>
      </c>
      <c r="E1592" s="4">
        <v>46</v>
      </c>
      <c r="F1592" s="4">
        <v>1692.28</v>
      </c>
      <c r="G1592" s="4">
        <v>0.1</v>
      </c>
      <c r="H1592" s="4" t="s">
        <v>22</v>
      </c>
      <c r="I1592" s="6">
        <v>61</v>
      </c>
      <c r="J1592" s="4">
        <v>39.979999999999997</v>
      </c>
      <c r="K1592" s="4">
        <v>4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spans="1:21" ht="12" customHeight="1">
      <c r="A1593" s="4">
        <v>4612</v>
      </c>
      <c r="B1593" s="4">
        <v>32868</v>
      </c>
      <c r="C1593" s="5">
        <f>DATE(2012,12,31)-1444</f>
        <v>39830</v>
      </c>
      <c r="D1593" s="4" t="s">
        <v>45</v>
      </c>
      <c r="E1593" s="4">
        <v>39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0.55000000000000004</v>
      </c>
      <c r="U1593" s="5">
        <f>C1593+1</f>
        <v>39831</v>
      </c>
    </row>
    <row r="1594" spans="1:21" ht="12" customHeight="1">
      <c r="A1594" s="4">
        <v>5081</v>
      </c>
      <c r="B1594" s="4">
        <v>36224</v>
      </c>
      <c r="C1594" s="5">
        <f>DATE(2012,12,31)-1338</f>
        <v>39936</v>
      </c>
      <c r="D1594" s="4" t="s">
        <v>63</v>
      </c>
      <c r="E1594" s="4">
        <v>15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spans="1:21" ht="12" customHeight="1">
      <c r="A1595" s="4">
        <v>5338</v>
      </c>
      <c r="B1595" s="4">
        <v>37924</v>
      </c>
      <c r="C1595" s="5">
        <f>DATE(2012,12,31)-1128</f>
        <v>40146</v>
      </c>
      <c r="D1595" s="4" t="s">
        <v>30</v>
      </c>
      <c r="E1595" s="4">
        <v>49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19.989999999999998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spans="1:21" ht="12" customHeight="1">
      <c r="A1596" s="4">
        <v>5604</v>
      </c>
      <c r="B1596" s="4">
        <v>39717</v>
      </c>
      <c r="C1596" s="5">
        <f>DATE(2012,12,31)-1129</f>
        <v>40145</v>
      </c>
      <c r="D1596" s="4" t="s">
        <v>30</v>
      </c>
      <c r="E1596" s="4">
        <v>20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0.55000000000000004</v>
      </c>
      <c r="U1596" s="5">
        <f t="shared" ref="U1596:U1601" si="665">C1596+2</f>
        <v>40147</v>
      </c>
    </row>
    <row r="1597" spans="1:21" ht="12" customHeight="1">
      <c r="A1597" s="4">
        <v>6343</v>
      </c>
      <c r="B1597" s="4">
        <v>44962</v>
      </c>
      <c r="C1597" s="5">
        <f>DATE(2012,12,31)-1099</f>
        <v>40175</v>
      </c>
      <c r="D1597" s="4" t="s">
        <v>63</v>
      </c>
      <c r="E1597" s="4">
        <v>27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5"/>
        <v>40177</v>
      </c>
    </row>
    <row r="1598" spans="1:21" ht="12" customHeight="1">
      <c r="A1598" s="4">
        <v>6454</v>
      </c>
      <c r="B1598" s="4">
        <v>45959</v>
      </c>
      <c r="C1598" s="5">
        <f t="shared" ref="C1598:C1599" si="666">DATE(2012,12,31)-1121</f>
        <v>40153</v>
      </c>
      <c r="D1598" s="4" t="s">
        <v>63</v>
      </c>
      <c r="E1598" s="4">
        <v>15</v>
      </c>
      <c r="F1598" s="4">
        <v>201.74</v>
      </c>
      <c r="G1598" s="4">
        <v>0.08</v>
      </c>
      <c r="H1598" s="4" t="s">
        <v>56</v>
      </c>
      <c r="I1598" s="6">
        <v>-2.6335000000000002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5"/>
        <v>40155</v>
      </c>
    </row>
    <row r="1599" spans="1:21" ht="12" customHeight="1">
      <c r="A1599" s="4">
        <v>6455</v>
      </c>
      <c r="B1599" s="4">
        <v>45959</v>
      </c>
      <c r="C1599" s="5">
        <f t="shared" si="666"/>
        <v>40153</v>
      </c>
      <c r="D1599" s="4" t="s">
        <v>63</v>
      </c>
      <c r="E1599" s="4">
        <v>35</v>
      </c>
      <c r="F1599" s="4">
        <v>1822.13</v>
      </c>
      <c r="G1599" s="4">
        <v>0</v>
      </c>
      <c r="H1599" s="4" t="s">
        <v>22</v>
      </c>
      <c r="I1599" s="6">
        <v>155.16999999999999</v>
      </c>
      <c r="J1599" s="4">
        <v>49.99</v>
      </c>
      <c r="K1599" s="4">
        <v>19.989999999999998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5"/>
        <v>40155</v>
      </c>
    </row>
    <row r="1600" spans="1:21" ht="12" customHeight="1">
      <c r="A1600" s="4">
        <v>6585</v>
      </c>
      <c r="B1600" s="4">
        <v>46884</v>
      </c>
      <c r="C1600" s="5">
        <f t="shared" ref="C1600:C1601" si="667">DATE(2012,12,31)-1444</f>
        <v>39830</v>
      </c>
      <c r="D1600" s="4" t="s">
        <v>63</v>
      </c>
      <c r="E1600" s="4">
        <v>18</v>
      </c>
      <c r="F1600" s="4">
        <v>130.11000000000001</v>
      </c>
      <c r="G1600" s="4">
        <v>0.1</v>
      </c>
      <c r="H1600" s="4" t="s">
        <v>22</v>
      </c>
      <c r="I1600" s="6">
        <v>40.299999999999997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5"/>
        <v>39832</v>
      </c>
    </row>
    <row r="1601" spans="1:21" ht="12" customHeight="1">
      <c r="A1601" s="4">
        <v>6586</v>
      </c>
      <c r="B1601" s="4">
        <v>46884</v>
      </c>
      <c r="C1601" s="5">
        <f t="shared" si="667"/>
        <v>39830</v>
      </c>
      <c r="D1601" s="4" t="s">
        <v>63</v>
      </c>
      <c r="E1601" s="4">
        <v>3</v>
      </c>
      <c r="F1601" s="4">
        <v>337.33949999999999</v>
      </c>
      <c r="G1601" s="4">
        <v>0</v>
      </c>
      <c r="H1601" s="4" t="s">
        <v>22</v>
      </c>
      <c r="I1601" s="6">
        <v>-509.93799999999999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5"/>
        <v>39832</v>
      </c>
    </row>
    <row r="1602" spans="1:21" ht="12" customHeight="1">
      <c r="A1602" s="4">
        <v>6604</v>
      </c>
      <c r="B1602" s="4">
        <v>46981</v>
      </c>
      <c r="C1602" s="5">
        <f>DATE(2012,12,31)-1423</f>
        <v>39851</v>
      </c>
      <c r="D1602" s="4" t="s">
        <v>63</v>
      </c>
      <c r="E1602" s="4">
        <v>46</v>
      </c>
      <c r="F1602" s="4">
        <v>1398.87</v>
      </c>
      <c r="G1602" s="4">
        <v>7.0000000000000007E-2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spans="1:21" ht="12" customHeight="1">
      <c r="A1603" s="4">
        <v>6776</v>
      </c>
      <c r="B1603" s="4">
        <v>48257</v>
      </c>
      <c r="C1603" s="5">
        <f>DATE(2012,12,31)-1349</f>
        <v>39925</v>
      </c>
      <c r="D1603" s="4" t="s">
        <v>21</v>
      </c>
      <c r="E1603" s="4">
        <v>45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spans="1:21" ht="12" customHeight="1">
      <c r="A1604" s="4">
        <v>7452</v>
      </c>
      <c r="B1604" s="4">
        <v>53153</v>
      </c>
      <c r="C1604" s="5">
        <f>DATE(2012,12,31)-1195</f>
        <v>40079</v>
      </c>
      <c r="D1604" s="4" t="s">
        <v>78</v>
      </c>
      <c r="E1604" s="4">
        <v>29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0.56999999999999995</v>
      </c>
      <c r="U1604" s="5">
        <f t="shared" ref="U1604:U1606" si="668">C1604+1</f>
        <v>40080</v>
      </c>
    </row>
    <row r="1605" spans="1:21" ht="12" customHeight="1">
      <c r="A1605" s="4">
        <v>8289</v>
      </c>
      <c r="B1605" s="4">
        <v>59207</v>
      </c>
      <c r="C1605" s="5">
        <f>DATE(2012,12,31)-1323</f>
        <v>39951</v>
      </c>
      <c r="D1605" s="4" t="s">
        <v>78</v>
      </c>
      <c r="E1605" s="4">
        <v>3</v>
      </c>
      <c r="F1605" s="4">
        <v>10.119999999999999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8"/>
        <v>39952</v>
      </c>
    </row>
    <row r="1606" spans="1:21" ht="12" customHeight="1">
      <c r="A1606" s="4">
        <v>8296</v>
      </c>
      <c r="B1606" s="4">
        <v>59238</v>
      </c>
      <c r="C1606" s="5">
        <f>DATE(2012,12,31)-1199</f>
        <v>40075</v>
      </c>
      <c r="D1606" s="4" t="s">
        <v>30</v>
      </c>
      <c r="E1606" s="4">
        <v>11</v>
      </c>
      <c r="F1606" s="4">
        <v>455.88</v>
      </c>
      <c r="G1606" s="4">
        <v>0.03</v>
      </c>
      <c r="H1606" s="4" t="s">
        <v>56</v>
      </c>
      <c r="I1606" s="6">
        <v>9.1500000000000057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8"/>
        <v>40076</v>
      </c>
    </row>
    <row r="1607" spans="1:21" ht="12" customHeight="1">
      <c r="A1607" s="4">
        <v>8315</v>
      </c>
      <c r="B1607" s="4">
        <v>59396</v>
      </c>
      <c r="C1607" s="5">
        <f>DATE(2012,12,31)-1143</f>
        <v>40131</v>
      </c>
      <c r="D1607" s="4" t="s">
        <v>78</v>
      </c>
      <c r="E1607" s="4">
        <v>41</v>
      </c>
      <c r="F1607" s="4">
        <v>5930.34</v>
      </c>
      <c r="G1607" s="4">
        <v>7.0000000000000007E-2</v>
      </c>
      <c r="H1607" s="4" t="s">
        <v>22</v>
      </c>
      <c r="I1607" s="6">
        <v>427.68</v>
      </c>
      <c r="J1607" s="4">
        <v>152.47999999999999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spans="1:21" ht="12" customHeight="1">
      <c r="A1608" s="4">
        <v>147</v>
      </c>
      <c r="B1608" s="4">
        <v>930</v>
      </c>
      <c r="C1608" s="5">
        <f t="shared" ref="C1608:C1609" si="669">DATE(2012,12,31)-1111</f>
        <v>40163</v>
      </c>
      <c r="D1608" s="4" t="s">
        <v>78</v>
      </c>
      <c r="E1608" s="4">
        <v>22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spans="1:21" ht="12" customHeight="1">
      <c r="A1609" s="4">
        <v>148</v>
      </c>
      <c r="B1609" s="4">
        <v>930</v>
      </c>
      <c r="C1609" s="5">
        <f t="shared" si="669"/>
        <v>40163</v>
      </c>
      <c r="D1609" s="4" t="s">
        <v>78</v>
      </c>
      <c r="E1609" s="4">
        <v>11</v>
      </c>
      <c r="F1609" s="4">
        <v>79.19</v>
      </c>
      <c r="G1609" s="4">
        <v>0</v>
      </c>
      <c r="H1609" s="4" t="s">
        <v>22</v>
      </c>
      <c r="I1609" s="6">
        <v>13.91</v>
      </c>
      <c r="J1609" s="4">
        <v>6.88</v>
      </c>
      <c r="K1609" s="4">
        <v>2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spans="1:21" ht="12" customHeight="1">
      <c r="A1610" s="4">
        <v>294</v>
      </c>
      <c r="B1610" s="4">
        <v>2050</v>
      </c>
      <c r="C1610" s="5">
        <f t="shared" ref="C1610:C1611" si="670">DATE(2012,12,31)-1309</f>
        <v>39965</v>
      </c>
      <c r="D1610" s="4" t="s">
        <v>45</v>
      </c>
      <c r="E1610" s="4">
        <v>16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1">C1610+2</f>
        <v>39967</v>
      </c>
    </row>
    <row r="1611" spans="1:21" ht="12" customHeight="1">
      <c r="A1611" s="4">
        <v>295</v>
      </c>
      <c r="B1611" s="4">
        <v>2050</v>
      </c>
      <c r="C1611" s="5">
        <f t="shared" si="670"/>
        <v>39965</v>
      </c>
      <c r="D1611" s="4" t="s">
        <v>45</v>
      </c>
      <c r="E1611" s="4">
        <v>25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1"/>
        <v>39967</v>
      </c>
    </row>
    <row r="1612" spans="1:21" ht="12" customHeight="1">
      <c r="A1612" s="4">
        <v>497</v>
      </c>
      <c r="B1612" s="4">
        <v>3458</v>
      </c>
      <c r="C1612" s="5">
        <f t="shared" ref="C1612:C1613" si="672">DATE(2012,12,31)-1106</f>
        <v>40168</v>
      </c>
      <c r="D1612" s="4" t="s">
        <v>30</v>
      </c>
      <c r="E1612" s="4">
        <v>41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1"/>
        <v>40170</v>
      </c>
    </row>
    <row r="1613" spans="1:21" ht="12" customHeight="1">
      <c r="A1613" s="4">
        <v>498</v>
      </c>
      <c r="B1613" s="4">
        <v>3458</v>
      </c>
      <c r="C1613" s="5">
        <f t="shared" si="672"/>
        <v>40168</v>
      </c>
      <c r="D1613" s="4" t="s">
        <v>30</v>
      </c>
      <c r="E1613" s="4">
        <v>28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0.56000000000000005</v>
      </c>
      <c r="U1613" s="5">
        <f>C1613+3</f>
        <v>40171</v>
      </c>
    </row>
    <row r="1614" spans="1:21" ht="12" customHeight="1">
      <c r="A1614" s="4">
        <v>511</v>
      </c>
      <c r="B1614" s="4">
        <v>3522</v>
      </c>
      <c r="C1614" s="5">
        <f t="shared" ref="C1614:C1615" si="673">DATE(2012,12,31)-1193</f>
        <v>40081</v>
      </c>
      <c r="D1614" s="4" t="s">
        <v>21</v>
      </c>
      <c r="E1614" s="4">
        <v>33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spans="1:21" ht="12" customHeight="1">
      <c r="A1615" s="4">
        <v>512</v>
      </c>
      <c r="B1615" s="4">
        <v>3522</v>
      </c>
      <c r="C1615" s="5">
        <f t="shared" si="673"/>
        <v>40081</v>
      </c>
      <c r="D1615" s="4" t="s">
        <v>21</v>
      </c>
      <c r="E1615" s="4">
        <v>27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4">C1615+2</f>
        <v>40083</v>
      </c>
    </row>
    <row r="1616" spans="1:21" ht="12" customHeight="1">
      <c r="A1616" s="4">
        <v>540</v>
      </c>
      <c r="B1616" s="4">
        <v>3653</v>
      </c>
      <c r="C1616" s="5">
        <f>DATE(2012,12,31)-1376</f>
        <v>39898</v>
      </c>
      <c r="D1616" s="4" t="s">
        <v>78</v>
      </c>
      <c r="E1616" s="4">
        <v>41</v>
      </c>
      <c r="F1616" s="4">
        <v>271.11</v>
      </c>
      <c r="G1616" s="4">
        <v>0.08</v>
      </c>
      <c r="H1616" s="4" t="s">
        <v>22</v>
      </c>
      <c r="I1616" s="6">
        <v>64.790000000000006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4"/>
        <v>39900</v>
      </c>
    </row>
    <row r="1617" spans="1:21" ht="12" customHeight="1">
      <c r="A1617" s="4">
        <v>562</v>
      </c>
      <c r="B1617" s="4">
        <v>3808</v>
      </c>
      <c r="C1617" s="5">
        <f>DATE(2012,12,31)-1348</f>
        <v>39926</v>
      </c>
      <c r="D1617" s="4" t="s">
        <v>78</v>
      </c>
      <c r="E1617" s="4">
        <v>2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spans="1:21" ht="12" customHeight="1">
      <c r="A1618" s="4">
        <v>808</v>
      </c>
      <c r="B1618" s="4">
        <v>5828</v>
      </c>
      <c r="C1618" s="5">
        <f>DATE(2012,12,31)-1397</f>
        <v>39877</v>
      </c>
      <c r="D1618" s="4" t="s">
        <v>21</v>
      </c>
      <c r="E1618" s="4">
        <v>21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spans="1:21" ht="12" customHeight="1">
      <c r="A1619" s="4">
        <v>1001</v>
      </c>
      <c r="B1619" s="4">
        <v>7269</v>
      </c>
      <c r="C1619" s="5">
        <f>DATE(2012,12,31)-1204</f>
        <v>40070</v>
      </c>
      <c r="D1619" s="4" t="s">
        <v>63</v>
      </c>
      <c r="E1619" s="4">
        <v>29</v>
      </c>
      <c r="F1619" s="4">
        <v>1707.99</v>
      </c>
      <c r="G1619" s="4">
        <v>0</v>
      </c>
      <c r="H1619" s="4" t="s">
        <v>22</v>
      </c>
      <c r="I1619" s="6">
        <v>391.185</v>
      </c>
      <c r="J1619" s="4">
        <v>65.989999999999995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5">C1619+1</f>
        <v>40071</v>
      </c>
    </row>
    <row r="1620" spans="1:21" ht="12" customHeight="1">
      <c r="A1620" s="4">
        <v>1031</v>
      </c>
      <c r="B1620" s="4">
        <v>7527</v>
      </c>
      <c r="C1620" s="5">
        <f t="shared" ref="C1620:C1621" si="676">DATE(2012,12,31)-1116</f>
        <v>40158</v>
      </c>
      <c r="D1620" s="4" t="s">
        <v>63</v>
      </c>
      <c r="E1620" s="4">
        <v>37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5"/>
        <v>40159</v>
      </c>
    </row>
    <row r="1621" spans="1:21" ht="12" customHeight="1">
      <c r="A1621" s="4">
        <v>1032</v>
      </c>
      <c r="B1621" s="4">
        <v>7527</v>
      </c>
      <c r="C1621" s="5">
        <f t="shared" si="676"/>
        <v>40158</v>
      </c>
      <c r="D1621" s="4" t="s">
        <v>63</v>
      </c>
      <c r="E1621" s="4">
        <v>42</v>
      </c>
      <c r="F1621" s="4">
        <v>7062.6159999999991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0.56000000000000005</v>
      </c>
      <c r="U1621" s="5">
        <f t="shared" si="675"/>
        <v>40159</v>
      </c>
    </row>
    <row r="1622" spans="1:21" ht="12" customHeight="1">
      <c r="A1622" s="4">
        <v>1326</v>
      </c>
      <c r="B1622" s="4">
        <v>9669</v>
      </c>
      <c r="C1622" s="5">
        <f>DATE(2012,12,31)-1349</f>
        <v>39925</v>
      </c>
      <c r="D1622" s="4" t="s">
        <v>63</v>
      </c>
      <c r="E1622" s="4">
        <v>18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0.57999999999999996</v>
      </c>
      <c r="U1622" s="5">
        <f t="shared" si="675"/>
        <v>39926</v>
      </c>
    </row>
    <row r="1623" spans="1:21" ht="12" customHeight="1">
      <c r="A1623" s="4">
        <v>1482</v>
      </c>
      <c r="B1623" s="4">
        <v>10661</v>
      </c>
      <c r="C1623" s="5">
        <f>DATE(2012,12,31)-1438</f>
        <v>39836</v>
      </c>
      <c r="D1623" s="4" t="s">
        <v>45</v>
      </c>
      <c r="E1623" s="4">
        <v>42</v>
      </c>
      <c r="F1623" s="4">
        <v>1312.65</v>
      </c>
      <c r="G1623" s="4">
        <v>7.0000000000000007E-2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7">C1623+2</f>
        <v>39838</v>
      </c>
    </row>
    <row r="1624" spans="1:21" ht="12" customHeight="1">
      <c r="A1624" s="4">
        <v>1902</v>
      </c>
      <c r="B1624" s="4">
        <v>13632</v>
      </c>
      <c r="C1624" s="5">
        <f>DATE(2012,12,31)-1392</f>
        <v>39882</v>
      </c>
      <c r="D1624" s="4" t="s">
        <v>63</v>
      </c>
      <c r="E1624" s="4">
        <v>6</v>
      </c>
      <c r="F1624" s="4">
        <v>608.92999999999995</v>
      </c>
      <c r="G1624" s="4">
        <v>0.01</v>
      </c>
      <c r="H1624" s="4" t="s">
        <v>56</v>
      </c>
      <c r="I1624" s="6">
        <v>-193.95779999999999</v>
      </c>
      <c r="J1624" s="4">
        <v>99.99</v>
      </c>
      <c r="K1624" s="4">
        <v>19.989999999999998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7"/>
        <v>39884</v>
      </c>
    </row>
    <row r="1625" spans="1:21" ht="12" customHeight="1">
      <c r="A1625" s="4">
        <v>1941</v>
      </c>
      <c r="B1625" s="4">
        <v>13920</v>
      </c>
      <c r="C1625" s="5">
        <f t="shared" ref="C1625:C1626" si="678">DATE(2012,12,31)-1179</f>
        <v>40095</v>
      </c>
      <c r="D1625" s="4" t="s">
        <v>78</v>
      </c>
      <c r="E1625" s="4">
        <v>25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7"/>
        <v>40097</v>
      </c>
    </row>
    <row r="1626" spans="1:21" ht="12" customHeight="1">
      <c r="A1626" s="4">
        <v>1942</v>
      </c>
      <c r="B1626" s="4">
        <v>13920</v>
      </c>
      <c r="C1626" s="5">
        <f t="shared" si="678"/>
        <v>40095</v>
      </c>
      <c r="D1626" s="4" t="s">
        <v>78</v>
      </c>
      <c r="E1626" s="4">
        <v>24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79">C1626+1</f>
        <v>40096</v>
      </c>
    </row>
    <row r="1627" spans="1:21" ht="12" customHeight="1">
      <c r="A1627" s="4">
        <v>2325</v>
      </c>
      <c r="B1627" s="4">
        <v>16770</v>
      </c>
      <c r="C1627" s="5">
        <f t="shared" ref="C1627:C1629" si="680">DATE(2012,12,31)-1455</f>
        <v>39819</v>
      </c>
      <c r="D1627" s="4" t="s">
        <v>78</v>
      </c>
      <c r="E1627" s="4">
        <v>17</v>
      </c>
      <c r="F1627" s="4">
        <v>37.06</v>
      </c>
      <c r="G1627" s="4">
        <v>0.03</v>
      </c>
      <c r="H1627" s="4" t="s">
        <v>22</v>
      </c>
      <c r="I1627" s="6">
        <v>0.60999999999999943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0.56999999999999995</v>
      </c>
      <c r="U1627" s="5">
        <f t="shared" si="679"/>
        <v>39820</v>
      </c>
    </row>
    <row r="1628" spans="1:21" ht="12" customHeight="1">
      <c r="A1628" s="4">
        <v>2350</v>
      </c>
      <c r="B1628" s="4">
        <v>16961</v>
      </c>
      <c r="C1628" s="5">
        <f t="shared" si="680"/>
        <v>39819</v>
      </c>
      <c r="D1628" s="4" t="s">
        <v>45</v>
      </c>
      <c r="E1628" s="4">
        <v>27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79"/>
        <v>39820</v>
      </c>
    </row>
    <row r="1629" spans="1:21" ht="12" customHeight="1">
      <c r="A1629" s="4">
        <v>2351</v>
      </c>
      <c r="B1629" s="4">
        <v>16961</v>
      </c>
      <c r="C1629" s="5">
        <f t="shared" si="680"/>
        <v>39819</v>
      </c>
      <c r="D1629" s="4" t="s">
        <v>45</v>
      </c>
      <c r="E1629" s="4">
        <v>34</v>
      </c>
      <c r="F1629" s="4">
        <v>1089.5899999999999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spans="1:21" ht="12" customHeight="1">
      <c r="A1630" s="4">
        <v>2840</v>
      </c>
      <c r="B1630" s="4">
        <v>20480</v>
      </c>
      <c r="C1630" s="5">
        <f t="shared" ref="C1630:C1631" si="681">DATE(2012,12,31)-1432</f>
        <v>39842</v>
      </c>
      <c r="D1630" s="4" t="s">
        <v>63</v>
      </c>
      <c r="E1630" s="4">
        <v>38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19.989999999999998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spans="1:21" ht="12" customHeight="1">
      <c r="A1631" s="4">
        <v>2844</v>
      </c>
      <c r="B1631" s="4">
        <v>20484</v>
      </c>
      <c r="C1631" s="5">
        <f t="shared" si="681"/>
        <v>39842</v>
      </c>
      <c r="D1631" s="4" t="s">
        <v>78</v>
      </c>
      <c r="E1631" s="4">
        <v>14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4.9000000000000004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0.56000000000000005</v>
      </c>
      <c r="U1631" s="5">
        <f t="shared" ref="U1631:U1633" si="682">C1631+2</f>
        <v>39844</v>
      </c>
    </row>
    <row r="1632" spans="1:21" ht="12" customHeight="1">
      <c r="A1632" s="4">
        <v>3017</v>
      </c>
      <c r="B1632" s="4">
        <v>21703</v>
      </c>
      <c r="C1632" s="5">
        <f t="shared" ref="C1632:C1634" si="683">DATE(2012,12,31)-1400</f>
        <v>39874</v>
      </c>
      <c r="D1632" s="4" t="s">
        <v>45</v>
      </c>
      <c r="E1632" s="4">
        <v>3</v>
      </c>
      <c r="F1632" s="4">
        <v>12.01</v>
      </c>
      <c r="G1632" s="4">
        <v>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2"/>
        <v>39876</v>
      </c>
    </row>
    <row r="1633" spans="1:21" ht="12" customHeight="1">
      <c r="A1633" s="4">
        <v>3018</v>
      </c>
      <c r="B1633" s="4">
        <v>21703</v>
      </c>
      <c r="C1633" s="5">
        <f t="shared" si="683"/>
        <v>39874</v>
      </c>
      <c r="D1633" s="4" t="s">
        <v>45</v>
      </c>
      <c r="E1633" s="4">
        <v>20</v>
      </c>
      <c r="F1633" s="4">
        <v>1846.76</v>
      </c>
      <c r="G1633" s="4">
        <v>0.03</v>
      </c>
      <c r="H1633" s="4" t="s">
        <v>22</v>
      </c>
      <c r="I1633" s="6">
        <v>3.1400000000000432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2"/>
        <v>39876</v>
      </c>
    </row>
    <row r="1634" spans="1:21" ht="12" customHeight="1">
      <c r="A1634" s="4">
        <v>3019</v>
      </c>
      <c r="B1634" s="4">
        <v>21703</v>
      </c>
      <c r="C1634" s="5">
        <f t="shared" si="683"/>
        <v>39874</v>
      </c>
      <c r="D1634" s="4" t="s">
        <v>45</v>
      </c>
      <c r="E1634" s="4">
        <v>15</v>
      </c>
      <c r="F1634" s="4">
        <v>2211.7339999999999</v>
      </c>
      <c r="G1634" s="4">
        <v>0.02</v>
      </c>
      <c r="H1634" s="4" t="s">
        <v>56</v>
      </c>
      <c r="I1634" s="6">
        <v>80.757000000000005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spans="1:21" ht="12" customHeight="1">
      <c r="A1635" s="4">
        <v>3066</v>
      </c>
      <c r="B1635" s="4">
        <v>21985</v>
      </c>
      <c r="C1635" s="5">
        <f t="shared" ref="C1635:C1636" si="684">DATE(2012,12,31)-1223</f>
        <v>40051</v>
      </c>
      <c r="D1635" s="4" t="s">
        <v>78</v>
      </c>
      <c r="E1635" s="4">
        <v>1</v>
      </c>
      <c r="F1635" s="4">
        <v>255.83</v>
      </c>
      <c r="G1635" s="4">
        <v>7.0000000000000007E-2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spans="1:21" ht="12" customHeight="1">
      <c r="A1636" s="4">
        <v>3067</v>
      </c>
      <c r="B1636" s="4">
        <v>21985</v>
      </c>
      <c r="C1636" s="5">
        <f t="shared" si="684"/>
        <v>40051</v>
      </c>
      <c r="D1636" s="4" t="s">
        <v>78</v>
      </c>
      <c r="E1636" s="4">
        <v>45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spans="1:21" ht="12" customHeight="1">
      <c r="A1637" s="4">
        <v>3153</v>
      </c>
      <c r="B1637" s="4">
        <v>22628</v>
      </c>
      <c r="C1637" s="5">
        <f>DATE(2012,12,31)-1159</f>
        <v>40115</v>
      </c>
      <c r="D1637" s="4" t="s">
        <v>63</v>
      </c>
      <c r="E1637" s="4">
        <v>30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74.349999999999994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0.56999999999999995</v>
      </c>
      <c r="U1637" s="5">
        <f>C1637+3</f>
        <v>40118</v>
      </c>
    </row>
    <row r="1638" spans="1:21" ht="12" customHeight="1">
      <c r="A1638" s="4">
        <v>3262</v>
      </c>
      <c r="B1638" s="4">
        <v>23360</v>
      </c>
      <c r="C1638" s="5">
        <f>DATE(2012,12,31)-1330</f>
        <v>39944</v>
      </c>
      <c r="D1638" s="4" t="s">
        <v>21</v>
      </c>
      <c r="E1638" s="4">
        <v>30</v>
      </c>
      <c r="F1638" s="4">
        <v>512.97</v>
      </c>
      <c r="G1638" s="4">
        <v>0.01</v>
      </c>
      <c r="H1638" s="4" t="s">
        <v>56</v>
      </c>
      <c r="I1638" s="6">
        <v>261.29000000000002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spans="1:21" ht="12" customHeight="1">
      <c r="A1639" s="4">
        <v>3491</v>
      </c>
      <c r="B1639" s="4">
        <v>24870</v>
      </c>
      <c r="C1639" s="5">
        <f t="shared" ref="C1639:C1640" si="685">DATE(2012,12,31)-1347</f>
        <v>39927</v>
      </c>
      <c r="D1639" s="4" t="s">
        <v>21</v>
      </c>
      <c r="E1639" s="4">
        <v>38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35.409999999999997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spans="1:21" ht="12" customHeight="1">
      <c r="A1640" s="4">
        <v>3492</v>
      </c>
      <c r="B1640" s="4">
        <v>24870</v>
      </c>
      <c r="C1640" s="5">
        <f t="shared" si="685"/>
        <v>39927</v>
      </c>
      <c r="D1640" s="4" t="s">
        <v>21</v>
      </c>
      <c r="E1640" s="4">
        <v>45</v>
      </c>
      <c r="F1640" s="4">
        <v>6448.69</v>
      </c>
      <c r="G1640" s="4">
        <v>0</v>
      </c>
      <c r="H1640" s="4" t="s">
        <v>22</v>
      </c>
      <c r="I1640" s="6">
        <v>1663.35</v>
      </c>
      <c r="J1640" s="4">
        <v>142.86000000000001</v>
      </c>
      <c r="K1640" s="4">
        <v>19.989999999999998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0.56000000000000005</v>
      </c>
      <c r="U1640" s="5">
        <f>C1640+9</f>
        <v>39936</v>
      </c>
    </row>
    <row r="1641" spans="1:21" ht="12" customHeight="1">
      <c r="A1641" s="4">
        <v>3724</v>
      </c>
      <c r="B1641" s="4">
        <v>26629</v>
      </c>
      <c r="C1641" s="5">
        <f t="shared" ref="C1641:C1642" si="686">DATE(2012,12,31)-1270</f>
        <v>40004</v>
      </c>
      <c r="D1641" s="4" t="s">
        <v>30</v>
      </c>
      <c r="E1641" s="4">
        <v>38</v>
      </c>
      <c r="F1641" s="4">
        <v>21956.03</v>
      </c>
      <c r="G1641" s="4">
        <v>0.1</v>
      </c>
      <c r="H1641" s="4" t="s">
        <v>22</v>
      </c>
      <c r="I1641" s="6">
        <v>5903.0860000000002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spans="1:21" ht="12" customHeight="1">
      <c r="A1642" s="4">
        <v>3725</v>
      </c>
      <c r="B1642" s="4">
        <v>26629</v>
      </c>
      <c r="C1642" s="5">
        <f t="shared" si="686"/>
        <v>40004</v>
      </c>
      <c r="D1642" s="4" t="s">
        <v>30</v>
      </c>
      <c r="E1642" s="4">
        <v>32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spans="1:21" ht="12" customHeight="1">
      <c r="A1643" s="4">
        <v>4007</v>
      </c>
      <c r="B1643" s="4">
        <v>28583</v>
      </c>
      <c r="C1643" s="5">
        <f>DATE(2012,12,31)-1145</f>
        <v>40129</v>
      </c>
      <c r="D1643" s="4" t="s">
        <v>78</v>
      </c>
      <c r="E1643" s="4">
        <v>25</v>
      </c>
      <c r="F1643" s="4">
        <v>5811.72</v>
      </c>
      <c r="G1643" s="4">
        <v>0.03</v>
      </c>
      <c r="H1643" s="4" t="s">
        <v>22</v>
      </c>
      <c r="I1643" s="6">
        <v>2431.5949999999998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spans="1:21" ht="12" customHeight="1">
      <c r="A1644" s="4">
        <v>4376</v>
      </c>
      <c r="B1644" s="4">
        <v>31174</v>
      </c>
      <c r="C1644" s="5">
        <f t="shared" ref="C1644:C1645" si="687">DATE(2012,12,31)-1376</f>
        <v>39898</v>
      </c>
      <c r="D1644" s="4" t="s">
        <v>45</v>
      </c>
      <c r="E1644" s="4">
        <v>20</v>
      </c>
      <c r="F1644" s="4">
        <v>4520.6000000000004</v>
      </c>
      <c r="G1644" s="4">
        <v>7.0000000000000007E-2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spans="1:21" ht="12" customHeight="1">
      <c r="A1645" s="4">
        <v>4377</v>
      </c>
      <c r="B1645" s="4">
        <v>31174</v>
      </c>
      <c r="C1645" s="5">
        <f t="shared" si="687"/>
        <v>39898</v>
      </c>
      <c r="D1645" s="4" t="s">
        <v>45</v>
      </c>
      <c r="E1645" s="4">
        <v>29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spans="1:21" ht="12" customHeight="1">
      <c r="A1646" s="4">
        <v>4511</v>
      </c>
      <c r="B1646" s="4">
        <v>32101</v>
      </c>
      <c r="C1646" s="5">
        <f>DATE(2012,12,31)-1101</f>
        <v>40173</v>
      </c>
      <c r="D1646" s="4" t="s">
        <v>21</v>
      </c>
      <c r="E1646" s="4">
        <v>48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0.56000000000000005</v>
      </c>
      <c r="U1646" s="5">
        <f>C1646+4</f>
        <v>40177</v>
      </c>
    </row>
    <row r="1647" spans="1:21" ht="12" customHeight="1">
      <c r="A1647" s="4">
        <v>4984</v>
      </c>
      <c r="B1647" s="4">
        <v>35457</v>
      </c>
      <c r="C1647" s="5">
        <f>DATE(2012,12,31)-1120</f>
        <v>40154</v>
      </c>
      <c r="D1647" s="4" t="s">
        <v>21</v>
      </c>
      <c r="E1647" s="4">
        <v>45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spans="1:21" ht="12" customHeight="1">
      <c r="A1648" s="4">
        <v>5249</v>
      </c>
      <c r="B1648" s="4">
        <v>37348</v>
      </c>
      <c r="C1648" s="5">
        <f>DATE(2012,12,31)-1297</f>
        <v>39977</v>
      </c>
      <c r="D1648" s="4" t="s">
        <v>30</v>
      </c>
      <c r="E1648" s="4">
        <v>33</v>
      </c>
      <c r="F1648" s="4">
        <v>551.66999999999996</v>
      </c>
      <c r="G1648" s="4">
        <v>0.08</v>
      </c>
      <c r="H1648" s="4" t="s">
        <v>22</v>
      </c>
      <c r="I1648" s="6">
        <v>25.44</v>
      </c>
      <c r="J1648" s="4">
        <v>17.149999999999999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0.57999999999999996</v>
      </c>
      <c r="U1648" s="5">
        <f>C1648+3</f>
        <v>39980</v>
      </c>
    </row>
    <row r="1649" spans="1:21" ht="12" customHeight="1">
      <c r="A1649" s="4">
        <v>5271</v>
      </c>
      <c r="B1649" s="4">
        <v>37510</v>
      </c>
      <c r="C1649" s="5">
        <f>DATE(2012,12,31)-1394</f>
        <v>39880</v>
      </c>
      <c r="D1649" s="4" t="s">
        <v>78</v>
      </c>
      <c r="E1649" s="4">
        <v>15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161.55000000000001</v>
      </c>
      <c r="K1649" s="4">
        <v>19.989999999999998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spans="1:21" ht="12" customHeight="1">
      <c r="A1650" s="4">
        <v>5578</v>
      </c>
      <c r="B1650" s="4">
        <v>39521</v>
      </c>
      <c r="C1650" s="5">
        <f>DATE(2012,12,31)-1240</f>
        <v>40034</v>
      </c>
      <c r="D1650" s="4" t="s">
        <v>21</v>
      </c>
      <c r="E1650" s="4">
        <v>28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spans="1:21" ht="12" customHeight="1">
      <c r="A1651" s="4">
        <v>5794</v>
      </c>
      <c r="B1651" s="4">
        <v>41094</v>
      </c>
      <c r="C1651" s="5">
        <f t="shared" ref="C1651:C1652" si="688">DATE(2012,12,31)-1455</f>
        <v>39819</v>
      </c>
      <c r="D1651" s="4" t="s">
        <v>21</v>
      </c>
      <c r="E1651" s="4">
        <v>46</v>
      </c>
      <c r="F1651" s="4">
        <v>298.97000000000003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spans="1:21" ht="12" customHeight="1">
      <c r="A1652" s="4">
        <v>5795</v>
      </c>
      <c r="B1652" s="4">
        <v>41094</v>
      </c>
      <c r="C1652" s="5">
        <f t="shared" si="688"/>
        <v>39819</v>
      </c>
      <c r="D1652" s="4" t="s">
        <v>21</v>
      </c>
      <c r="E1652" s="4">
        <v>6</v>
      </c>
      <c r="F1652" s="4">
        <v>159.05000000000001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spans="1:21" ht="12" customHeight="1">
      <c r="A1653" s="4">
        <v>6634</v>
      </c>
      <c r="B1653" s="4">
        <v>47173</v>
      </c>
      <c r="C1653" s="5">
        <f>DATE(2012,12,31)-1217</f>
        <v>40057</v>
      </c>
      <c r="D1653" s="4" t="s">
        <v>45</v>
      </c>
      <c r="E1653" s="4">
        <v>41</v>
      </c>
      <c r="F1653" s="4">
        <v>277.0745</v>
      </c>
      <c r="G1653" s="4">
        <v>0.03</v>
      </c>
      <c r="H1653" s="4" t="s">
        <v>22</v>
      </c>
      <c r="I1653" s="6">
        <v>-128.43600000000001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spans="1:21" ht="12" customHeight="1">
      <c r="A1654" s="4">
        <v>6946</v>
      </c>
      <c r="B1654" s="4">
        <v>49607</v>
      </c>
      <c r="C1654" s="5">
        <f>DATE(2012,12,31)-1337</f>
        <v>39937</v>
      </c>
      <c r="D1654" s="4" t="s">
        <v>63</v>
      </c>
      <c r="E1654" s="4">
        <v>6</v>
      </c>
      <c r="F1654" s="4">
        <v>1056.6434999999999</v>
      </c>
      <c r="G1654" s="4">
        <v>0.06</v>
      </c>
      <c r="H1654" s="4" t="s">
        <v>22</v>
      </c>
      <c r="I1654" s="6">
        <v>-586.20100000000002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0.56000000000000005</v>
      </c>
      <c r="U1654" s="5">
        <f>C1654+1</f>
        <v>39938</v>
      </c>
    </row>
    <row r="1655" spans="1:21" ht="12" customHeight="1">
      <c r="A1655" s="4">
        <v>7066</v>
      </c>
      <c r="B1655" s="4">
        <v>50432</v>
      </c>
      <c r="C1655" s="5">
        <f t="shared" ref="C1655:C1656" si="689">DATE(2012,12,31)-1303</f>
        <v>39971</v>
      </c>
      <c r="D1655" s="4" t="s">
        <v>21</v>
      </c>
      <c r="E1655" s="4">
        <v>7</v>
      </c>
      <c r="F1655" s="4">
        <v>2161.36</v>
      </c>
      <c r="G1655" s="4">
        <v>0.02</v>
      </c>
      <c r="H1655" s="4" t="s">
        <v>31</v>
      </c>
      <c r="I1655" s="6">
        <v>-92.370000000000061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spans="1:21" ht="12" customHeight="1">
      <c r="A1656" s="4">
        <v>7067</v>
      </c>
      <c r="B1656" s="4">
        <v>50432</v>
      </c>
      <c r="C1656" s="5">
        <f t="shared" si="689"/>
        <v>39971</v>
      </c>
      <c r="D1656" s="4" t="s">
        <v>21</v>
      </c>
      <c r="E1656" s="4">
        <v>45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spans="1:21" ht="12" customHeight="1">
      <c r="A1657" s="4">
        <v>7093</v>
      </c>
      <c r="B1657" s="4">
        <v>50626</v>
      </c>
      <c r="C1657" s="5">
        <f t="shared" ref="C1657:C1658" si="690">DATE(2012,12,31)-1168</f>
        <v>40106</v>
      </c>
      <c r="D1657" s="4" t="s">
        <v>63</v>
      </c>
      <c r="E1657" s="4">
        <v>18</v>
      </c>
      <c r="F1657" s="4">
        <v>3267.41</v>
      </c>
      <c r="G1657" s="4">
        <v>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spans="1:21" ht="12" customHeight="1">
      <c r="A1658" s="4">
        <v>7094</v>
      </c>
      <c r="B1658" s="4">
        <v>50626</v>
      </c>
      <c r="C1658" s="5">
        <f t="shared" si="690"/>
        <v>40106</v>
      </c>
      <c r="D1658" s="4" t="s">
        <v>63</v>
      </c>
      <c r="E1658" s="4">
        <v>42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spans="1:21" ht="12" customHeight="1">
      <c r="A1659" s="4">
        <v>7271</v>
      </c>
      <c r="B1659" s="4">
        <v>51873</v>
      </c>
      <c r="C1659" s="5">
        <f>DATE(2012,12,31)-1335</f>
        <v>39939</v>
      </c>
      <c r="D1659" s="4" t="s">
        <v>30</v>
      </c>
      <c r="E1659" s="4">
        <v>29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1">C1659+0</f>
        <v>39939</v>
      </c>
    </row>
    <row r="1660" spans="1:21" ht="12" customHeight="1">
      <c r="A1660" s="4">
        <v>7460</v>
      </c>
      <c r="B1660" s="4">
        <v>53222</v>
      </c>
      <c r="C1660" s="5">
        <f>DATE(2012,12,31)-1169</f>
        <v>40105</v>
      </c>
      <c r="D1660" s="4" t="s">
        <v>21</v>
      </c>
      <c r="E1660" s="4">
        <v>2</v>
      </c>
      <c r="F1660" s="4">
        <v>21.71</v>
      </c>
      <c r="G1660" s="4">
        <v>7.0000000000000007E-2</v>
      </c>
      <c r="H1660" s="4" t="s">
        <v>22</v>
      </c>
      <c r="I1660" s="6">
        <v>-15.13</v>
      </c>
      <c r="J1660" s="4">
        <v>6.48</v>
      </c>
      <c r="K1660" s="4">
        <v>9.5399999999999991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1"/>
        <v>40105</v>
      </c>
    </row>
    <row r="1661" spans="1:21" ht="12" customHeight="1">
      <c r="A1661" s="4">
        <v>7759</v>
      </c>
      <c r="B1661" s="4">
        <v>55525</v>
      </c>
      <c r="C1661" s="5">
        <f>DATE(2012,12,31)-1333</f>
        <v>39941</v>
      </c>
      <c r="D1661" s="4" t="s">
        <v>21</v>
      </c>
      <c r="E1661" s="4">
        <v>1</v>
      </c>
      <c r="F1661" s="4">
        <v>291.39999999999998</v>
      </c>
      <c r="G1661" s="4">
        <v>0.06</v>
      </c>
      <c r="H1661" s="4" t="s">
        <v>22</v>
      </c>
      <c r="I1661" s="6">
        <v>-763.16</v>
      </c>
      <c r="J1661" s="4">
        <v>300.97000000000003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1"/>
        <v>39941</v>
      </c>
    </row>
    <row r="1662" spans="1:21" ht="12" customHeight="1">
      <c r="A1662" s="4">
        <v>7790</v>
      </c>
      <c r="B1662" s="4">
        <v>55746</v>
      </c>
      <c r="C1662" s="5">
        <f>DATE(2012,12,31)-1280</f>
        <v>39994</v>
      </c>
      <c r="D1662" s="4" t="s">
        <v>45</v>
      </c>
      <c r="E1662" s="4">
        <v>29</v>
      </c>
      <c r="F1662" s="4">
        <v>324.75</v>
      </c>
      <c r="G1662" s="4">
        <v>7.0000000000000007E-2</v>
      </c>
      <c r="H1662" s="4" t="s">
        <v>22</v>
      </c>
      <c r="I1662" s="6">
        <v>-36.869999999999997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2">C1662+2</f>
        <v>39996</v>
      </c>
    </row>
    <row r="1663" spans="1:21" ht="12" customHeight="1">
      <c r="A1663" s="4">
        <v>7967</v>
      </c>
      <c r="B1663" s="4">
        <v>56960</v>
      </c>
      <c r="C1663" s="5">
        <f>DATE(2012,12,31)-1243</f>
        <v>40031</v>
      </c>
      <c r="D1663" s="4" t="s">
        <v>30</v>
      </c>
      <c r="E1663" s="4">
        <v>48</v>
      </c>
      <c r="F1663" s="4">
        <v>2784.8294999999998</v>
      </c>
      <c r="G1663" s="4">
        <v>0.01</v>
      </c>
      <c r="H1663" s="4" t="s">
        <v>56</v>
      </c>
      <c r="I1663" s="6">
        <v>788.29200000000003</v>
      </c>
      <c r="J1663" s="4">
        <v>65.989999999999995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2"/>
        <v>40033</v>
      </c>
    </row>
    <row r="1664" spans="1:21" ht="12" customHeight="1">
      <c r="A1664" s="4">
        <v>8210</v>
      </c>
      <c r="B1664" s="4">
        <v>58693</v>
      </c>
      <c r="C1664" s="5">
        <f>DATE(2012,12,31)-1167</f>
        <v>40107</v>
      </c>
      <c r="D1664" s="4" t="s">
        <v>21</v>
      </c>
      <c r="E1664" s="4">
        <v>50</v>
      </c>
      <c r="F1664" s="4">
        <v>876.64</v>
      </c>
      <c r="G1664" s="4">
        <v>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spans="1:21" ht="12" customHeight="1">
      <c r="A1665" s="4">
        <v>8228</v>
      </c>
      <c r="B1665" s="4">
        <v>58818</v>
      </c>
      <c r="C1665" s="5">
        <f t="shared" ref="C1665:C1666" si="693">DATE(2012,12,31)-1356</f>
        <v>39918</v>
      </c>
      <c r="D1665" s="4" t="s">
        <v>78</v>
      </c>
      <c r="E1665" s="4">
        <v>41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spans="1:21" ht="12" customHeight="1">
      <c r="A1666" s="4">
        <v>8229</v>
      </c>
      <c r="B1666" s="4">
        <v>58818</v>
      </c>
      <c r="C1666" s="5">
        <f t="shared" si="693"/>
        <v>39918</v>
      </c>
      <c r="D1666" s="4" t="s">
        <v>78</v>
      </c>
      <c r="E1666" s="4">
        <v>20</v>
      </c>
      <c r="F1666" s="4">
        <v>4353.0200000000004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4">C1666+2</f>
        <v>39920</v>
      </c>
    </row>
    <row r="1667" spans="1:21" ht="12" customHeight="1">
      <c r="A1667" s="4">
        <v>54</v>
      </c>
      <c r="B1667" s="4">
        <v>323</v>
      </c>
      <c r="C1667" s="5">
        <f t="shared" ref="C1667:C1668" si="695">DATE(2012,12,31)-1377</f>
        <v>39897</v>
      </c>
      <c r="D1667" s="4" t="s">
        <v>78</v>
      </c>
      <c r="E1667" s="4">
        <v>20</v>
      </c>
      <c r="F1667" s="4">
        <v>108.09</v>
      </c>
      <c r="G1667" s="4">
        <v>7.0000000000000007E-2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4"/>
        <v>39899</v>
      </c>
    </row>
    <row r="1668" spans="1:21" ht="12" customHeight="1">
      <c r="A1668" s="4">
        <v>55</v>
      </c>
      <c r="B1668" s="4">
        <v>323</v>
      </c>
      <c r="C1668" s="5">
        <f t="shared" si="695"/>
        <v>39897</v>
      </c>
      <c r="D1668" s="4" t="s">
        <v>78</v>
      </c>
      <c r="E1668" s="4">
        <v>2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4"/>
        <v>39899</v>
      </c>
    </row>
    <row r="1669" spans="1:21" ht="12" customHeight="1">
      <c r="A1669" s="4">
        <v>770</v>
      </c>
      <c r="B1669" s="4">
        <v>5509</v>
      </c>
      <c r="C1669" s="5">
        <f t="shared" ref="C1669:C1670" si="696">DATE(2012,12,31)-1364</f>
        <v>39910</v>
      </c>
      <c r="D1669" s="4" t="s">
        <v>21</v>
      </c>
      <c r="E1669" s="4">
        <v>11</v>
      </c>
      <c r="F1669" s="4">
        <v>68.459999999999994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spans="1:21" ht="12" customHeight="1">
      <c r="A1670" s="4">
        <v>771</v>
      </c>
      <c r="B1670" s="4">
        <v>5509</v>
      </c>
      <c r="C1670" s="5">
        <f t="shared" si="696"/>
        <v>39910</v>
      </c>
      <c r="D1670" s="4" t="s">
        <v>21</v>
      </c>
      <c r="E1670" s="4">
        <v>21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0.56999999999999995</v>
      </c>
      <c r="U1670" s="5">
        <f>C1670+7</f>
        <v>39917</v>
      </c>
    </row>
    <row r="1671" spans="1:21" ht="12" customHeight="1">
      <c r="A1671" s="4">
        <v>1107</v>
      </c>
      <c r="B1671" s="4">
        <v>8132</v>
      </c>
      <c r="C1671" s="5">
        <f t="shared" ref="C1671:C1672" si="697">DATE(2012,12,31)-1327</f>
        <v>39947</v>
      </c>
      <c r="D1671" s="4" t="s">
        <v>21</v>
      </c>
      <c r="E1671" s="4">
        <v>46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4.8899999999999997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spans="1:21" ht="12" customHeight="1">
      <c r="A1672" s="4">
        <v>1108</v>
      </c>
      <c r="B1672" s="4">
        <v>8132</v>
      </c>
      <c r="C1672" s="5">
        <f t="shared" si="697"/>
        <v>39947</v>
      </c>
      <c r="D1672" s="4" t="s">
        <v>21</v>
      </c>
      <c r="E1672" s="4">
        <v>45</v>
      </c>
      <c r="F1672" s="4">
        <v>294.86</v>
      </c>
      <c r="G1672" s="4">
        <v>7.0000000000000007E-2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spans="1:21" ht="12" customHeight="1">
      <c r="A1673" s="4">
        <v>1209</v>
      </c>
      <c r="B1673" s="4">
        <v>8868</v>
      </c>
      <c r="C1673" s="5">
        <f t="shared" ref="C1673:C1674" si="698">DATE(2012,12,31)-1433</f>
        <v>39841</v>
      </c>
      <c r="D1673" s="4" t="s">
        <v>21</v>
      </c>
      <c r="E1673" s="4">
        <v>3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0.56999999999999995</v>
      </c>
      <c r="U1673" s="5">
        <f>C1673+9</f>
        <v>39850</v>
      </c>
    </row>
    <row r="1674" spans="1:21" ht="12" customHeight="1">
      <c r="A1674" s="4">
        <v>1210</v>
      </c>
      <c r="B1674" s="4">
        <v>8868</v>
      </c>
      <c r="C1674" s="5">
        <f t="shared" si="698"/>
        <v>39841</v>
      </c>
      <c r="D1674" s="4" t="s">
        <v>21</v>
      </c>
      <c r="E1674" s="4">
        <v>34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spans="1:21" ht="12" customHeight="1">
      <c r="A1675" s="4">
        <v>1505</v>
      </c>
      <c r="B1675" s="4">
        <v>10884</v>
      </c>
      <c r="C1675" s="5">
        <f>DATE(2012,12,31)-1132</f>
        <v>40142</v>
      </c>
      <c r="D1675" s="4" t="s">
        <v>21</v>
      </c>
      <c r="E1675" s="4">
        <v>24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0.55000000000000004</v>
      </c>
      <c r="U1675" s="5">
        <f>C1675+7</f>
        <v>40149</v>
      </c>
    </row>
    <row r="1676" spans="1:21" ht="12" customHeight="1">
      <c r="A1676" s="4">
        <v>1638</v>
      </c>
      <c r="B1676" s="4">
        <v>11843</v>
      </c>
      <c r="C1676" s="5">
        <f t="shared" ref="C1676:C1677" si="699">DATE(2012,12,31)-1263</f>
        <v>40011</v>
      </c>
      <c r="D1676" s="4" t="s">
        <v>63</v>
      </c>
      <c r="E1676" s="4">
        <v>42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0">C1676+2</f>
        <v>40013</v>
      </c>
    </row>
    <row r="1677" spans="1:21" ht="12" customHeight="1">
      <c r="A1677" s="4">
        <v>1639</v>
      </c>
      <c r="B1677" s="4">
        <v>11843</v>
      </c>
      <c r="C1677" s="5">
        <f t="shared" si="699"/>
        <v>40011</v>
      </c>
      <c r="D1677" s="4" t="s">
        <v>63</v>
      </c>
      <c r="E1677" s="4">
        <v>9</v>
      </c>
      <c r="F1677" s="4">
        <v>1059.3</v>
      </c>
      <c r="G1677" s="4">
        <v>0.05</v>
      </c>
      <c r="H1677" s="4" t="s">
        <v>22</v>
      </c>
      <c r="I1677" s="6">
        <v>67.599999999999923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0"/>
        <v>40013</v>
      </c>
    </row>
    <row r="1678" spans="1:21" ht="12" customHeight="1">
      <c r="A1678" s="4">
        <v>1679</v>
      </c>
      <c r="B1678" s="4">
        <v>12099</v>
      </c>
      <c r="C1678" s="5">
        <f t="shared" ref="C1678:C1679" si="701">DATE(2012,12,31)-1207</f>
        <v>40067</v>
      </c>
      <c r="D1678" s="4" t="s">
        <v>78</v>
      </c>
      <c r="E1678" s="4">
        <v>1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spans="1:21" ht="12" customHeight="1">
      <c r="A1679" s="4">
        <v>1680</v>
      </c>
      <c r="B1679" s="4">
        <v>12099</v>
      </c>
      <c r="C1679" s="5">
        <f t="shared" si="701"/>
        <v>40067</v>
      </c>
      <c r="D1679" s="4" t="s">
        <v>78</v>
      </c>
      <c r="E1679" s="4">
        <v>48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spans="1:21" ht="12" customHeight="1">
      <c r="A1680" s="4">
        <v>2494</v>
      </c>
      <c r="B1680" s="4">
        <v>18147</v>
      </c>
      <c r="C1680" s="5">
        <f t="shared" ref="C1680:C1681" si="702">DATE(2012,12,31)-1263</f>
        <v>40011</v>
      </c>
      <c r="D1680" s="4" t="s">
        <v>45</v>
      </c>
      <c r="E1680" s="4">
        <v>42</v>
      </c>
      <c r="F1680" s="4">
        <v>82.03</v>
      </c>
      <c r="G1680" s="4">
        <v>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3">C1680+1</f>
        <v>40012</v>
      </c>
    </row>
    <row r="1681" spans="1:21" ht="12" customHeight="1">
      <c r="A1681" s="4">
        <v>2495</v>
      </c>
      <c r="B1681" s="4">
        <v>18147</v>
      </c>
      <c r="C1681" s="5">
        <f t="shared" si="702"/>
        <v>40011</v>
      </c>
      <c r="D1681" s="4" t="s">
        <v>45</v>
      </c>
      <c r="E1681" s="4">
        <v>50</v>
      </c>
      <c r="F1681" s="4">
        <v>290.91000000000003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3"/>
        <v>40012</v>
      </c>
    </row>
    <row r="1682" spans="1:21" ht="12" customHeight="1">
      <c r="A1682" s="4">
        <v>2618</v>
      </c>
      <c r="B1682" s="4">
        <v>18919</v>
      </c>
      <c r="C1682" s="5">
        <f>DATE(2012,12,31)-1282</f>
        <v>39992</v>
      </c>
      <c r="D1682" s="4" t="s">
        <v>21</v>
      </c>
      <c r="E1682" s="4">
        <v>39</v>
      </c>
      <c r="F1682" s="4">
        <v>739.28</v>
      </c>
      <c r="G1682" s="4">
        <v>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spans="1:21" ht="12" customHeight="1">
      <c r="A1683" s="4">
        <v>2760</v>
      </c>
      <c r="B1683" s="4">
        <v>19943</v>
      </c>
      <c r="C1683" s="5">
        <f>DATE(2012,12,31)-1133</f>
        <v>40141</v>
      </c>
      <c r="D1683" s="4" t="s">
        <v>78</v>
      </c>
      <c r="E1683" s="4">
        <v>16</v>
      </c>
      <c r="F1683" s="4">
        <v>1959.92</v>
      </c>
      <c r="G1683" s="4">
        <v>7.0000000000000007E-2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spans="1:21" ht="12" customHeight="1">
      <c r="A1684" s="4">
        <v>2983</v>
      </c>
      <c r="B1684" s="4">
        <v>21541</v>
      </c>
      <c r="C1684" s="5">
        <f>DATE(2012,12,31)-1180</f>
        <v>40094</v>
      </c>
      <c r="D1684" s="4" t="s">
        <v>45</v>
      </c>
      <c r="E1684" s="4">
        <v>43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spans="1:21" ht="12" customHeight="1">
      <c r="A1685" s="4">
        <v>3323</v>
      </c>
      <c r="B1685" s="4">
        <v>23751</v>
      </c>
      <c r="C1685" s="5">
        <f>DATE(2012,12,31)-1384</f>
        <v>39890</v>
      </c>
      <c r="D1685" s="4" t="s">
        <v>63</v>
      </c>
      <c r="E1685" s="4">
        <v>44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4">C1685+1</f>
        <v>39891</v>
      </c>
    </row>
    <row r="1686" spans="1:21" ht="12" customHeight="1">
      <c r="A1686" s="4">
        <v>3579</v>
      </c>
      <c r="B1686" s="4">
        <v>25507</v>
      </c>
      <c r="C1686" s="5">
        <f>DATE(2012,12,31)-1244</f>
        <v>40030</v>
      </c>
      <c r="D1686" s="4" t="s">
        <v>45</v>
      </c>
      <c r="E1686" s="4">
        <v>8</v>
      </c>
      <c r="F1686" s="4">
        <v>555.20000000000005</v>
      </c>
      <c r="G1686" s="4">
        <v>0.06</v>
      </c>
      <c r="H1686" s="4" t="s">
        <v>22</v>
      </c>
      <c r="I1686" s="6">
        <v>-267.86</v>
      </c>
      <c r="J1686" s="4">
        <v>64.650000000000006</v>
      </c>
      <c r="K1686" s="4">
        <v>35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4"/>
        <v>40031</v>
      </c>
    </row>
    <row r="1687" spans="1:21" ht="12" customHeight="1">
      <c r="A1687" s="4">
        <v>3580</v>
      </c>
      <c r="B1687" s="4">
        <v>25509</v>
      </c>
      <c r="C1687" s="5">
        <f>DATE(2012,12,31)-1319</f>
        <v>39955</v>
      </c>
      <c r="D1687" s="4" t="s">
        <v>78</v>
      </c>
      <c r="E1687" s="4">
        <v>43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4.9800000000000004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5">C1687+2</f>
        <v>39957</v>
      </c>
    </row>
    <row r="1688" spans="1:21" ht="12" customHeight="1">
      <c r="A1688" s="4">
        <v>4176</v>
      </c>
      <c r="B1688" s="4">
        <v>29637</v>
      </c>
      <c r="C1688" s="5">
        <f>DATE(2012,12,31)-1316</f>
        <v>39958</v>
      </c>
      <c r="D1688" s="4" t="s">
        <v>30</v>
      </c>
      <c r="E1688" s="4">
        <v>34</v>
      </c>
      <c r="F1688" s="4">
        <v>598.19000000000005</v>
      </c>
      <c r="G1688" s="4">
        <v>0.09</v>
      </c>
      <c r="H1688" s="4" t="s">
        <v>22</v>
      </c>
      <c r="I1688" s="6">
        <v>-6.6120000000000108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5"/>
        <v>39960</v>
      </c>
    </row>
    <row r="1689" spans="1:21" ht="12" customHeight="1">
      <c r="A1689" s="4">
        <v>4949</v>
      </c>
      <c r="B1689" s="4">
        <v>35200</v>
      </c>
      <c r="C1689" s="5">
        <f>DATE(2012,12,31)-1425</f>
        <v>39849</v>
      </c>
      <c r="D1689" s="4" t="s">
        <v>63</v>
      </c>
      <c r="E1689" s="4">
        <v>15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0.56999999999999995</v>
      </c>
      <c r="U1689" s="5">
        <f t="shared" si="705"/>
        <v>39851</v>
      </c>
    </row>
    <row r="1690" spans="1:21" ht="12" customHeight="1">
      <c r="A1690" s="4">
        <v>5059</v>
      </c>
      <c r="B1690" s="4">
        <v>36069</v>
      </c>
      <c r="C1690" s="5">
        <f t="shared" ref="C1690:C1692" si="706">DATE(2012,12,31)-1122</f>
        <v>40152</v>
      </c>
      <c r="D1690" s="4" t="s">
        <v>21</v>
      </c>
      <c r="E1690" s="4">
        <v>13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spans="1:21" ht="12" customHeight="1">
      <c r="A1691" s="4">
        <v>5060</v>
      </c>
      <c r="B1691" s="4">
        <v>36069</v>
      </c>
      <c r="C1691" s="5">
        <f t="shared" si="706"/>
        <v>40152</v>
      </c>
      <c r="D1691" s="4" t="s">
        <v>21</v>
      </c>
      <c r="E1691" s="4">
        <v>15</v>
      </c>
      <c r="F1691" s="4">
        <v>2758.22</v>
      </c>
      <c r="G1691" s="4">
        <v>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spans="1:21" ht="12" customHeight="1">
      <c r="A1692" s="4">
        <v>5061</v>
      </c>
      <c r="B1692" s="4">
        <v>36069</v>
      </c>
      <c r="C1692" s="5">
        <f t="shared" si="706"/>
        <v>40152</v>
      </c>
      <c r="D1692" s="4" t="s">
        <v>21</v>
      </c>
      <c r="E1692" s="4">
        <v>20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4.9800000000000004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spans="1:21" ht="12" customHeight="1">
      <c r="A1693" s="4">
        <v>7117</v>
      </c>
      <c r="B1693" s="4">
        <v>50786</v>
      </c>
      <c r="C1693" s="5">
        <f>DATE(2012,12,31)-1176</f>
        <v>40098</v>
      </c>
      <c r="D1693" s="4" t="s">
        <v>21</v>
      </c>
      <c r="E1693" s="4">
        <v>4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spans="1:21" ht="12" customHeight="1">
      <c r="A1694" s="4">
        <v>7291</v>
      </c>
      <c r="B1694" s="4">
        <v>52002</v>
      </c>
      <c r="C1694" s="5">
        <f>DATE(2012,12,31)-1306</f>
        <v>39968</v>
      </c>
      <c r="D1694" s="4" t="s">
        <v>30</v>
      </c>
      <c r="E1694" s="4">
        <v>11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spans="1:21" ht="12" customHeight="1">
      <c r="A1695" s="4">
        <v>7330</v>
      </c>
      <c r="B1695" s="4">
        <v>52227</v>
      </c>
      <c r="C1695" s="5">
        <f>DATE(2012,12,31)-1418</f>
        <v>39856</v>
      </c>
      <c r="D1695" s="4" t="s">
        <v>63</v>
      </c>
      <c r="E1695" s="4">
        <v>37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spans="1:21" ht="12" customHeight="1">
      <c r="A1696" s="4">
        <v>7543</v>
      </c>
      <c r="B1696" s="4">
        <v>53920</v>
      </c>
      <c r="C1696" s="5">
        <f>DATE(2012,12,31)-1384</f>
        <v>39890</v>
      </c>
      <c r="D1696" s="4" t="s">
        <v>78</v>
      </c>
      <c r="E1696" s="4">
        <v>18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7">C1696+2</f>
        <v>39892</v>
      </c>
    </row>
    <row r="1697" spans="1:21" ht="12" customHeight="1">
      <c r="A1697" s="4">
        <v>8259</v>
      </c>
      <c r="B1697" s="4">
        <v>59072</v>
      </c>
      <c r="C1697" s="5">
        <f t="shared" ref="C1697:C1700" si="708">DATE(2012,12,31)-1316</f>
        <v>39958</v>
      </c>
      <c r="D1697" s="4" t="s">
        <v>45</v>
      </c>
      <c r="E1697" s="4">
        <v>12</v>
      </c>
      <c r="F1697" s="4">
        <v>78.94</v>
      </c>
      <c r="G1697" s="4">
        <v>0.03</v>
      </c>
      <c r="H1697" s="4" t="s">
        <v>56</v>
      </c>
      <c r="I1697" s="6">
        <v>-51.704000000000001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7"/>
        <v>39960</v>
      </c>
    </row>
    <row r="1698" spans="1:21" ht="12" customHeight="1">
      <c r="A1698" s="4">
        <v>8260</v>
      </c>
      <c r="B1698" s="4">
        <v>59072</v>
      </c>
      <c r="C1698" s="5">
        <f t="shared" si="708"/>
        <v>39958</v>
      </c>
      <c r="D1698" s="4" t="s">
        <v>45</v>
      </c>
      <c r="E1698" s="4">
        <v>22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spans="1:21" ht="12" customHeight="1">
      <c r="A1699" s="4">
        <v>8261</v>
      </c>
      <c r="B1699" s="4">
        <v>59072</v>
      </c>
      <c r="C1699" s="5">
        <f t="shared" si="708"/>
        <v>39958</v>
      </c>
      <c r="D1699" s="4" t="s">
        <v>45</v>
      </c>
      <c r="E1699" s="4">
        <v>2</v>
      </c>
      <c r="F1699" s="4">
        <v>35.665999999999997</v>
      </c>
      <c r="G1699" s="4">
        <v>0.06</v>
      </c>
      <c r="H1699" s="4" t="s">
        <v>22</v>
      </c>
      <c r="I1699" s="6">
        <v>-112.18899999999999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09">C1699+2</f>
        <v>39960</v>
      </c>
    </row>
    <row r="1700" spans="1:21" ht="12" customHeight="1">
      <c r="A1700" s="4">
        <v>8262</v>
      </c>
      <c r="B1700" s="4">
        <v>59072</v>
      </c>
      <c r="C1700" s="5">
        <f t="shared" si="708"/>
        <v>39958</v>
      </c>
      <c r="D1700" s="4" t="s">
        <v>45</v>
      </c>
      <c r="E1700" s="4">
        <v>38</v>
      </c>
      <c r="F1700" s="4">
        <v>4191.5625</v>
      </c>
      <c r="G1700" s="4">
        <v>0</v>
      </c>
      <c r="H1700" s="4" t="s">
        <v>22</v>
      </c>
      <c r="I1700" s="6">
        <v>1286.5319999999999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0.57999999999999996</v>
      </c>
      <c r="U1700" s="5">
        <f t="shared" si="709"/>
        <v>39960</v>
      </c>
    </row>
    <row r="1701" spans="1:21" ht="12" customHeight="1">
      <c r="A1701" s="4">
        <v>32</v>
      </c>
      <c r="B1701" s="4">
        <v>224</v>
      </c>
      <c r="C1701" s="5">
        <f t="shared" ref="C1701:C1703" si="710">DATE(2012,12,31)-1293</f>
        <v>39981</v>
      </c>
      <c r="D1701" s="4" t="s">
        <v>45</v>
      </c>
      <c r="E1701" s="4">
        <v>25</v>
      </c>
      <c r="F1701" s="4">
        <v>184.86</v>
      </c>
      <c r="G1701" s="4">
        <v>0.09</v>
      </c>
      <c r="H1701" s="4" t="s">
        <v>22</v>
      </c>
      <c r="I1701" s="6">
        <v>-33.950000000000003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0.56000000000000005</v>
      </c>
      <c r="U1701" s="5">
        <f t="shared" ref="U1701:U1705" si="711">C1701+1</f>
        <v>39982</v>
      </c>
    </row>
    <row r="1702" spans="1:21" ht="12" customHeight="1">
      <c r="A1702" s="4">
        <v>33</v>
      </c>
      <c r="B1702" s="4">
        <v>224</v>
      </c>
      <c r="C1702" s="5">
        <f t="shared" si="710"/>
        <v>39981</v>
      </c>
      <c r="D1702" s="4" t="s">
        <v>45</v>
      </c>
      <c r="E1702" s="4">
        <v>44</v>
      </c>
      <c r="F1702" s="4">
        <v>267.85000000000002</v>
      </c>
      <c r="G1702" s="4">
        <v>0.04</v>
      </c>
      <c r="H1702" s="4" t="s">
        <v>22</v>
      </c>
      <c r="I1702" s="6">
        <v>-65.430000000000007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1"/>
        <v>39982</v>
      </c>
    </row>
    <row r="1703" spans="1:21" ht="12" customHeight="1">
      <c r="A1703" s="4">
        <v>34</v>
      </c>
      <c r="B1703" s="4">
        <v>224</v>
      </c>
      <c r="C1703" s="5">
        <f t="shared" si="710"/>
        <v>39981</v>
      </c>
      <c r="D1703" s="4" t="s">
        <v>45</v>
      </c>
      <c r="E1703" s="4">
        <v>33</v>
      </c>
      <c r="F1703" s="4">
        <v>528.5</v>
      </c>
      <c r="G1703" s="4">
        <v>0.04</v>
      </c>
      <c r="H1703" s="4" t="s">
        <v>22</v>
      </c>
      <c r="I1703" s="6">
        <v>-149.91999999999999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0.57999999999999996</v>
      </c>
      <c r="U1703" s="5">
        <f t="shared" si="711"/>
        <v>39982</v>
      </c>
    </row>
    <row r="1704" spans="1:21" ht="12" customHeight="1">
      <c r="A1704" s="4">
        <v>46</v>
      </c>
      <c r="B1704" s="4">
        <v>263</v>
      </c>
      <c r="C1704" s="5">
        <f>DATE(2012,12,31)-1325</f>
        <v>39949</v>
      </c>
      <c r="D1704" s="4" t="s">
        <v>30</v>
      </c>
      <c r="E1704" s="4">
        <v>25</v>
      </c>
      <c r="F1704" s="4">
        <v>136.77000000000001</v>
      </c>
      <c r="G1704" s="4">
        <v>0.09</v>
      </c>
      <c r="H1704" s="4" t="s">
        <v>22</v>
      </c>
      <c r="I1704" s="6">
        <v>-136.25200000000001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1"/>
        <v>39950</v>
      </c>
    </row>
    <row r="1705" spans="1:21" ht="12" customHeight="1">
      <c r="A1705" s="4">
        <v>70</v>
      </c>
      <c r="B1705" s="4">
        <v>417</v>
      </c>
      <c r="C1705" s="5">
        <f t="shared" ref="C1705:C1706" si="712">DATE(2012,12,31)-1425</f>
        <v>39849</v>
      </c>
      <c r="D1705" s="4" t="s">
        <v>63</v>
      </c>
      <c r="E1705" s="4">
        <v>39</v>
      </c>
      <c r="F1705" s="4">
        <v>15260.78</v>
      </c>
      <c r="G1705" s="4">
        <v>7.0000000000000007E-2</v>
      </c>
      <c r="H1705" s="4" t="s">
        <v>31</v>
      </c>
      <c r="I1705" s="6">
        <v>8734.8799999999992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1"/>
        <v>39850</v>
      </c>
    </row>
    <row r="1706" spans="1:21" ht="12" customHeight="1">
      <c r="A1706" s="4">
        <v>71</v>
      </c>
      <c r="B1706" s="4">
        <v>417</v>
      </c>
      <c r="C1706" s="5">
        <f t="shared" si="712"/>
        <v>39849</v>
      </c>
      <c r="D1706" s="4" t="s">
        <v>63</v>
      </c>
      <c r="E1706" s="4">
        <v>3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19.989999999999998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0.55000000000000004</v>
      </c>
      <c r="U1706" s="5">
        <f t="shared" ref="U1706:U1707" si="713">C1706+2</f>
        <v>39851</v>
      </c>
    </row>
    <row r="1707" spans="1:21" ht="12" customHeight="1">
      <c r="A1707" s="4">
        <v>212</v>
      </c>
      <c r="B1707" s="4">
        <v>1411</v>
      </c>
      <c r="C1707" s="5">
        <f>DATE(2012,12,31)-1107</f>
        <v>40167</v>
      </c>
      <c r="D1707" s="4" t="s">
        <v>30</v>
      </c>
      <c r="E1707" s="4">
        <v>47</v>
      </c>
      <c r="F1707" s="4">
        <v>6717.9324999999999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3"/>
        <v>40169</v>
      </c>
    </row>
    <row r="1708" spans="1:21" ht="12" customHeight="1">
      <c r="A1708" s="4">
        <v>395</v>
      </c>
      <c r="B1708" s="4">
        <v>2725</v>
      </c>
      <c r="C1708" s="5">
        <f>DATE(2012,12,31)-1321</f>
        <v>39953</v>
      </c>
      <c r="D1708" s="4" t="s">
        <v>45</v>
      </c>
      <c r="E1708" s="4">
        <v>39</v>
      </c>
      <c r="F1708" s="4">
        <v>2178.431</v>
      </c>
      <c r="G1708" s="4">
        <v>0.01</v>
      </c>
      <c r="H1708" s="4" t="s">
        <v>56</v>
      </c>
      <c r="I1708" s="6">
        <v>396.97199999999998</v>
      </c>
      <c r="J1708" s="4">
        <v>65.989999999999995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0.56000000000000005</v>
      </c>
      <c r="U1708" s="5">
        <f t="shared" ref="U1708:U1709" si="714">C1708+1</f>
        <v>39954</v>
      </c>
    </row>
    <row r="1709" spans="1:21" ht="12" customHeight="1">
      <c r="A1709" s="4">
        <v>404</v>
      </c>
      <c r="B1709" s="4">
        <v>2756</v>
      </c>
      <c r="C1709" s="5">
        <f t="shared" ref="C1709:C1710" si="715">DATE(2012,12,31)-1354</f>
        <v>39920</v>
      </c>
      <c r="D1709" s="4" t="s">
        <v>78</v>
      </c>
      <c r="E1709" s="4">
        <v>25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4"/>
        <v>39921</v>
      </c>
    </row>
    <row r="1710" spans="1:21" ht="12" customHeight="1">
      <c r="A1710" s="4">
        <v>405</v>
      </c>
      <c r="B1710" s="4">
        <v>2756</v>
      </c>
      <c r="C1710" s="5">
        <f t="shared" si="715"/>
        <v>39920</v>
      </c>
      <c r="D1710" s="4" t="s">
        <v>78</v>
      </c>
      <c r="E1710" s="4">
        <v>42</v>
      </c>
      <c r="F1710" s="4">
        <v>248.54</v>
      </c>
      <c r="G1710" s="4">
        <v>7.0000000000000007E-2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spans="1:21" ht="12" customHeight="1">
      <c r="A1711" s="4">
        <v>428</v>
      </c>
      <c r="B1711" s="4">
        <v>2853</v>
      </c>
      <c r="C1711" s="5">
        <f>DATE(2012,12,31)-1337</f>
        <v>39937</v>
      </c>
      <c r="D1711" s="4" t="s">
        <v>30</v>
      </c>
      <c r="E1711" s="4">
        <v>25</v>
      </c>
      <c r="F1711" s="4">
        <v>4253.6499999999996</v>
      </c>
      <c r="G1711" s="4">
        <v>0.05</v>
      </c>
      <c r="H1711" s="4" t="s">
        <v>56</v>
      </c>
      <c r="I1711" s="6">
        <v>943</v>
      </c>
      <c r="J1711" s="4">
        <v>178.47</v>
      </c>
      <c r="K1711" s="4">
        <v>19.989999999999998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0.55000000000000004</v>
      </c>
      <c r="U1711" s="5">
        <f>C1711+3</f>
        <v>39940</v>
      </c>
    </row>
    <row r="1712" spans="1:21" ht="12" customHeight="1">
      <c r="A1712" s="4">
        <v>448</v>
      </c>
      <c r="B1712" s="4">
        <v>3042</v>
      </c>
      <c r="C1712" s="5">
        <f>DATE(2012,12,31)-1137</f>
        <v>40137</v>
      </c>
      <c r="D1712" s="4" t="s">
        <v>63</v>
      </c>
      <c r="E1712" s="4">
        <v>26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spans="1:21" ht="12" customHeight="1">
      <c r="A1713" s="4">
        <v>467</v>
      </c>
      <c r="B1713" s="4">
        <v>3175</v>
      </c>
      <c r="C1713" s="5">
        <f>DATE(2012,12,31)-1266</f>
        <v>40008</v>
      </c>
      <c r="D1713" s="4" t="s">
        <v>21</v>
      </c>
      <c r="E1713" s="4">
        <v>23</v>
      </c>
      <c r="F1713" s="4">
        <v>3553.62</v>
      </c>
      <c r="G1713" s="4">
        <v>7.0000000000000007E-2</v>
      </c>
      <c r="H1713" s="4" t="s">
        <v>22</v>
      </c>
      <c r="I1713" s="6">
        <v>521.69000000000005</v>
      </c>
      <c r="J1713" s="4">
        <v>165.2</v>
      </c>
      <c r="K1713" s="4">
        <v>19.989999999999998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spans="1:21" ht="12" customHeight="1">
      <c r="A1714" s="4">
        <v>536</v>
      </c>
      <c r="B1714" s="4">
        <v>3649</v>
      </c>
      <c r="C1714" s="5">
        <f t="shared" ref="C1714:C1715" si="716">DATE(2012,12,31)-1275</f>
        <v>39999</v>
      </c>
      <c r="D1714" s="4" t="s">
        <v>21</v>
      </c>
      <c r="E1714" s="4">
        <v>8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8.8800000000000008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spans="1:21" ht="12" customHeight="1">
      <c r="A1715" s="4">
        <v>537</v>
      </c>
      <c r="B1715" s="4">
        <v>3649</v>
      </c>
      <c r="C1715" s="5">
        <f t="shared" si="716"/>
        <v>39999</v>
      </c>
      <c r="D1715" s="4" t="s">
        <v>21</v>
      </c>
      <c r="E1715" s="4">
        <v>26</v>
      </c>
      <c r="F1715" s="4">
        <v>75.599999999999994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spans="1:21" ht="12" customHeight="1">
      <c r="A1716" s="4">
        <v>696</v>
      </c>
      <c r="B1716" s="4">
        <v>4870</v>
      </c>
      <c r="C1716" s="5">
        <f>DATE(2012,12,31)-1244</f>
        <v>40030</v>
      </c>
      <c r="D1716" s="4" t="s">
        <v>63</v>
      </c>
      <c r="E1716" s="4">
        <v>44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spans="1:21" ht="12" customHeight="1">
      <c r="A1717" s="4">
        <v>702</v>
      </c>
      <c r="B1717" s="4">
        <v>4931</v>
      </c>
      <c r="C1717" s="5">
        <f t="shared" ref="C1717:C1718" si="717">DATE(2012,12,31)-1141</f>
        <v>40133</v>
      </c>
      <c r="D1717" s="4" t="s">
        <v>78</v>
      </c>
      <c r="E1717" s="4">
        <v>22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spans="1:21" ht="12" customHeight="1">
      <c r="A1718" s="4">
        <v>703</v>
      </c>
      <c r="B1718" s="4">
        <v>4931</v>
      </c>
      <c r="C1718" s="5">
        <f t="shared" si="717"/>
        <v>40133</v>
      </c>
      <c r="D1718" s="4" t="s">
        <v>78</v>
      </c>
      <c r="E1718" s="4">
        <v>45</v>
      </c>
      <c r="F1718" s="4">
        <v>4282.7249999999995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0.56999999999999995</v>
      </c>
      <c r="U1718" s="5">
        <f>C1718+2</f>
        <v>40135</v>
      </c>
    </row>
    <row r="1719" spans="1:21" ht="12" customHeight="1">
      <c r="A1719" s="4">
        <v>829</v>
      </c>
      <c r="B1719" s="4">
        <v>5984</v>
      </c>
      <c r="C1719" s="5">
        <f t="shared" ref="C1719:C1721" si="718">DATE(2012,12,31)-1293</f>
        <v>39981</v>
      </c>
      <c r="D1719" s="4" t="s">
        <v>21</v>
      </c>
      <c r="E1719" s="4">
        <v>37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19">C1719+5</f>
        <v>39986</v>
      </c>
    </row>
    <row r="1720" spans="1:21" ht="12" customHeight="1">
      <c r="A1720" s="4">
        <v>830</v>
      </c>
      <c r="B1720" s="4">
        <v>5984</v>
      </c>
      <c r="C1720" s="5">
        <f t="shared" si="718"/>
        <v>39981</v>
      </c>
      <c r="D1720" s="4" t="s">
        <v>21</v>
      </c>
      <c r="E1720" s="4">
        <v>42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0.56999999999999995</v>
      </c>
      <c r="U1720" s="5">
        <f t="shared" si="719"/>
        <v>39986</v>
      </c>
    </row>
    <row r="1721" spans="1:21" ht="12" customHeight="1">
      <c r="A1721" s="4">
        <v>831</v>
      </c>
      <c r="B1721" s="4">
        <v>5984</v>
      </c>
      <c r="C1721" s="5">
        <f t="shared" si="718"/>
        <v>39981</v>
      </c>
      <c r="D1721" s="4" t="s">
        <v>21</v>
      </c>
      <c r="E1721" s="4">
        <v>11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0">C1721+2</f>
        <v>39983</v>
      </c>
    </row>
    <row r="1722" spans="1:21" ht="12" customHeight="1">
      <c r="A1722" s="4">
        <v>949</v>
      </c>
      <c r="B1722" s="4">
        <v>6880</v>
      </c>
      <c r="C1722" s="5">
        <f>DATE(2012,12,31)-1316</f>
        <v>39958</v>
      </c>
      <c r="D1722" s="4" t="s">
        <v>63</v>
      </c>
      <c r="E1722" s="4">
        <v>5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0"/>
        <v>39960</v>
      </c>
    </row>
    <row r="1723" spans="1:21" ht="12" customHeight="1">
      <c r="A1723" s="4">
        <v>970</v>
      </c>
      <c r="B1723" s="4">
        <v>7043</v>
      </c>
      <c r="C1723" s="5">
        <f>DATE(2012,12,31)-1436</f>
        <v>39838</v>
      </c>
      <c r="D1723" s="4" t="s">
        <v>78</v>
      </c>
      <c r="E1723" s="4">
        <v>4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spans="1:21" ht="12" customHeight="1">
      <c r="A1724" s="4">
        <v>1111</v>
      </c>
      <c r="B1724" s="4">
        <v>8161</v>
      </c>
      <c r="C1724" s="5">
        <f>DATE(2012,12,31)-1307</f>
        <v>39967</v>
      </c>
      <c r="D1724" s="4" t="s">
        <v>30</v>
      </c>
      <c r="E1724" s="4">
        <v>45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1">C1724+2</f>
        <v>39969</v>
      </c>
    </row>
    <row r="1725" spans="1:21" ht="12" customHeight="1">
      <c r="A1725" s="4">
        <v>1141</v>
      </c>
      <c r="B1725" s="4">
        <v>8320</v>
      </c>
      <c r="C1725" s="5">
        <f>DATE(2012,12,31)-1199</f>
        <v>40075</v>
      </c>
      <c r="D1725" s="4" t="s">
        <v>45</v>
      </c>
      <c r="E1725" s="4">
        <v>22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1"/>
        <v>40077</v>
      </c>
    </row>
    <row r="1726" spans="1:21" ht="12" customHeight="1">
      <c r="A1726" s="4">
        <v>1144</v>
      </c>
      <c r="B1726" s="4">
        <v>8325</v>
      </c>
      <c r="C1726" s="5">
        <f t="shared" ref="C1726:C1727" si="722">DATE(2012,12,31)-1447</f>
        <v>39827</v>
      </c>
      <c r="D1726" s="4" t="s">
        <v>78</v>
      </c>
      <c r="E1726" s="4">
        <v>21</v>
      </c>
      <c r="F1726" s="4">
        <v>2364.29</v>
      </c>
      <c r="G1726" s="4">
        <v>0.08</v>
      </c>
      <c r="H1726" s="4" t="s">
        <v>31</v>
      </c>
      <c r="I1726" s="6">
        <v>-220.04910000000001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1"/>
        <v>39829</v>
      </c>
    </row>
    <row r="1727" spans="1:21" ht="12" customHeight="1">
      <c r="A1727" s="4">
        <v>1145</v>
      </c>
      <c r="B1727" s="4">
        <v>8325</v>
      </c>
      <c r="C1727" s="5">
        <f t="shared" si="722"/>
        <v>39827</v>
      </c>
      <c r="D1727" s="4" t="s">
        <v>78</v>
      </c>
      <c r="E1727" s="4">
        <v>27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0.56000000000000005</v>
      </c>
      <c r="U1727" s="5">
        <f>C1727+3</f>
        <v>39830</v>
      </c>
    </row>
    <row r="1728" spans="1:21" ht="12" customHeight="1">
      <c r="A1728" s="4">
        <v>1173</v>
      </c>
      <c r="B1728" s="4">
        <v>8576</v>
      </c>
      <c r="C1728" s="5">
        <f>DATE(2012,12,31)-1452</f>
        <v>39822</v>
      </c>
      <c r="D1728" s="4" t="s">
        <v>30</v>
      </c>
      <c r="E1728" s="4">
        <v>43</v>
      </c>
      <c r="F1728" s="4">
        <v>541.45000000000005</v>
      </c>
      <c r="G1728" s="4">
        <v>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3">C1728+2</f>
        <v>39824</v>
      </c>
    </row>
    <row r="1729" spans="1:21" ht="12" customHeight="1">
      <c r="A1729" s="4">
        <v>1214</v>
      </c>
      <c r="B1729" s="4">
        <v>8930</v>
      </c>
      <c r="C1729" s="5">
        <f>DATE(2012,12,31)-1322</f>
        <v>39952</v>
      </c>
      <c r="D1729" s="4" t="s">
        <v>63</v>
      </c>
      <c r="E1729" s="4">
        <v>14</v>
      </c>
      <c r="F1729" s="4">
        <v>145.86000000000001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3"/>
        <v>39954</v>
      </c>
    </row>
    <row r="1730" spans="1:21" ht="12" customHeight="1">
      <c r="A1730" s="4">
        <v>1237</v>
      </c>
      <c r="B1730" s="4">
        <v>8999</v>
      </c>
      <c r="C1730" s="5">
        <f>DATE(2012,12,31)-1298</f>
        <v>39976</v>
      </c>
      <c r="D1730" s="4" t="s">
        <v>30</v>
      </c>
      <c r="E1730" s="4">
        <v>28</v>
      </c>
      <c r="F1730" s="4">
        <v>1676.48</v>
      </c>
      <c r="G1730" s="4">
        <v>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3"/>
        <v>39978</v>
      </c>
    </row>
    <row r="1731" spans="1:21" ht="12" customHeight="1">
      <c r="A1731" s="4">
        <v>1251</v>
      </c>
      <c r="B1731" s="4">
        <v>9092</v>
      </c>
      <c r="C1731" s="5">
        <f t="shared" ref="C1731:C1732" si="724">DATE(2012,12,31)-1256</f>
        <v>40018</v>
      </c>
      <c r="D1731" s="4" t="s">
        <v>45</v>
      </c>
      <c r="E1731" s="4">
        <v>33</v>
      </c>
      <c r="F1731" s="4">
        <v>3644.24</v>
      </c>
      <c r="G1731" s="4">
        <v>0</v>
      </c>
      <c r="H1731" s="4" t="s">
        <v>56</v>
      </c>
      <c r="I1731" s="6">
        <v>-457.73</v>
      </c>
      <c r="J1731" s="4">
        <v>101.41</v>
      </c>
      <c r="K1731" s="4">
        <v>35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5">C1731+1</f>
        <v>40019</v>
      </c>
    </row>
    <row r="1732" spans="1:21" ht="12" customHeight="1">
      <c r="A1732" s="4">
        <v>1252</v>
      </c>
      <c r="B1732" s="4">
        <v>9092</v>
      </c>
      <c r="C1732" s="5">
        <f t="shared" si="724"/>
        <v>40018</v>
      </c>
      <c r="D1732" s="4" t="s">
        <v>45</v>
      </c>
      <c r="E1732" s="4">
        <v>8</v>
      </c>
      <c r="F1732" s="4">
        <v>599.20749999999998</v>
      </c>
      <c r="G1732" s="4">
        <v>0.1</v>
      </c>
      <c r="H1732" s="4" t="s">
        <v>22</v>
      </c>
      <c r="I1732" s="6">
        <v>-268.66399999999999</v>
      </c>
      <c r="J1732" s="4">
        <v>95.99</v>
      </c>
      <c r="K1732" s="4">
        <v>4.9000000000000004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0.56000000000000005</v>
      </c>
      <c r="U1732" s="5">
        <f t="shared" si="725"/>
        <v>40019</v>
      </c>
    </row>
    <row r="1733" spans="1:21" ht="12" customHeight="1">
      <c r="A1733" s="4">
        <v>1383</v>
      </c>
      <c r="B1733" s="4">
        <v>10052</v>
      </c>
      <c r="C1733" s="5">
        <f t="shared" ref="C1733:C1735" si="726">DATE(2012,12,31)-1211</f>
        <v>40063</v>
      </c>
      <c r="D1733" s="4" t="s">
        <v>45</v>
      </c>
      <c r="E1733" s="4">
        <v>16</v>
      </c>
      <c r="F1733" s="4">
        <v>95.9</v>
      </c>
      <c r="G1733" s="4">
        <v>7.0000000000000007E-2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5"/>
        <v>40064</v>
      </c>
    </row>
    <row r="1734" spans="1:21" ht="12" customHeight="1">
      <c r="A1734" s="4">
        <v>1384</v>
      </c>
      <c r="B1734" s="4">
        <v>10052</v>
      </c>
      <c r="C1734" s="5">
        <f t="shared" si="726"/>
        <v>40063</v>
      </c>
      <c r="D1734" s="4" t="s">
        <v>45</v>
      </c>
      <c r="E1734" s="4">
        <v>28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19.899999999999999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7">C1734+2</f>
        <v>40065</v>
      </c>
    </row>
    <row r="1735" spans="1:21" ht="12" customHeight="1">
      <c r="A1735" s="4">
        <v>1385</v>
      </c>
      <c r="B1735" s="4">
        <v>10052</v>
      </c>
      <c r="C1735" s="5">
        <f t="shared" si="726"/>
        <v>40063</v>
      </c>
      <c r="D1735" s="4" t="s">
        <v>45</v>
      </c>
      <c r="E1735" s="4">
        <v>46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7"/>
        <v>40065</v>
      </c>
    </row>
    <row r="1736" spans="1:21" ht="12" customHeight="1">
      <c r="A1736" s="4">
        <v>1398</v>
      </c>
      <c r="B1736" s="4">
        <v>10146</v>
      </c>
      <c r="C1736" s="5">
        <f>DATE(2012,12,31)-1340</f>
        <v>39934</v>
      </c>
      <c r="D1736" s="4" t="s">
        <v>21</v>
      </c>
      <c r="E1736" s="4">
        <v>19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34.229999999999997</v>
      </c>
      <c r="K1736" s="4">
        <v>5.0199999999999996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0.55000000000000004</v>
      </c>
      <c r="U1736" s="5">
        <f>C1736+5</f>
        <v>39939</v>
      </c>
    </row>
    <row r="1737" spans="1:21" ht="12" customHeight="1">
      <c r="A1737" s="4">
        <v>1417</v>
      </c>
      <c r="B1737" s="4">
        <v>10277</v>
      </c>
      <c r="C1737" s="5">
        <f>DATE(2012,12,31)-1364</f>
        <v>39910</v>
      </c>
      <c r="D1737" s="4" t="s">
        <v>63</v>
      </c>
      <c r="E1737" s="4">
        <v>36</v>
      </c>
      <c r="F1737" s="4">
        <v>2144.924</v>
      </c>
      <c r="G1737" s="4">
        <v>0</v>
      </c>
      <c r="H1737" s="4" t="s">
        <v>22</v>
      </c>
      <c r="I1737" s="6">
        <v>542.25</v>
      </c>
      <c r="J1737" s="4">
        <v>65.989999999999995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spans="1:21" ht="12" customHeight="1">
      <c r="A1738" s="4">
        <v>1419</v>
      </c>
      <c r="B1738" s="4">
        <v>10305</v>
      </c>
      <c r="C1738" s="5">
        <f>DATE(2012,12,31)-1273</f>
        <v>40001</v>
      </c>
      <c r="D1738" s="4" t="s">
        <v>21</v>
      </c>
      <c r="E1738" s="4">
        <v>12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2.0299999999999998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spans="1:21" ht="12" customHeight="1">
      <c r="A1739" s="4">
        <v>1464</v>
      </c>
      <c r="B1739" s="4">
        <v>10562</v>
      </c>
      <c r="C1739" s="5">
        <f>DATE(2012,12,31)-1146</f>
        <v>40128</v>
      </c>
      <c r="D1739" s="4" t="s">
        <v>45</v>
      </c>
      <c r="E1739" s="4">
        <v>10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spans="1:21" ht="12" customHeight="1">
      <c r="A1740" s="4">
        <v>1477</v>
      </c>
      <c r="B1740" s="4">
        <v>10658</v>
      </c>
      <c r="C1740" s="5">
        <f t="shared" ref="C1740:C1742" si="728">DATE(2012,12,31)-1222</f>
        <v>40052</v>
      </c>
      <c r="D1740" s="4" t="s">
        <v>21</v>
      </c>
      <c r="E1740" s="4">
        <v>31</v>
      </c>
      <c r="F1740" s="4">
        <v>262.54000000000002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spans="1:21" ht="12" customHeight="1">
      <c r="A1741" s="4">
        <v>1478</v>
      </c>
      <c r="B1741" s="4">
        <v>10658</v>
      </c>
      <c r="C1741" s="5">
        <f t="shared" si="728"/>
        <v>40052</v>
      </c>
      <c r="D1741" s="4" t="s">
        <v>21</v>
      </c>
      <c r="E1741" s="4">
        <v>12</v>
      </c>
      <c r="F1741" s="4">
        <v>190.73</v>
      </c>
      <c r="G1741" s="4">
        <v>0.1</v>
      </c>
      <c r="H1741" s="4" t="s">
        <v>22</v>
      </c>
      <c r="I1741" s="6">
        <v>-69.643500000000003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spans="1:21" ht="12" customHeight="1">
      <c r="A1742" s="4">
        <v>1479</v>
      </c>
      <c r="B1742" s="4">
        <v>10658</v>
      </c>
      <c r="C1742" s="5">
        <f t="shared" si="728"/>
        <v>40052</v>
      </c>
      <c r="D1742" s="4" t="s">
        <v>21</v>
      </c>
      <c r="E1742" s="4">
        <v>17</v>
      </c>
      <c r="F1742" s="4">
        <v>1332.97</v>
      </c>
      <c r="G1742" s="4">
        <v>0.09</v>
      </c>
      <c r="H1742" s="4" t="s">
        <v>22</v>
      </c>
      <c r="I1742" s="6">
        <v>4.7520000000000007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0.56999999999999995</v>
      </c>
      <c r="U1742" s="5">
        <f>C1742+7</f>
        <v>40059</v>
      </c>
    </row>
    <row r="1743" spans="1:21" ht="12" customHeight="1">
      <c r="A1743" s="4">
        <v>1539</v>
      </c>
      <c r="B1743" s="4">
        <v>11077</v>
      </c>
      <c r="C1743" s="5">
        <f>DATE(2012,12,31)-1382</f>
        <v>39892</v>
      </c>
      <c r="D1743" s="4" t="s">
        <v>21</v>
      </c>
      <c r="E1743" s="4">
        <v>30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160.97999999999999</v>
      </c>
      <c r="K1743" s="4">
        <v>35.020000000000003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spans="1:21" ht="12" customHeight="1">
      <c r="A1744" s="4">
        <v>1550</v>
      </c>
      <c r="B1744" s="4">
        <v>11174</v>
      </c>
      <c r="C1744" s="5">
        <f>DATE(2012,12,31)-1362</f>
        <v>39912</v>
      </c>
      <c r="D1744" s="4" t="s">
        <v>63</v>
      </c>
      <c r="E1744" s="4">
        <v>30</v>
      </c>
      <c r="F1744" s="4">
        <v>3197.0029999999997</v>
      </c>
      <c r="G1744" s="4">
        <v>7.0000000000000007E-2</v>
      </c>
      <c r="H1744" s="4" t="s">
        <v>22</v>
      </c>
      <c r="I1744" s="6">
        <v>603.45899999999995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spans="1:21" ht="12" customHeight="1">
      <c r="A1745" s="4">
        <v>1611</v>
      </c>
      <c r="B1745" s="4">
        <v>11680</v>
      </c>
      <c r="C1745" s="5">
        <f>DATE(2012,12,31)-1214</f>
        <v>40060</v>
      </c>
      <c r="D1745" s="4" t="s">
        <v>63</v>
      </c>
      <c r="E1745" s="4">
        <v>50</v>
      </c>
      <c r="F1745" s="4">
        <v>7312.0314999999991</v>
      </c>
      <c r="G1745" s="4">
        <v>0.06</v>
      </c>
      <c r="H1745" s="4" t="s">
        <v>22</v>
      </c>
      <c r="I1745" s="6">
        <v>2031.5070000000001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0.56999999999999995</v>
      </c>
      <c r="U1745" s="5">
        <f>C1745+2</f>
        <v>40062</v>
      </c>
    </row>
    <row r="1746" spans="1:21" ht="12" customHeight="1">
      <c r="A1746" s="4">
        <v>1618</v>
      </c>
      <c r="B1746" s="4">
        <v>11714</v>
      </c>
      <c r="C1746" s="5">
        <f t="shared" ref="C1746:C1747" si="729">DATE(2012,12,31)-1245</f>
        <v>40029</v>
      </c>
      <c r="D1746" s="4" t="s">
        <v>78</v>
      </c>
      <c r="E1746" s="4">
        <v>1</v>
      </c>
      <c r="F1746" s="4">
        <v>3501.79</v>
      </c>
      <c r="G1746" s="4">
        <v>0.01</v>
      </c>
      <c r="H1746" s="4" t="s">
        <v>31</v>
      </c>
      <c r="I1746" s="6">
        <v>-7838.3346000000001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0.56999999999999995</v>
      </c>
      <c r="U1746" s="5">
        <f t="shared" ref="U1746:U1747" si="730">C1746+1</f>
        <v>40030</v>
      </c>
    </row>
    <row r="1747" spans="1:21" ht="12" customHeight="1">
      <c r="A1747" s="4">
        <v>1619</v>
      </c>
      <c r="B1747" s="4">
        <v>11714</v>
      </c>
      <c r="C1747" s="5">
        <f t="shared" si="729"/>
        <v>40029</v>
      </c>
      <c r="D1747" s="4" t="s">
        <v>78</v>
      </c>
      <c r="E1747" s="4">
        <v>9</v>
      </c>
      <c r="F1747" s="4">
        <v>141.83000000000001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0.56000000000000005</v>
      </c>
      <c r="U1747" s="5">
        <f t="shared" si="730"/>
        <v>40030</v>
      </c>
    </row>
    <row r="1748" spans="1:21" ht="12" customHeight="1">
      <c r="A1748" s="4">
        <v>1625</v>
      </c>
      <c r="B1748" s="4">
        <v>11748</v>
      </c>
      <c r="C1748" s="5">
        <f>DATE(2012,12,31)-1307</f>
        <v>39967</v>
      </c>
      <c r="D1748" s="4" t="s">
        <v>45</v>
      </c>
      <c r="E1748" s="4">
        <v>23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145.97999999999999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spans="1:21" ht="12" customHeight="1">
      <c r="A1749" s="4">
        <v>1666</v>
      </c>
      <c r="B1749" s="4">
        <v>12007</v>
      </c>
      <c r="C1749" s="5">
        <f>DATE(2012,12,31)-1191</f>
        <v>40083</v>
      </c>
      <c r="D1749" s="4" t="s">
        <v>45</v>
      </c>
      <c r="E1749" s="4">
        <v>42</v>
      </c>
      <c r="F1749" s="4">
        <v>152.26</v>
      </c>
      <c r="G1749" s="4">
        <v>0.04</v>
      </c>
      <c r="H1749" s="4" t="s">
        <v>22</v>
      </c>
      <c r="I1749" s="6">
        <v>64.989999999999995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spans="1:21" ht="12" customHeight="1">
      <c r="A1750" s="4">
        <v>1772</v>
      </c>
      <c r="B1750" s="4">
        <v>12706</v>
      </c>
      <c r="C1750" s="5">
        <f>DATE(2012,12,31)-1137</f>
        <v>40137</v>
      </c>
      <c r="D1750" s="4" t="s">
        <v>78</v>
      </c>
      <c r="E1750" s="4">
        <v>46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1">C1750+1</f>
        <v>40138</v>
      </c>
    </row>
    <row r="1751" spans="1:21" ht="12" customHeight="1">
      <c r="A1751" s="4">
        <v>1838</v>
      </c>
      <c r="B1751" s="4">
        <v>13218</v>
      </c>
      <c r="C1751" s="5">
        <f t="shared" ref="C1751:C1752" si="732">DATE(2012,12,31)-1325</f>
        <v>39949</v>
      </c>
      <c r="D1751" s="4" t="s">
        <v>30</v>
      </c>
      <c r="E1751" s="4">
        <v>18</v>
      </c>
      <c r="F1751" s="4">
        <v>513.08000000000004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1"/>
        <v>39950</v>
      </c>
    </row>
    <row r="1752" spans="1:21" ht="12" customHeight="1">
      <c r="A1752" s="4">
        <v>1839</v>
      </c>
      <c r="B1752" s="4">
        <v>13218</v>
      </c>
      <c r="C1752" s="5">
        <f t="shared" si="732"/>
        <v>39949</v>
      </c>
      <c r="D1752" s="4" t="s">
        <v>30</v>
      </c>
      <c r="E1752" s="4">
        <v>16</v>
      </c>
      <c r="F1752" s="4">
        <v>98.8</v>
      </c>
      <c r="G1752" s="4">
        <v>7.0000000000000007E-2</v>
      </c>
      <c r="H1752" s="4" t="s">
        <v>22</v>
      </c>
      <c r="I1752" s="6">
        <v>-62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3">C1752+2</f>
        <v>39951</v>
      </c>
    </row>
    <row r="1753" spans="1:21" ht="12" customHeight="1">
      <c r="A1753" s="4">
        <v>1852</v>
      </c>
      <c r="B1753" s="4">
        <v>13314</v>
      </c>
      <c r="C1753" s="5">
        <f>DATE(2012,12,31)-1328</f>
        <v>39946</v>
      </c>
      <c r="D1753" s="4" t="s">
        <v>30</v>
      </c>
      <c r="E1753" s="4">
        <v>34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3"/>
        <v>39948</v>
      </c>
    </row>
    <row r="1754" spans="1:21" ht="12" customHeight="1">
      <c r="A1754" s="4">
        <v>1877</v>
      </c>
      <c r="B1754" s="4">
        <v>13536</v>
      </c>
      <c r="C1754" s="5">
        <f>DATE(2012,12,31)-1231</f>
        <v>40043</v>
      </c>
      <c r="D1754" s="4" t="s">
        <v>63</v>
      </c>
      <c r="E1754" s="4">
        <v>23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3"/>
        <v>40045</v>
      </c>
    </row>
    <row r="1755" spans="1:21" ht="12" customHeight="1">
      <c r="A1755" s="4">
        <v>1894</v>
      </c>
      <c r="B1755" s="4">
        <v>13602</v>
      </c>
      <c r="C1755" s="5">
        <f t="shared" ref="C1755:C1756" si="734">DATE(2012,12,31)-1448</f>
        <v>39826</v>
      </c>
      <c r="D1755" s="4" t="s">
        <v>21</v>
      </c>
      <c r="E1755" s="4">
        <v>3</v>
      </c>
      <c r="F1755" s="4">
        <v>445.34</v>
      </c>
      <c r="G1755" s="4">
        <v>0.03</v>
      </c>
      <c r="H1755" s="4" t="s">
        <v>31</v>
      </c>
      <c r="I1755" s="6">
        <v>-377.90190000000001</v>
      </c>
      <c r="J1755" s="4">
        <v>145.44999999999999</v>
      </c>
      <c r="K1755" s="4">
        <v>17.850000000000001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0.56000000000000005</v>
      </c>
      <c r="U1755" s="5">
        <f>C1755+5</f>
        <v>39831</v>
      </c>
    </row>
    <row r="1756" spans="1:21" ht="12" customHeight="1">
      <c r="A1756" s="4">
        <v>1895</v>
      </c>
      <c r="B1756" s="4">
        <v>13602</v>
      </c>
      <c r="C1756" s="5">
        <f t="shared" si="734"/>
        <v>39826</v>
      </c>
      <c r="D1756" s="4" t="s">
        <v>21</v>
      </c>
      <c r="E1756" s="4">
        <v>13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spans="1:21" ht="12" customHeight="1">
      <c r="A1757" s="4">
        <v>2007</v>
      </c>
      <c r="B1757" s="4">
        <v>14311</v>
      </c>
      <c r="C1757" s="5">
        <f>DATE(2012,12,31)-1248</f>
        <v>40026</v>
      </c>
      <c r="D1757" s="4" t="s">
        <v>78</v>
      </c>
      <c r="E1757" s="4">
        <v>30</v>
      </c>
      <c r="F1757" s="4">
        <v>192.41</v>
      </c>
      <c r="G1757" s="4">
        <v>0.03</v>
      </c>
      <c r="H1757" s="4" t="s">
        <v>22</v>
      </c>
      <c r="I1757" s="6">
        <v>-55.947499999999998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spans="1:21" ht="12" customHeight="1">
      <c r="A1758" s="4">
        <v>2113</v>
      </c>
      <c r="B1758" s="4">
        <v>15105</v>
      </c>
      <c r="C1758" s="5">
        <f>DATE(2012,12,31)-1154</f>
        <v>40120</v>
      </c>
      <c r="D1758" s="4" t="s">
        <v>21</v>
      </c>
      <c r="E1758" s="4">
        <v>39</v>
      </c>
      <c r="F1758" s="4">
        <v>460.43</v>
      </c>
      <c r="G1758" s="4">
        <v>7.0000000000000007E-2</v>
      </c>
      <c r="H1758" s="4" t="s">
        <v>22</v>
      </c>
      <c r="I1758" s="6">
        <v>-76.180000000000007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0.56999999999999995</v>
      </c>
      <c r="U1758" s="5">
        <f>C1758+7</f>
        <v>40127</v>
      </c>
    </row>
    <row r="1759" spans="1:21" ht="12" customHeight="1">
      <c r="A1759" s="4">
        <v>2123</v>
      </c>
      <c r="B1759" s="4">
        <v>15111</v>
      </c>
      <c r="C1759" s="5">
        <f>DATE(2012,12,31)-1110</f>
        <v>40164</v>
      </c>
      <c r="D1759" s="4" t="s">
        <v>45</v>
      </c>
      <c r="E1759" s="4">
        <v>13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81.319999999999993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0.56999999999999995</v>
      </c>
      <c r="U1759" s="5">
        <f t="shared" ref="U1759:U1762" si="735">C1759+2</f>
        <v>40166</v>
      </c>
    </row>
    <row r="1760" spans="1:21" ht="12" customHeight="1">
      <c r="A1760" s="4">
        <v>2176</v>
      </c>
      <c r="B1760" s="4">
        <v>15654</v>
      </c>
      <c r="C1760" s="5">
        <f t="shared" ref="C1760:C1761" si="736">DATE(2012,12,31)-1186</f>
        <v>40088</v>
      </c>
      <c r="D1760" s="4" t="s">
        <v>45</v>
      </c>
      <c r="E1760" s="4">
        <v>27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0.55000000000000004</v>
      </c>
      <c r="U1760" s="5">
        <f t="shared" si="735"/>
        <v>40090</v>
      </c>
    </row>
    <row r="1761" spans="1:21" ht="12" customHeight="1">
      <c r="A1761" s="4">
        <v>2177</v>
      </c>
      <c r="B1761" s="4">
        <v>15654</v>
      </c>
      <c r="C1761" s="5">
        <f t="shared" si="736"/>
        <v>40088</v>
      </c>
      <c r="D1761" s="4" t="s">
        <v>45</v>
      </c>
      <c r="E1761" s="4">
        <v>4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0.56999999999999995</v>
      </c>
      <c r="U1761" s="5">
        <f t="shared" si="735"/>
        <v>40090</v>
      </c>
    </row>
    <row r="1762" spans="1:21" ht="12" customHeight="1">
      <c r="A1762" s="4">
        <v>2228</v>
      </c>
      <c r="B1762" s="4">
        <v>16102</v>
      </c>
      <c r="C1762" s="5">
        <f>DATE(2012,12,31)-1114</f>
        <v>40160</v>
      </c>
      <c r="D1762" s="4" t="s">
        <v>45</v>
      </c>
      <c r="E1762" s="4">
        <v>25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5"/>
        <v>40162</v>
      </c>
    </row>
    <row r="1763" spans="1:21" ht="12" customHeight="1">
      <c r="A1763" s="4">
        <v>2254</v>
      </c>
      <c r="B1763" s="4">
        <v>16229</v>
      </c>
      <c r="C1763" s="5">
        <f>DATE(2012,12,31)-1373</f>
        <v>39901</v>
      </c>
      <c r="D1763" s="4" t="s">
        <v>30</v>
      </c>
      <c r="E1763" s="4">
        <v>27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spans="1:21" ht="12" customHeight="1">
      <c r="A1764" s="4">
        <v>2428</v>
      </c>
      <c r="B1764" s="4">
        <v>17636</v>
      </c>
      <c r="C1764" s="5">
        <f>DATE(2012,12,31)-1426</f>
        <v>39848</v>
      </c>
      <c r="D1764" s="4" t="s">
        <v>21</v>
      </c>
      <c r="E1764" s="4">
        <v>2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0.57999999999999996</v>
      </c>
      <c r="U1764" s="5">
        <f>C1764+4</f>
        <v>39852</v>
      </c>
    </row>
    <row r="1765" spans="1:21" ht="12" customHeight="1">
      <c r="A1765" s="4">
        <v>2434</v>
      </c>
      <c r="B1765" s="4">
        <v>17669</v>
      </c>
      <c r="C1765" s="5">
        <f>DATE(2012,12,31)-1342</f>
        <v>39932</v>
      </c>
      <c r="D1765" s="4" t="s">
        <v>30</v>
      </c>
      <c r="E1765" s="4">
        <v>32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spans="1:21" ht="12" customHeight="1">
      <c r="A1766" s="4">
        <v>2523</v>
      </c>
      <c r="B1766" s="4">
        <v>18336</v>
      </c>
      <c r="C1766" s="5">
        <f>DATE(2012,12,31)-1347</f>
        <v>39927</v>
      </c>
      <c r="D1766" s="4" t="s">
        <v>45</v>
      </c>
      <c r="E1766" s="4">
        <v>1</v>
      </c>
      <c r="F1766" s="4">
        <v>7.96</v>
      </c>
      <c r="G1766" s="4">
        <v>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0.56000000000000005</v>
      </c>
      <c r="U1766" s="5">
        <f>C1766+0</f>
        <v>39927</v>
      </c>
    </row>
    <row r="1767" spans="1:21" ht="12" customHeight="1">
      <c r="A1767" s="4">
        <v>2536</v>
      </c>
      <c r="B1767" s="4">
        <v>18402</v>
      </c>
      <c r="C1767" s="5">
        <f t="shared" ref="C1767:C1768" si="737">DATE(2012,12,31)-1220</f>
        <v>40054</v>
      </c>
      <c r="D1767" s="4" t="s">
        <v>21</v>
      </c>
      <c r="E1767" s="4">
        <v>5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spans="1:21" ht="12" customHeight="1">
      <c r="A1768" s="4">
        <v>2537</v>
      </c>
      <c r="B1768" s="4">
        <v>18402</v>
      </c>
      <c r="C1768" s="5">
        <f t="shared" si="737"/>
        <v>40054</v>
      </c>
      <c r="D1768" s="4" t="s">
        <v>21</v>
      </c>
      <c r="E1768" s="4">
        <v>3</v>
      </c>
      <c r="F1768" s="4">
        <v>56.07</v>
      </c>
      <c r="G1768" s="4">
        <v>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spans="1:21" ht="12" customHeight="1">
      <c r="A1769" s="4">
        <v>2602</v>
      </c>
      <c r="B1769" s="4">
        <v>18790</v>
      </c>
      <c r="C1769" s="5">
        <f>DATE(2012,12,31)-1419</f>
        <v>39855</v>
      </c>
      <c r="D1769" s="4" t="s">
        <v>30</v>
      </c>
      <c r="E1769" s="4">
        <v>7</v>
      </c>
      <c r="F1769" s="4">
        <v>13253.93</v>
      </c>
      <c r="G1769" s="4">
        <v>0.01</v>
      </c>
      <c r="H1769" s="4" t="s">
        <v>31</v>
      </c>
      <c r="I1769" s="6">
        <v>-1596.7457999999999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0.55000000000000004</v>
      </c>
      <c r="U1769" s="5">
        <f t="shared" ref="U1769:U1770" si="738">C1769+2</f>
        <v>39857</v>
      </c>
    </row>
    <row r="1770" spans="1:21" ht="12" customHeight="1">
      <c r="A1770" s="4">
        <v>2604</v>
      </c>
      <c r="B1770" s="4">
        <v>18819</v>
      </c>
      <c r="C1770" s="5">
        <f>DATE(2012,12,31)-1405</f>
        <v>39869</v>
      </c>
      <c r="D1770" s="4" t="s">
        <v>21</v>
      </c>
      <c r="E1770" s="4">
        <v>22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0.55000000000000004</v>
      </c>
      <c r="U1770" s="5">
        <f t="shared" si="738"/>
        <v>39871</v>
      </c>
    </row>
    <row r="1771" spans="1:21" ht="12" customHeight="1">
      <c r="A1771" s="4">
        <v>2612</v>
      </c>
      <c r="B1771" s="4">
        <v>18855</v>
      </c>
      <c r="C1771" s="5">
        <f>DATE(2012,12,31)-1203</f>
        <v>40071</v>
      </c>
      <c r="D1771" s="4" t="s">
        <v>30</v>
      </c>
      <c r="E1771" s="4">
        <v>31</v>
      </c>
      <c r="F1771" s="4">
        <v>229.43</v>
      </c>
      <c r="G1771" s="4">
        <v>0.03</v>
      </c>
      <c r="H1771" s="4" t="s">
        <v>22</v>
      </c>
      <c r="I1771" s="6">
        <v>-127.05200000000001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spans="1:21" ht="12" customHeight="1">
      <c r="A1772" s="4">
        <v>2631</v>
      </c>
      <c r="B1772" s="4">
        <v>19047</v>
      </c>
      <c r="C1772" s="5">
        <f t="shared" ref="C1772:C1773" si="739">DATE(2012,12,31)-1433</f>
        <v>39841</v>
      </c>
      <c r="D1772" s="4" t="s">
        <v>30</v>
      </c>
      <c r="E1772" s="4">
        <v>1</v>
      </c>
      <c r="F1772" s="4">
        <v>67.489999999999995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spans="1:21" ht="12" customHeight="1">
      <c r="A1773" s="4">
        <v>2632</v>
      </c>
      <c r="B1773" s="4">
        <v>19047</v>
      </c>
      <c r="C1773" s="5">
        <f t="shared" si="739"/>
        <v>39841</v>
      </c>
      <c r="D1773" s="4" t="s">
        <v>30</v>
      </c>
      <c r="E1773" s="4">
        <v>3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0">C1773+2</f>
        <v>39843</v>
      </c>
    </row>
    <row r="1774" spans="1:21" ht="12" customHeight="1">
      <c r="A1774" s="4">
        <v>2668</v>
      </c>
      <c r="B1774" s="4">
        <v>19299</v>
      </c>
      <c r="C1774" s="5">
        <f>DATE(2012,12,31)-1384</f>
        <v>39890</v>
      </c>
      <c r="D1774" s="4" t="s">
        <v>45</v>
      </c>
      <c r="E1774" s="4">
        <v>10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0"/>
        <v>39892</v>
      </c>
    </row>
    <row r="1775" spans="1:21" ht="12" customHeight="1">
      <c r="A1775" s="4">
        <v>2685</v>
      </c>
      <c r="B1775" s="4">
        <v>19429</v>
      </c>
      <c r="C1775" s="5">
        <f>DATE(2012,12,31)-1225</f>
        <v>40049</v>
      </c>
      <c r="D1775" s="4" t="s">
        <v>45</v>
      </c>
      <c r="E1775" s="4">
        <v>2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spans="1:21" ht="12" customHeight="1">
      <c r="A1776" s="4">
        <v>2851</v>
      </c>
      <c r="B1776" s="4">
        <v>20519</v>
      </c>
      <c r="C1776" s="5">
        <f>DATE(2012,12,31)-1361</f>
        <v>39913</v>
      </c>
      <c r="D1776" s="4" t="s">
        <v>30</v>
      </c>
      <c r="E1776" s="4">
        <v>7</v>
      </c>
      <c r="F1776" s="4">
        <v>124.19</v>
      </c>
      <c r="G1776" s="4">
        <v>0.03</v>
      </c>
      <c r="H1776" s="4" t="s">
        <v>22</v>
      </c>
      <c r="I1776" s="6">
        <v>-53.296199999999999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spans="1:21" ht="12" customHeight="1">
      <c r="A1777" s="4">
        <v>2869</v>
      </c>
      <c r="B1777" s="4">
        <v>20706</v>
      </c>
      <c r="C1777" s="5">
        <f>DATE(2012,12,31)-1268</f>
        <v>40006</v>
      </c>
      <c r="D1777" s="4" t="s">
        <v>30</v>
      </c>
      <c r="E1777" s="4">
        <v>41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136.97999999999999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spans="1:21" ht="12" customHeight="1">
      <c r="A1778" s="4">
        <v>2937</v>
      </c>
      <c r="B1778" s="4">
        <v>21286</v>
      </c>
      <c r="C1778" s="5">
        <f>DATE(2012,12,31)-1325</f>
        <v>39949</v>
      </c>
      <c r="D1778" s="4" t="s">
        <v>78</v>
      </c>
      <c r="E1778" s="4">
        <v>17</v>
      </c>
      <c r="F1778" s="4">
        <v>280.39</v>
      </c>
      <c r="G1778" s="4">
        <v>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spans="1:21" ht="12" customHeight="1">
      <c r="A1779" s="4">
        <v>3077</v>
      </c>
      <c r="B1779" s="4">
        <v>22083</v>
      </c>
      <c r="C1779" s="5">
        <f>DATE(2012,12,31)-1413</f>
        <v>39861</v>
      </c>
      <c r="D1779" s="4" t="s">
        <v>78</v>
      </c>
      <c r="E1779" s="4">
        <v>2</v>
      </c>
      <c r="F1779" s="4">
        <v>16.809999999999999</v>
      </c>
      <c r="G1779" s="4">
        <v>0.05</v>
      </c>
      <c r="H1779" s="4" t="s">
        <v>56</v>
      </c>
      <c r="I1779" s="6">
        <v>-4.1399999999999997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spans="1:21" ht="12" customHeight="1">
      <c r="A1780" s="4">
        <v>3117</v>
      </c>
      <c r="B1780" s="4">
        <v>22402</v>
      </c>
      <c r="C1780" s="5">
        <f t="shared" ref="C1780:C1781" si="741">DATE(2012,12,31)-1314</f>
        <v>39960</v>
      </c>
      <c r="D1780" s="4" t="s">
        <v>78</v>
      </c>
      <c r="E1780" s="4">
        <v>33</v>
      </c>
      <c r="F1780" s="4">
        <v>1194.3399999999999</v>
      </c>
      <c r="G1780" s="4">
        <v>0.04</v>
      </c>
      <c r="H1780" s="4" t="s">
        <v>22</v>
      </c>
      <c r="I1780" s="6">
        <v>497.11400000000003</v>
      </c>
      <c r="J1780" s="4">
        <v>37.700000000000003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2">C1780+1</f>
        <v>39961</v>
      </c>
    </row>
    <row r="1781" spans="1:21" ht="12" customHeight="1">
      <c r="A1781" s="4">
        <v>3118</v>
      </c>
      <c r="B1781" s="4">
        <v>22402</v>
      </c>
      <c r="C1781" s="5">
        <f t="shared" si="741"/>
        <v>39960</v>
      </c>
      <c r="D1781" s="4" t="s">
        <v>78</v>
      </c>
      <c r="E1781" s="4">
        <v>1</v>
      </c>
      <c r="F1781" s="4">
        <v>51.832999999999998</v>
      </c>
      <c r="G1781" s="4">
        <v>0.01</v>
      </c>
      <c r="H1781" s="4" t="s">
        <v>22</v>
      </c>
      <c r="I1781" s="6">
        <v>-235.89500000000001</v>
      </c>
      <c r="J1781" s="4">
        <v>55.99</v>
      </c>
      <c r="K1781" s="4">
        <v>5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2"/>
        <v>39961</v>
      </c>
    </row>
    <row r="1782" spans="1:21" ht="12" customHeight="1">
      <c r="A1782" s="4">
        <v>3212</v>
      </c>
      <c r="B1782" s="4">
        <v>23042</v>
      </c>
      <c r="C1782" s="5">
        <f>DATE(2012,12,31)-1345</f>
        <v>39929</v>
      </c>
      <c r="D1782" s="4" t="s">
        <v>63</v>
      </c>
      <c r="E1782" s="4">
        <v>20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19.989999999999998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0.57999999999999996</v>
      </c>
      <c r="U1782" s="5">
        <f t="shared" si="742"/>
        <v>39930</v>
      </c>
    </row>
    <row r="1783" spans="1:21" ht="12" customHeight="1">
      <c r="A1783" s="4">
        <v>3283</v>
      </c>
      <c r="B1783" s="4">
        <v>23488</v>
      </c>
      <c r="C1783" s="5">
        <f>DATE(2012,12,31)-1455</f>
        <v>39819</v>
      </c>
      <c r="D1783" s="4" t="s">
        <v>30</v>
      </c>
      <c r="E1783" s="4">
        <v>29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0.56000000000000005</v>
      </c>
      <c r="U1783" s="5">
        <f>C1783+2</f>
        <v>39821</v>
      </c>
    </row>
    <row r="1784" spans="1:21" ht="12" customHeight="1">
      <c r="A1784" s="4">
        <v>3313</v>
      </c>
      <c r="B1784" s="4">
        <v>23652</v>
      </c>
      <c r="C1784" s="5">
        <f>DATE(2012,12,31)-1219</f>
        <v>40055</v>
      </c>
      <c r="D1784" s="4" t="s">
        <v>45</v>
      </c>
      <c r="E1784" s="4">
        <v>27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0.55000000000000004</v>
      </c>
      <c r="U1784" s="5">
        <f>C1784+0</f>
        <v>40055</v>
      </c>
    </row>
    <row r="1785" spans="1:21" ht="12" customHeight="1">
      <c r="A1785" s="4">
        <v>3325</v>
      </c>
      <c r="B1785" s="4">
        <v>23778</v>
      </c>
      <c r="C1785" s="5">
        <f>DATE(2012,12,31)-1267</f>
        <v>40007</v>
      </c>
      <c r="D1785" s="4" t="s">
        <v>21</v>
      </c>
      <c r="E1785" s="4">
        <v>13</v>
      </c>
      <c r="F1785" s="4">
        <v>105.94</v>
      </c>
      <c r="G1785" s="4">
        <v>0.06</v>
      </c>
      <c r="H1785" s="4" t="s">
        <v>22</v>
      </c>
      <c r="I1785" s="6">
        <v>-566</v>
      </c>
      <c r="J1785" s="4">
        <v>4.4800000000000004</v>
      </c>
      <c r="K1785" s="4">
        <v>49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spans="1:21" ht="12" customHeight="1">
      <c r="A1786" s="4">
        <v>3329</v>
      </c>
      <c r="B1786" s="4">
        <v>23808</v>
      </c>
      <c r="C1786" s="5">
        <f t="shared" ref="C1786:C1787" si="743">DATE(2012,12,31)-1423</f>
        <v>39851</v>
      </c>
      <c r="D1786" s="4" t="s">
        <v>21</v>
      </c>
      <c r="E1786" s="4">
        <v>30</v>
      </c>
      <c r="F1786" s="4">
        <v>630.14</v>
      </c>
      <c r="G1786" s="4">
        <v>0.04</v>
      </c>
      <c r="H1786" s="4" t="s">
        <v>22</v>
      </c>
      <c r="I1786" s="6">
        <v>108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spans="1:21" ht="12" customHeight="1">
      <c r="A1787" s="4">
        <v>3330</v>
      </c>
      <c r="B1787" s="4">
        <v>23808</v>
      </c>
      <c r="C1787" s="5">
        <f t="shared" si="743"/>
        <v>39851</v>
      </c>
      <c r="D1787" s="4" t="s">
        <v>21</v>
      </c>
      <c r="E1787" s="4">
        <v>28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0.57999999999999996</v>
      </c>
      <c r="U1787" s="5">
        <f>C1787+2</f>
        <v>39853</v>
      </c>
    </row>
    <row r="1788" spans="1:21" ht="12" customHeight="1">
      <c r="A1788" s="4">
        <v>3338</v>
      </c>
      <c r="B1788" s="4">
        <v>23877</v>
      </c>
      <c r="C1788" s="5">
        <f t="shared" ref="C1788:C1789" si="744">DATE(2012,12,31)-1268</f>
        <v>40006</v>
      </c>
      <c r="D1788" s="4" t="s">
        <v>45</v>
      </c>
      <c r="E1788" s="4">
        <v>31</v>
      </c>
      <c r="F1788" s="4">
        <v>1624.5964999999999</v>
      </c>
      <c r="G1788" s="4">
        <v>7.0000000000000007E-2</v>
      </c>
      <c r="H1788" s="4" t="s">
        <v>22</v>
      </c>
      <c r="I1788" s="6">
        <v>109.83600000000001</v>
      </c>
      <c r="J1788" s="4">
        <v>65.989999999999995</v>
      </c>
      <c r="K1788" s="4">
        <v>8.8000000000000007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0.57999999999999996</v>
      </c>
      <c r="U1788" s="5">
        <f>C1788+0</f>
        <v>40006</v>
      </c>
    </row>
    <row r="1789" spans="1:21" ht="12" customHeight="1">
      <c r="A1789" s="4">
        <v>3339</v>
      </c>
      <c r="B1789" s="4">
        <v>23877</v>
      </c>
      <c r="C1789" s="5">
        <f t="shared" si="744"/>
        <v>40006</v>
      </c>
      <c r="D1789" s="4" t="s">
        <v>45</v>
      </c>
      <c r="E1789" s="4">
        <v>35</v>
      </c>
      <c r="F1789" s="4">
        <v>381.36</v>
      </c>
      <c r="G1789" s="4">
        <v>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spans="1:21" ht="12" customHeight="1">
      <c r="A1790" s="4">
        <v>3353</v>
      </c>
      <c r="B1790" s="4">
        <v>24003</v>
      </c>
      <c r="C1790" s="5">
        <f>DATE(2012,12,31)-1157</f>
        <v>40117</v>
      </c>
      <c r="D1790" s="4" t="s">
        <v>78</v>
      </c>
      <c r="E1790" s="4">
        <v>9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spans="1:21" ht="12" customHeight="1">
      <c r="A1791" s="4">
        <v>3511</v>
      </c>
      <c r="B1791" s="4">
        <v>25027</v>
      </c>
      <c r="C1791" s="5">
        <f>DATE(2012,12,31)-1111</f>
        <v>40163</v>
      </c>
      <c r="D1791" s="4" t="s">
        <v>63</v>
      </c>
      <c r="E1791" s="4">
        <v>25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5">C1791+2</f>
        <v>40165</v>
      </c>
    </row>
    <row r="1792" spans="1:21" ht="12" customHeight="1">
      <c r="A1792" s="4">
        <v>3567</v>
      </c>
      <c r="B1792" s="4">
        <v>25445</v>
      </c>
      <c r="C1792" s="5">
        <f>DATE(2012,12,31)-1316</f>
        <v>39958</v>
      </c>
      <c r="D1792" s="4" t="s">
        <v>21</v>
      </c>
      <c r="E1792" s="4">
        <v>48</v>
      </c>
      <c r="F1792" s="4">
        <v>1444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5"/>
        <v>39960</v>
      </c>
    </row>
    <row r="1793" spans="1:21" ht="12" customHeight="1">
      <c r="A1793" s="4">
        <v>3734</v>
      </c>
      <c r="B1793" s="4">
        <v>26689</v>
      </c>
      <c r="C1793" s="5">
        <f>DATE(2012,12,31)-1189</f>
        <v>40085</v>
      </c>
      <c r="D1793" s="4" t="s">
        <v>30</v>
      </c>
      <c r="E1793" s="4">
        <v>2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spans="1:21" ht="12" customHeight="1">
      <c r="A1794" s="4">
        <v>3970</v>
      </c>
      <c r="B1794" s="4">
        <v>28354</v>
      </c>
      <c r="C1794" s="5">
        <f>DATE(2012,12,31)-1375</f>
        <v>39899</v>
      </c>
      <c r="D1794" s="4" t="s">
        <v>21</v>
      </c>
      <c r="E1794" s="4">
        <v>34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spans="1:21" ht="12" customHeight="1">
      <c r="A1795" s="4">
        <v>4064</v>
      </c>
      <c r="B1795" s="4">
        <v>28933</v>
      </c>
      <c r="C1795" s="5">
        <f t="shared" ref="C1795:C1796" si="746">DATE(2012,12,31)-1271</f>
        <v>40003</v>
      </c>
      <c r="D1795" s="4" t="s">
        <v>78</v>
      </c>
      <c r="E1795" s="4">
        <v>1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7">C1795+1</f>
        <v>40004</v>
      </c>
    </row>
    <row r="1796" spans="1:21" ht="12" customHeight="1">
      <c r="A1796" s="4">
        <v>4065</v>
      </c>
      <c r="B1796" s="4">
        <v>28933</v>
      </c>
      <c r="C1796" s="5">
        <f t="shared" si="746"/>
        <v>40003</v>
      </c>
      <c r="D1796" s="4" t="s">
        <v>78</v>
      </c>
      <c r="E1796" s="4">
        <v>38</v>
      </c>
      <c r="F1796" s="4">
        <v>156.19999999999999</v>
      </c>
      <c r="G1796" s="4">
        <v>0.03</v>
      </c>
      <c r="H1796" s="4" t="s">
        <v>22</v>
      </c>
      <c r="I1796" s="6">
        <v>43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7"/>
        <v>40004</v>
      </c>
    </row>
    <row r="1797" spans="1:21" ht="12" customHeight="1">
      <c r="A1797" s="4">
        <v>4116</v>
      </c>
      <c r="B1797" s="4">
        <v>29284</v>
      </c>
      <c r="C1797" s="5">
        <f>DATE(2012,12,31)-1361</f>
        <v>39913</v>
      </c>
      <c r="D1797" s="4" t="s">
        <v>63</v>
      </c>
      <c r="E1797" s="4">
        <v>20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8">C1797+2</f>
        <v>39915</v>
      </c>
    </row>
    <row r="1798" spans="1:21" ht="12" customHeight="1">
      <c r="A1798" s="4">
        <v>4318</v>
      </c>
      <c r="B1798" s="4">
        <v>30759</v>
      </c>
      <c r="C1798" s="5">
        <f>DATE(2012,12,31)-1333</f>
        <v>39941</v>
      </c>
      <c r="D1798" s="4" t="s">
        <v>45</v>
      </c>
      <c r="E1798" s="4">
        <v>2</v>
      </c>
      <c r="F1798" s="4">
        <v>64.790000000000006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8"/>
        <v>39943</v>
      </c>
    </row>
    <row r="1799" spans="1:21" ht="12" customHeight="1">
      <c r="A1799" s="4">
        <v>4438</v>
      </c>
      <c r="B1799" s="4">
        <v>31619</v>
      </c>
      <c r="C1799" s="5">
        <f t="shared" ref="C1799:C1800" si="749">DATE(2012,12,31)-1201</f>
        <v>40073</v>
      </c>
      <c r="D1799" s="4" t="s">
        <v>21</v>
      </c>
      <c r="E1799" s="4">
        <v>11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0.57999999999999996</v>
      </c>
      <c r="U1799" s="5">
        <f>C1799+7</f>
        <v>40080</v>
      </c>
    </row>
    <row r="1800" spans="1:21" ht="12" customHeight="1">
      <c r="A1800" s="4">
        <v>4439</v>
      </c>
      <c r="B1800" s="4">
        <v>31619</v>
      </c>
      <c r="C1800" s="5">
        <f t="shared" si="749"/>
        <v>40073</v>
      </c>
      <c r="D1800" s="4" t="s">
        <v>21</v>
      </c>
      <c r="E1800" s="4">
        <v>9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39.979999999999997</v>
      </c>
      <c r="K1800" s="4">
        <v>9.1999999999999993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spans="1:21" ht="12" customHeight="1">
      <c r="A1801" s="4">
        <v>4450</v>
      </c>
      <c r="B1801" s="4">
        <v>31715</v>
      </c>
      <c r="C1801" s="5">
        <f t="shared" ref="C1801:C1802" si="750">DATE(2012,12,31)-1452</f>
        <v>39822</v>
      </c>
      <c r="D1801" s="4" t="s">
        <v>45</v>
      </c>
      <c r="E1801" s="4">
        <v>11</v>
      </c>
      <c r="F1801" s="4">
        <v>68.5</v>
      </c>
      <c r="G1801" s="4">
        <v>0.01</v>
      </c>
      <c r="H1801" s="4" t="s">
        <v>22</v>
      </c>
      <c r="I1801" s="6">
        <v>-53.854500000000002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spans="1:21" ht="12" customHeight="1">
      <c r="A1802" s="4">
        <v>4451</v>
      </c>
      <c r="B1802" s="4">
        <v>31715</v>
      </c>
      <c r="C1802" s="5">
        <f t="shared" si="750"/>
        <v>39822</v>
      </c>
      <c r="D1802" s="4" t="s">
        <v>45</v>
      </c>
      <c r="E1802" s="4">
        <v>44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0.56000000000000005</v>
      </c>
      <c r="U1802" s="5">
        <f t="shared" ref="U1802:U1803" si="751">C1802+0</f>
        <v>39822</v>
      </c>
    </row>
    <row r="1803" spans="1:21" ht="12" customHeight="1">
      <c r="A1803" s="4">
        <v>4536</v>
      </c>
      <c r="B1803" s="4">
        <v>32291</v>
      </c>
      <c r="C1803" s="5">
        <f t="shared" ref="C1803:C1804" si="752">DATE(2012,12,31)-1152</f>
        <v>40122</v>
      </c>
      <c r="D1803" s="4" t="s">
        <v>63</v>
      </c>
      <c r="E1803" s="4">
        <v>13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1"/>
        <v>40122</v>
      </c>
    </row>
    <row r="1804" spans="1:21" ht="12" customHeight="1">
      <c r="A1804" s="4">
        <v>4537</v>
      </c>
      <c r="B1804" s="4">
        <v>32291</v>
      </c>
      <c r="C1804" s="5">
        <f t="shared" si="752"/>
        <v>40122</v>
      </c>
      <c r="D1804" s="4" t="s">
        <v>63</v>
      </c>
      <c r="E1804" s="4">
        <v>4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spans="1:21" ht="12" customHeight="1">
      <c r="A1805" s="4">
        <v>4648</v>
      </c>
      <c r="B1805" s="4">
        <v>33095</v>
      </c>
      <c r="C1805" s="5">
        <f t="shared" ref="C1805:C1806" si="753">DATE(2012,12,31)-1415</f>
        <v>39859</v>
      </c>
      <c r="D1805" s="4" t="s">
        <v>45</v>
      </c>
      <c r="E1805" s="4">
        <v>30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spans="1:21" ht="12" customHeight="1">
      <c r="A1806" s="4">
        <v>4649</v>
      </c>
      <c r="B1806" s="4">
        <v>33095</v>
      </c>
      <c r="C1806" s="5">
        <f t="shared" si="753"/>
        <v>39859</v>
      </c>
      <c r="D1806" s="4" t="s">
        <v>45</v>
      </c>
      <c r="E1806" s="4">
        <v>34</v>
      </c>
      <c r="F1806" s="4">
        <v>2548.3000000000002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19.989999999999998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spans="1:21" ht="12" customHeight="1">
      <c r="A1807" s="4">
        <v>4681</v>
      </c>
      <c r="B1807" s="4">
        <v>33317</v>
      </c>
      <c r="C1807" s="5">
        <f t="shared" ref="C1807:C1810" si="754">DATE(2012,12,31)-1330</f>
        <v>39944</v>
      </c>
      <c r="D1807" s="4" t="s">
        <v>30</v>
      </c>
      <c r="E1807" s="4">
        <v>35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4.4800000000000004</v>
      </c>
      <c r="K1807" s="4">
        <v>49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spans="1:21" ht="12" customHeight="1">
      <c r="A1808" s="4">
        <v>4682</v>
      </c>
      <c r="B1808" s="4">
        <v>33317</v>
      </c>
      <c r="C1808" s="5">
        <f t="shared" si="754"/>
        <v>39944</v>
      </c>
      <c r="D1808" s="4" t="s">
        <v>30</v>
      </c>
      <c r="E1808" s="4">
        <v>18</v>
      </c>
      <c r="F1808" s="4">
        <v>44.52</v>
      </c>
      <c r="G1808" s="4">
        <v>0.03</v>
      </c>
      <c r="H1808" s="4" t="s">
        <v>22</v>
      </c>
      <c r="I1808" s="6">
        <v>-90.585499999999996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spans="1:21" ht="12" customHeight="1">
      <c r="A1809" s="4">
        <v>4683</v>
      </c>
      <c r="B1809" s="4">
        <v>33317</v>
      </c>
      <c r="C1809" s="5">
        <f t="shared" si="754"/>
        <v>39944</v>
      </c>
      <c r="D1809" s="4" t="s">
        <v>30</v>
      </c>
      <c r="E1809" s="4">
        <v>5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9.7100000000000009</v>
      </c>
      <c r="K1809" s="4">
        <v>9.4499999999999993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spans="1:21" ht="12" customHeight="1">
      <c r="A1810" s="4">
        <v>4684</v>
      </c>
      <c r="B1810" s="4">
        <v>33317</v>
      </c>
      <c r="C1810" s="5">
        <f t="shared" si="754"/>
        <v>39944</v>
      </c>
      <c r="D1810" s="4" t="s">
        <v>30</v>
      </c>
      <c r="E1810" s="4">
        <v>13</v>
      </c>
      <c r="F1810" s="4">
        <v>602.42049999999995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0.55000000000000004</v>
      </c>
      <c r="U1810" s="5">
        <f t="shared" ref="U1810:U1811" si="755">C1810+2</f>
        <v>39946</v>
      </c>
    </row>
    <row r="1811" spans="1:21" ht="12" customHeight="1">
      <c r="A1811" s="4">
        <v>4731</v>
      </c>
      <c r="B1811" s="4">
        <v>33696</v>
      </c>
      <c r="C1811" s="5">
        <f>DATE(2012,12,31)-1334</f>
        <v>39940</v>
      </c>
      <c r="D1811" s="4" t="s">
        <v>30</v>
      </c>
      <c r="E1811" s="4">
        <v>2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5"/>
        <v>39942</v>
      </c>
    </row>
    <row r="1812" spans="1:21" ht="12" customHeight="1">
      <c r="A1812" s="4">
        <v>4778</v>
      </c>
      <c r="B1812" s="4">
        <v>33923</v>
      </c>
      <c r="C1812" s="5">
        <f>DATE(2012,12,31)-1454</f>
        <v>39820</v>
      </c>
      <c r="D1812" s="4" t="s">
        <v>21</v>
      </c>
      <c r="E1812" s="4">
        <v>34</v>
      </c>
      <c r="F1812" s="4">
        <v>1961.7914999999998</v>
      </c>
      <c r="G1812" s="4">
        <v>0.05</v>
      </c>
      <c r="H1812" s="4" t="s">
        <v>22</v>
      </c>
      <c r="I1812" s="6">
        <v>425.75400000000002</v>
      </c>
      <c r="J1812" s="4">
        <v>65.989999999999995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0.57999999999999996</v>
      </c>
      <c r="U1812" s="5">
        <f>C1812+4</f>
        <v>39824</v>
      </c>
    </row>
    <row r="1813" spans="1:21" ht="12" customHeight="1">
      <c r="A1813" s="4">
        <v>4968</v>
      </c>
      <c r="B1813" s="4">
        <v>35361</v>
      </c>
      <c r="C1813" s="5">
        <f t="shared" ref="C1813:C1814" si="756">DATE(2012,12,31)-1365</f>
        <v>39909</v>
      </c>
      <c r="D1813" s="4" t="s">
        <v>63</v>
      </c>
      <c r="E1813" s="4">
        <v>40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9.0299999999999994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7">C1813+1</f>
        <v>39910</v>
      </c>
    </row>
    <row r="1814" spans="1:21" ht="12" customHeight="1">
      <c r="A1814" s="4">
        <v>4969</v>
      </c>
      <c r="B1814" s="4">
        <v>35361</v>
      </c>
      <c r="C1814" s="5">
        <f t="shared" si="756"/>
        <v>39909</v>
      </c>
      <c r="D1814" s="4" t="s">
        <v>63</v>
      </c>
      <c r="E1814" s="4">
        <v>37</v>
      </c>
      <c r="F1814" s="4">
        <v>313.39999999999998</v>
      </c>
      <c r="G1814" s="4">
        <v>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7"/>
        <v>39910</v>
      </c>
    </row>
    <row r="1815" spans="1:21" ht="12" customHeight="1">
      <c r="A1815" s="4">
        <v>5053</v>
      </c>
      <c r="B1815" s="4">
        <v>36033</v>
      </c>
      <c r="C1815" s="5">
        <f>DATE(2012,12,31)-1108</f>
        <v>40166</v>
      </c>
      <c r="D1815" s="4" t="s">
        <v>45</v>
      </c>
      <c r="E1815" s="4">
        <v>15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4.9800000000000004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spans="1:21" ht="12" customHeight="1">
      <c r="A1816" s="4">
        <v>5057</v>
      </c>
      <c r="B1816" s="4">
        <v>36067</v>
      </c>
      <c r="C1816" s="5">
        <f>DATE(2012,12,31)-1276</f>
        <v>39998</v>
      </c>
      <c r="D1816" s="4" t="s">
        <v>30</v>
      </c>
      <c r="E1816" s="4">
        <v>37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19.989999999999998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spans="1:21" ht="12" customHeight="1">
      <c r="A1817" s="4">
        <v>5071</v>
      </c>
      <c r="B1817" s="4">
        <v>36131</v>
      </c>
      <c r="C1817" s="5">
        <f>DATE(2012,12,31)-1324</f>
        <v>39950</v>
      </c>
      <c r="D1817" s="4" t="s">
        <v>30</v>
      </c>
      <c r="E1817" s="4">
        <v>26</v>
      </c>
      <c r="F1817" s="4">
        <v>493.43</v>
      </c>
      <c r="G1817" s="4">
        <v>7.0000000000000007E-2</v>
      </c>
      <c r="H1817" s="4" t="s">
        <v>22</v>
      </c>
      <c r="I1817" s="6">
        <v>120.18</v>
      </c>
      <c r="J1817" s="4">
        <v>19.84</v>
      </c>
      <c r="K1817" s="4">
        <v>4.0999999999999996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8">C1817+1</f>
        <v>39951</v>
      </c>
    </row>
    <row r="1818" spans="1:21" ht="12" customHeight="1">
      <c r="A1818" s="4">
        <v>5140</v>
      </c>
      <c r="B1818" s="4">
        <v>36647</v>
      </c>
      <c r="C1818" s="5">
        <f t="shared" ref="C1818:C1820" si="759">DATE(2012,12,31)-1280</f>
        <v>39994</v>
      </c>
      <c r="D1818" s="4" t="s">
        <v>30</v>
      </c>
      <c r="E1818" s="4">
        <v>21</v>
      </c>
      <c r="F1818" s="4">
        <v>179.98</v>
      </c>
      <c r="G1818" s="4">
        <v>0.01</v>
      </c>
      <c r="H1818" s="4" t="s">
        <v>22</v>
      </c>
      <c r="I1818" s="6">
        <v>38.700000000000003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8"/>
        <v>39995</v>
      </c>
    </row>
    <row r="1819" spans="1:21" ht="12" customHeight="1">
      <c r="A1819" s="4">
        <v>5141</v>
      </c>
      <c r="B1819" s="4">
        <v>36647</v>
      </c>
      <c r="C1819" s="5">
        <f t="shared" si="759"/>
        <v>39994</v>
      </c>
      <c r="D1819" s="4" t="s">
        <v>30</v>
      </c>
      <c r="E1819" s="4">
        <v>16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8"/>
        <v>39995</v>
      </c>
    </row>
    <row r="1820" spans="1:21" ht="12" customHeight="1">
      <c r="A1820" s="4">
        <v>5142</v>
      </c>
      <c r="B1820" s="4">
        <v>36647</v>
      </c>
      <c r="C1820" s="5">
        <f t="shared" si="759"/>
        <v>39994</v>
      </c>
      <c r="D1820" s="4" t="s">
        <v>30</v>
      </c>
      <c r="E1820" s="4">
        <v>18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9.7100000000000009</v>
      </c>
      <c r="K1820" s="4">
        <v>9.4499999999999993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spans="1:21" ht="12" customHeight="1">
      <c r="A1821" s="4">
        <v>5188</v>
      </c>
      <c r="B1821" s="4">
        <v>36867</v>
      </c>
      <c r="C1821" s="5">
        <f t="shared" ref="C1821:C1822" si="760">DATE(2012,12,31)-1213</f>
        <v>40061</v>
      </c>
      <c r="D1821" s="4" t="s">
        <v>30</v>
      </c>
      <c r="E1821" s="4">
        <v>21</v>
      </c>
      <c r="F1821" s="4">
        <v>5482.18</v>
      </c>
      <c r="G1821" s="4">
        <v>0.06</v>
      </c>
      <c r="H1821" s="4" t="s">
        <v>56</v>
      </c>
      <c r="I1821" s="6">
        <v>1167.3800000000001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1">C1821+2</f>
        <v>40063</v>
      </c>
    </row>
    <row r="1822" spans="1:21" ht="12" customHeight="1">
      <c r="A1822" s="4">
        <v>5189</v>
      </c>
      <c r="B1822" s="4">
        <v>36867</v>
      </c>
      <c r="C1822" s="5">
        <f t="shared" si="760"/>
        <v>40061</v>
      </c>
      <c r="D1822" s="4" t="s">
        <v>30</v>
      </c>
      <c r="E1822" s="4">
        <v>16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0.56000000000000005</v>
      </c>
      <c r="U1822" s="5">
        <f t="shared" si="761"/>
        <v>40063</v>
      </c>
    </row>
    <row r="1823" spans="1:21" ht="12" customHeight="1">
      <c r="A1823" s="4">
        <v>5266</v>
      </c>
      <c r="B1823" s="4">
        <v>37473</v>
      </c>
      <c r="C1823" s="5">
        <f>DATE(2012,12,31)-1187</f>
        <v>40087</v>
      </c>
      <c r="D1823" s="4" t="s">
        <v>21</v>
      </c>
      <c r="E1823" s="4">
        <v>42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2.1800000000000002</v>
      </c>
      <c r="K1823" s="4">
        <v>5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spans="1:21" ht="12" customHeight="1">
      <c r="A1824" s="4">
        <v>5272</v>
      </c>
      <c r="B1824" s="4">
        <v>37537</v>
      </c>
      <c r="C1824" s="5">
        <f t="shared" ref="C1824:C1826" si="762">DATE(2012,12,31)-1459</f>
        <v>39815</v>
      </c>
      <c r="D1824" s="4" t="s">
        <v>21</v>
      </c>
      <c r="E1824" s="4">
        <v>4</v>
      </c>
      <c r="F1824" s="4">
        <v>1239.06</v>
      </c>
      <c r="G1824" s="4">
        <v>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0.56000000000000005</v>
      </c>
      <c r="U1824" s="5">
        <f>C1824+0</f>
        <v>39815</v>
      </c>
    </row>
    <row r="1825" spans="1:21" ht="12" customHeight="1">
      <c r="A1825" s="4">
        <v>5273</v>
      </c>
      <c r="B1825" s="4">
        <v>37537</v>
      </c>
      <c r="C1825" s="5">
        <f t="shared" si="762"/>
        <v>39815</v>
      </c>
      <c r="D1825" s="4" t="s">
        <v>21</v>
      </c>
      <c r="E1825" s="4">
        <v>43</v>
      </c>
      <c r="F1825" s="4">
        <v>4083.19</v>
      </c>
      <c r="G1825" s="4">
        <v>7.0000000000000007E-2</v>
      </c>
      <c r="H1825" s="4" t="s">
        <v>31</v>
      </c>
      <c r="I1825" s="6">
        <v>-1049.8499999999999</v>
      </c>
      <c r="J1825" s="4">
        <v>100.98</v>
      </c>
      <c r="K1825" s="4">
        <v>45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spans="1:21" ht="12" customHeight="1">
      <c r="A1826" s="4">
        <v>5274</v>
      </c>
      <c r="B1826" s="4">
        <v>37537</v>
      </c>
      <c r="C1826" s="5">
        <f t="shared" si="762"/>
        <v>39815</v>
      </c>
      <c r="D1826" s="4" t="s">
        <v>21</v>
      </c>
      <c r="E1826" s="4">
        <v>32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spans="1:21" ht="12" customHeight="1">
      <c r="A1827" s="4">
        <v>5322</v>
      </c>
      <c r="B1827" s="4">
        <v>37830</v>
      </c>
      <c r="C1827" s="5">
        <f>DATE(2012,12,31)-1233</f>
        <v>40041</v>
      </c>
      <c r="D1827" s="4" t="s">
        <v>45</v>
      </c>
      <c r="E1827" s="4">
        <v>39</v>
      </c>
      <c r="F1827" s="4">
        <v>977.92</v>
      </c>
      <c r="G1827" s="4">
        <v>0.05</v>
      </c>
      <c r="H1827" s="4" t="s">
        <v>56</v>
      </c>
      <c r="I1827" s="6">
        <v>148.88999999999999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0.56000000000000005</v>
      </c>
      <c r="U1827" s="5">
        <f>C1827+2</f>
        <v>40043</v>
      </c>
    </row>
    <row r="1828" spans="1:21" ht="12" customHeight="1">
      <c r="A1828" s="4">
        <v>5431</v>
      </c>
      <c r="B1828" s="4">
        <v>38594</v>
      </c>
      <c r="C1828" s="5">
        <f>DATE(2012,12,31)-1126</f>
        <v>40148</v>
      </c>
      <c r="D1828" s="4" t="s">
        <v>63</v>
      </c>
      <c r="E1828" s="4">
        <v>26</v>
      </c>
      <c r="F1828" s="4">
        <v>1011.9</v>
      </c>
      <c r="G1828" s="4">
        <v>7.0000000000000007E-2</v>
      </c>
      <c r="H1828" s="4" t="s">
        <v>22</v>
      </c>
      <c r="I1828" s="6">
        <v>247.94</v>
      </c>
      <c r="J1828" s="4">
        <v>39.479999999999997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spans="1:21" ht="12" customHeight="1">
      <c r="A1829" s="4">
        <v>5479</v>
      </c>
      <c r="B1829" s="4">
        <v>38913</v>
      </c>
      <c r="C1829" s="5">
        <f>DATE(2012,12,31)-1212</f>
        <v>40062</v>
      </c>
      <c r="D1829" s="4" t="s">
        <v>45</v>
      </c>
      <c r="E1829" s="4">
        <v>7</v>
      </c>
      <c r="F1829" s="4">
        <v>230.29</v>
      </c>
      <c r="G1829" s="4">
        <v>0.03</v>
      </c>
      <c r="H1829" s="4" t="s">
        <v>22</v>
      </c>
      <c r="I1829" s="6">
        <v>-4.3009999999999939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spans="1:21" ht="12" customHeight="1">
      <c r="A1830" s="4">
        <v>5519</v>
      </c>
      <c r="B1830" s="4">
        <v>39136</v>
      </c>
      <c r="C1830" s="5">
        <f>DATE(2012,12,31)-1286</f>
        <v>39988</v>
      </c>
      <c r="D1830" s="4" t="s">
        <v>30</v>
      </c>
      <c r="E1830" s="4">
        <v>49</v>
      </c>
      <c r="F1830" s="4">
        <v>2693.5140000000001</v>
      </c>
      <c r="G1830" s="4">
        <v>0.02</v>
      </c>
      <c r="H1830" s="4" t="s">
        <v>22</v>
      </c>
      <c r="I1830" s="6">
        <v>662.04899999999998</v>
      </c>
      <c r="J1830" s="4">
        <v>65.989999999999995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spans="1:21" ht="12" customHeight="1">
      <c r="A1831" s="4">
        <v>5589</v>
      </c>
      <c r="B1831" s="4">
        <v>39649</v>
      </c>
      <c r="C1831" s="5">
        <f t="shared" ref="C1831:C1832" si="763">DATE(2012,12,31)-1169</f>
        <v>40105</v>
      </c>
      <c r="D1831" s="4" t="s">
        <v>30</v>
      </c>
      <c r="E1831" s="4">
        <v>10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0.57999999999999996</v>
      </c>
      <c r="U1831" s="5">
        <f>C1831+1</f>
        <v>40106</v>
      </c>
    </row>
    <row r="1832" spans="1:21" ht="12" customHeight="1">
      <c r="A1832" s="4">
        <v>5590</v>
      </c>
      <c r="B1832" s="4">
        <v>39649</v>
      </c>
      <c r="C1832" s="5">
        <f t="shared" si="763"/>
        <v>40105</v>
      </c>
      <c r="D1832" s="4" t="s">
        <v>30</v>
      </c>
      <c r="E1832" s="4">
        <v>9</v>
      </c>
      <c r="F1832" s="4">
        <v>63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spans="1:21" ht="12" customHeight="1">
      <c r="A1833" s="4">
        <v>5716</v>
      </c>
      <c r="B1833" s="4">
        <v>40485</v>
      </c>
      <c r="C1833" s="5">
        <f t="shared" ref="C1833:C1834" si="764">DATE(2012,12,31)-1100</f>
        <v>40174</v>
      </c>
      <c r="D1833" s="4" t="s">
        <v>45</v>
      </c>
      <c r="E1833" s="4">
        <v>36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spans="1:21" ht="12" customHeight="1">
      <c r="A1834" s="4">
        <v>5717</v>
      </c>
      <c r="B1834" s="4">
        <v>40485</v>
      </c>
      <c r="C1834" s="5">
        <f t="shared" si="764"/>
        <v>40174</v>
      </c>
      <c r="D1834" s="4" t="s">
        <v>45</v>
      </c>
      <c r="E1834" s="4">
        <v>7</v>
      </c>
      <c r="F1834" s="4">
        <v>388.71350000000001</v>
      </c>
      <c r="G1834" s="4">
        <v>0.01</v>
      </c>
      <c r="H1834" s="4" t="s">
        <v>22</v>
      </c>
      <c r="I1834" s="6">
        <v>-190.42100000000002</v>
      </c>
      <c r="J1834" s="4">
        <v>65.989999999999995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5">C1834+1</f>
        <v>40175</v>
      </c>
    </row>
    <row r="1835" spans="1:21" ht="12" customHeight="1">
      <c r="A1835" s="4">
        <v>5781</v>
      </c>
      <c r="B1835" s="4">
        <v>40998</v>
      </c>
      <c r="C1835" s="5">
        <f t="shared" ref="C1835:C1836" si="766">DATE(2012,12,31)-1339</f>
        <v>39935</v>
      </c>
      <c r="D1835" s="4" t="s">
        <v>63</v>
      </c>
      <c r="E1835" s="4">
        <v>43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5"/>
        <v>39936</v>
      </c>
    </row>
    <row r="1836" spans="1:21" ht="12" customHeight="1">
      <c r="A1836" s="4">
        <v>5782</v>
      </c>
      <c r="B1836" s="4">
        <v>40998</v>
      </c>
      <c r="C1836" s="5">
        <f t="shared" si="766"/>
        <v>39935</v>
      </c>
      <c r="D1836" s="4" t="s">
        <v>63</v>
      </c>
      <c r="E1836" s="4">
        <v>39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spans="1:21" ht="12" customHeight="1">
      <c r="A1837" s="4">
        <v>5793</v>
      </c>
      <c r="B1837" s="4">
        <v>41091</v>
      </c>
      <c r="C1837" s="5">
        <f>DATE(2012,12,31)-1317</f>
        <v>39957</v>
      </c>
      <c r="D1837" s="4" t="s">
        <v>63</v>
      </c>
      <c r="E1837" s="4">
        <v>32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18.059999999999999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0.56999999999999995</v>
      </c>
      <c r="U1837" s="5">
        <f t="shared" ref="U1837:U1838" si="767">C1837+1</f>
        <v>39958</v>
      </c>
    </row>
    <row r="1838" spans="1:21" ht="12" customHeight="1">
      <c r="A1838" s="4">
        <v>5841</v>
      </c>
      <c r="B1838" s="4">
        <v>41440</v>
      </c>
      <c r="C1838" s="5">
        <f t="shared" ref="C1838:C1839" si="768">DATE(2012,12,31)-1196</f>
        <v>40078</v>
      </c>
      <c r="D1838" s="4" t="s">
        <v>30</v>
      </c>
      <c r="E1838" s="4">
        <v>20</v>
      </c>
      <c r="F1838" s="4">
        <v>92.94</v>
      </c>
      <c r="G1838" s="4">
        <v>0.09</v>
      </c>
      <c r="H1838" s="4" t="s">
        <v>22</v>
      </c>
      <c r="I1838" s="6">
        <v>37.770000000000003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7"/>
        <v>40079</v>
      </c>
    </row>
    <row r="1839" spans="1:21" ht="12" customHeight="1">
      <c r="A1839" s="4">
        <v>5842</v>
      </c>
      <c r="B1839" s="4">
        <v>41440</v>
      </c>
      <c r="C1839" s="5">
        <f t="shared" si="768"/>
        <v>40078</v>
      </c>
      <c r="D1839" s="4" t="s">
        <v>30</v>
      </c>
      <c r="E1839" s="4">
        <v>19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spans="1:21" ht="12" customHeight="1">
      <c r="A1840" s="4">
        <v>5906</v>
      </c>
      <c r="B1840" s="4">
        <v>41888</v>
      </c>
      <c r="C1840" s="5">
        <f t="shared" ref="C1840:C1842" si="769">DATE(2012,12,31)-1402</f>
        <v>39872</v>
      </c>
      <c r="D1840" s="4" t="s">
        <v>21</v>
      </c>
      <c r="E1840" s="4">
        <v>18</v>
      </c>
      <c r="F1840" s="4">
        <v>1979.47</v>
      </c>
      <c r="G1840" s="4">
        <v>0.1</v>
      </c>
      <c r="H1840" s="4" t="s">
        <v>22</v>
      </c>
      <c r="I1840" s="6">
        <v>690.26800000000003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spans="1:21" ht="12" customHeight="1">
      <c r="A1841" s="4">
        <v>5907</v>
      </c>
      <c r="B1841" s="4">
        <v>41888</v>
      </c>
      <c r="C1841" s="5">
        <f t="shared" si="769"/>
        <v>39872</v>
      </c>
      <c r="D1841" s="4" t="s">
        <v>21</v>
      </c>
      <c r="E1841" s="4">
        <v>23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spans="1:21" ht="12" customHeight="1">
      <c r="A1842" s="4">
        <v>5908</v>
      </c>
      <c r="B1842" s="4">
        <v>41888</v>
      </c>
      <c r="C1842" s="5">
        <f t="shared" si="769"/>
        <v>39872</v>
      </c>
      <c r="D1842" s="4" t="s">
        <v>21</v>
      </c>
      <c r="E1842" s="4">
        <v>29</v>
      </c>
      <c r="F1842" s="4">
        <v>2823.0369999999998</v>
      </c>
      <c r="G1842" s="4">
        <v>0.1</v>
      </c>
      <c r="H1842" s="4" t="s">
        <v>22</v>
      </c>
      <c r="I1842" s="6">
        <v>372.40199999999999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spans="1:21" ht="12" customHeight="1">
      <c r="A1843" s="4">
        <v>5967</v>
      </c>
      <c r="B1843" s="4">
        <v>42338</v>
      </c>
      <c r="C1843" s="5">
        <f t="shared" ref="C1843:C1844" si="770">DATE(2012,12,31)-1155</f>
        <v>40119</v>
      </c>
      <c r="D1843" s="4" t="s">
        <v>45</v>
      </c>
      <c r="E1843" s="4">
        <v>14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4.1399999999999997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1">C1843+2</f>
        <v>40121</v>
      </c>
    </row>
    <row r="1844" spans="1:21" ht="12" customHeight="1">
      <c r="A1844" s="4">
        <v>5968</v>
      </c>
      <c r="B1844" s="4">
        <v>42338</v>
      </c>
      <c r="C1844" s="5">
        <f t="shared" si="770"/>
        <v>40119</v>
      </c>
      <c r="D1844" s="4" t="s">
        <v>45</v>
      </c>
      <c r="E1844" s="4">
        <v>32</v>
      </c>
      <c r="F1844" s="4">
        <v>1909.0064999999997</v>
      </c>
      <c r="G1844" s="4">
        <v>0.01</v>
      </c>
      <c r="H1844" s="4" t="s">
        <v>22</v>
      </c>
      <c r="I1844" s="6">
        <v>344.13299999999998</v>
      </c>
      <c r="J1844" s="4">
        <v>65.989999999999995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1"/>
        <v>40121</v>
      </c>
    </row>
    <row r="1845" spans="1:21" ht="12" customHeight="1">
      <c r="A1845" s="4">
        <v>5972</v>
      </c>
      <c r="B1845" s="4">
        <v>42343</v>
      </c>
      <c r="C1845" s="5">
        <f t="shared" ref="C1845:C1846" si="772">DATE(2012,12,31)-1235</f>
        <v>40039</v>
      </c>
      <c r="D1845" s="4" t="s">
        <v>78</v>
      </c>
      <c r="E1845" s="4">
        <v>46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1"/>
        <v>40041</v>
      </c>
    </row>
    <row r="1846" spans="1:21" ht="12" customHeight="1">
      <c r="A1846" s="4">
        <v>5973</v>
      </c>
      <c r="B1846" s="4">
        <v>42343</v>
      </c>
      <c r="C1846" s="5">
        <f t="shared" si="772"/>
        <v>40039</v>
      </c>
      <c r="D1846" s="4" t="s">
        <v>78</v>
      </c>
      <c r="E1846" s="4">
        <v>31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3">C1846+1</f>
        <v>40040</v>
      </c>
    </row>
    <row r="1847" spans="1:21" ht="12" customHeight="1">
      <c r="A1847" s="4">
        <v>6187</v>
      </c>
      <c r="B1847" s="4">
        <v>43846</v>
      </c>
      <c r="C1847" s="5">
        <f>DATE(2012,12,31)-1404</f>
        <v>39870</v>
      </c>
      <c r="D1847" s="4" t="s">
        <v>30</v>
      </c>
      <c r="E1847" s="4">
        <v>9</v>
      </c>
      <c r="F1847" s="4">
        <v>31.36</v>
      </c>
      <c r="G1847" s="4">
        <v>0.1</v>
      </c>
      <c r="H1847" s="4" t="s">
        <v>22</v>
      </c>
      <c r="I1847" s="6">
        <v>-8.2799999999999994</v>
      </c>
      <c r="J1847" s="4">
        <v>3.6</v>
      </c>
      <c r="K1847" s="4">
        <v>2.2000000000000002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3"/>
        <v>39871</v>
      </c>
    </row>
    <row r="1848" spans="1:21" ht="12" customHeight="1">
      <c r="A1848" s="4">
        <v>6207</v>
      </c>
      <c r="B1848" s="4">
        <v>43974</v>
      </c>
      <c r="C1848" s="5">
        <f>DATE(2012,12,31)-1202</f>
        <v>40072</v>
      </c>
      <c r="D1848" s="4" t="s">
        <v>45</v>
      </c>
      <c r="E1848" s="4">
        <v>8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3"/>
        <v>40073</v>
      </c>
    </row>
    <row r="1849" spans="1:21" ht="12" customHeight="1">
      <c r="A1849" s="4">
        <v>6224</v>
      </c>
      <c r="B1849" s="4">
        <v>44069</v>
      </c>
      <c r="C1849" s="5">
        <f t="shared" ref="C1849:C1850" si="774">DATE(2012,12,31)-1459</f>
        <v>39815</v>
      </c>
      <c r="D1849" s="4" t="s">
        <v>78</v>
      </c>
      <c r="E1849" s="4">
        <v>16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spans="1:21" ht="12" customHeight="1">
      <c r="A1850" s="4">
        <v>6225</v>
      </c>
      <c r="B1850" s="4">
        <v>44069</v>
      </c>
      <c r="C1850" s="5">
        <f t="shared" si="774"/>
        <v>39815</v>
      </c>
      <c r="D1850" s="4" t="s">
        <v>78</v>
      </c>
      <c r="E1850" s="4">
        <v>43</v>
      </c>
      <c r="F1850" s="4">
        <v>614.79999999999995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spans="1:21" ht="12" customHeight="1">
      <c r="A1851" s="4">
        <v>6289</v>
      </c>
      <c r="B1851" s="4">
        <v>44517</v>
      </c>
      <c r="C1851" s="5">
        <f>DATE(2012,12,31)-1348</f>
        <v>39926</v>
      </c>
      <c r="D1851" s="4" t="s">
        <v>63</v>
      </c>
      <c r="E1851" s="4">
        <v>5</v>
      </c>
      <c r="F1851" s="4">
        <v>32.5</v>
      </c>
      <c r="G1851" s="4">
        <v>0.03</v>
      </c>
      <c r="H1851" s="4" t="s">
        <v>22</v>
      </c>
      <c r="I1851" s="6">
        <v>-16.670000000000002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5">C1851+1</f>
        <v>39927</v>
      </c>
    </row>
    <row r="1852" spans="1:21" ht="12" customHeight="1">
      <c r="A1852" s="4">
        <v>6329</v>
      </c>
      <c r="B1852" s="4">
        <v>44836</v>
      </c>
      <c r="C1852" s="5">
        <f>DATE(2012,12,31)-1207</f>
        <v>40067</v>
      </c>
      <c r="D1852" s="4" t="s">
        <v>63</v>
      </c>
      <c r="E1852" s="4">
        <v>21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5"/>
        <v>40068</v>
      </c>
    </row>
    <row r="1853" spans="1:21" ht="12" customHeight="1">
      <c r="A1853" s="4">
        <v>6358</v>
      </c>
      <c r="B1853" s="4">
        <v>45120</v>
      </c>
      <c r="C1853" s="5">
        <f>DATE(2012,12,31)-1362</f>
        <v>39912</v>
      </c>
      <c r="D1853" s="4" t="s">
        <v>78</v>
      </c>
      <c r="E1853" s="4">
        <v>39</v>
      </c>
      <c r="F1853" s="4">
        <v>14591.44</v>
      </c>
      <c r="G1853" s="4">
        <v>7.0000000000000007E-2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5"/>
        <v>39913</v>
      </c>
    </row>
    <row r="1854" spans="1:21" ht="12" customHeight="1">
      <c r="A1854" s="4">
        <v>6387</v>
      </c>
      <c r="B1854" s="4">
        <v>45380</v>
      </c>
      <c r="C1854" s="5">
        <f t="shared" ref="C1854:C1855" si="776">DATE(2012,12,31)-1341</f>
        <v>39933</v>
      </c>
      <c r="D1854" s="4" t="s">
        <v>78</v>
      </c>
      <c r="E1854" s="4">
        <v>34</v>
      </c>
      <c r="F1854" s="4">
        <v>1912.9845</v>
      </c>
      <c r="G1854" s="4">
        <v>0.06</v>
      </c>
      <c r="H1854" s="4" t="s">
        <v>56</v>
      </c>
      <c r="I1854" s="6">
        <v>288.08999999999997</v>
      </c>
      <c r="J1854" s="4">
        <v>65.989999999999995</v>
      </c>
      <c r="K1854" s="4">
        <v>8.8000000000000007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0.57999999999999996</v>
      </c>
      <c r="U1854" s="5">
        <f t="shared" si="775"/>
        <v>39934</v>
      </c>
    </row>
    <row r="1855" spans="1:21" ht="12" customHeight="1">
      <c r="A1855" s="4">
        <v>6388</v>
      </c>
      <c r="B1855" s="4">
        <v>45380</v>
      </c>
      <c r="C1855" s="5">
        <f t="shared" si="776"/>
        <v>39933</v>
      </c>
      <c r="D1855" s="4" t="s">
        <v>78</v>
      </c>
      <c r="E1855" s="4">
        <v>24</v>
      </c>
      <c r="F1855" s="4">
        <v>4170.8649999999998</v>
      </c>
      <c r="G1855" s="4">
        <v>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0.56999999999999995</v>
      </c>
      <c r="U1855" s="5">
        <f t="shared" ref="U1855:U1859" si="777">C1855+2</f>
        <v>39935</v>
      </c>
    </row>
    <row r="1856" spans="1:21" ht="12" customHeight="1">
      <c r="A1856" s="4">
        <v>6406</v>
      </c>
      <c r="B1856" s="4">
        <v>45539</v>
      </c>
      <c r="C1856" s="5">
        <f t="shared" ref="C1856:C1857" si="778">DATE(2012,12,31)-1247</f>
        <v>40027</v>
      </c>
      <c r="D1856" s="4" t="s">
        <v>45</v>
      </c>
      <c r="E1856" s="4">
        <v>15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7"/>
        <v>40029</v>
      </c>
    </row>
    <row r="1857" spans="1:21" ht="12" customHeight="1">
      <c r="A1857" s="4">
        <v>6407</v>
      </c>
      <c r="B1857" s="4">
        <v>45539</v>
      </c>
      <c r="C1857" s="5">
        <f t="shared" si="778"/>
        <v>40027</v>
      </c>
      <c r="D1857" s="4" t="s">
        <v>45</v>
      </c>
      <c r="E1857" s="4">
        <v>27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7"/>
        <v>40029</v>
      </c>
    </row>
    <row r="1858" spans="1:21" ht="12" customHeight="1">
      <c r="A1858" s="4">
        <v>6486</v>
      </c>
      <c r="B1858" s="4">
        <v>46151</v>
      </c>
      <c r="C1858" s="5">
        <f>DATE(2012,12,31)-1149</f>
        <v>40125</v>
      </c>
      <c r="D1858" s="4" t="s">
        <v>78</v>
      </c>
      <c r="E1858" s="4">
        <v>23</v>
      </c>
      <c r="F1858" s="4">
        <v>203.91</v>
      </c>
      <c r="G1858" s="4">
        <v>0.02</v>
      </c>
      <c r="H1858" s="4" t="s">
        <v>22</v>
      </c>
      <c r="I1858" s="6">
        <v>-35.442999999999998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7"/>
        <v>40127</v>
      </c>
    </row>
    <row r="1859" spans="1:21" ht="12" customHeight="1">
      <c r="A1859" s="4">
        <v>6523</v>
      </c>
      <c r="B1859" s="4">
        <v>46407</v>
      </c>
      <c r="C1859" s="5">
        <f>DATE(2012,12,31)-1376</f>
        <v>39898</v>
      </c>
      <c r="D1859" s="4" t="s">
        <v>45</v>
      </c>
      <c r="E1859" s="4">
        <v>7</v>
      </c>
      <c r="F1859" s="4">
        <v>38.369999999999997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7"/>
        <v>39900</v>
      </c>
    </row>
    <row r="1860" spans="1:21" ht="12" customHeight="1">
      <c r="A1860" s="4">
        <v>6534</v>
      </c>
      <c r="B1860" s="4">
        <v>46499</v>
      </c>
      <c r="C1860" s="5">
        <f t="shared" ref="C1860:C1862" si="779">DATE(2012,12,31)-1303</f>
        <v>39971</v>
      </c>
      <c r="D1860" s="4" t="s">
        <v>78</v>
      </c>
      <c r="E1860" s="4">
        <v>1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spans="1:21" ht="12" customHeight="1">
      <c r="A1861" s="4">
        <v>6535</v>
      </c>
      <c r="B1861" s="4">
        <v>46499</v>
      </c>
      <c r="C1861" s="5">
        <f t="shared" si="779"/>
        <v>39971</v>
      </c>
      <c r="D1861" s="4" t="s">
        <v>78</v>
      </c>
      <c r="E1861" s="4">
        <v>22</v>
      </c>
      <c r="F1861" s="4">
        <v>89.96</v>
      </c>
      <c r="G1861" s="4">
        <v>7.0000000000000007E-2</v>
      </c>
      <c r="H1861" s="4" t="s">
        <v>22</v>
      </c>
      <c r="I1861" s="6">
        <v>-115.21</v>
      </c>
      <c r="J1861" s="4">
        <v>4.0599999999999996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spans="1:21" ht="12" customHeight="1">
      <c r="A1862" s="4">
        <v>6536</v>
      </c>
      <c r="B1862" s="4">
        <v>46499</v>
      </c>
      <c r="C1862" s="5">
        <f t="shared" si="779"/>
        <v>39971</v>
      </c>
      <c r="D1862" s="4" t="s">
        <v>78</v>
      </c>
      <c r="E1862" s="4">
        <v>10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spans="1:21" ht="12" customHeight="1">
      <c r="A1863" s="4">
        <v>6607</v>
      </c>
      <c r="B1863" s="4">
        <v>47011</v>
      </c>
      <c r="C1863" s="5">
        <f>DATE(2012,12,31)-1411</f>
        <v>39863</v>
      </c>
      <c r="D1863" s="4" t="s">
        <v>30</v>
      </c>
      <c r="E1863" s="4">
        <v>33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spans="1:21" ht="12" customHeight="1">
      <c r="A1864" s="4">
        <v>6637</v>
      </c>
      <c r="B1864" s="4">
        <v>47201</v>
      </c>
      <c r="C1864" s="5">
        <f>DATE(2012,12,31)-1099</f>
        <v>40175</v>
      </c>
      <c r="D1864" s="4" t="s">
        <v>78</v>
      </c>
      <c r="E1864" s="4">
        <v>18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4.9800000000000004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spans="1:21" ht="12" customHeight="1">
      <c r="A1865" s="4">
        <v>6663</v>
      </c>
      <c r="B1865" s="4">
        <v>47457</v>
      </c>
      <c r="C1865" s="5">
        <f>DATE(2012,12,31)-1307</f>
        <v>39967</v>
      </c>
      <c r="D1865" s="4" t="s">
        <v>21</v>
      </c>
      <c r="E1865" s="4">
        <v>50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161.55000000000001</v>
      </c>
      <c r="K1865" s="4">
        <v>19.989999999999998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spans="1:21" ht="12" customHeight="1">
      <c r="A1866" s="4">
        <v>6719</v>
      </c>
      <c r="B1866" s="4">
        <v>47872</v>
      </c>
      <c r="C1866" s="5">
        <f t="shared" ref="C1866:C1867" si="780">DATE(2012,12,31)-1298</f>
        <v>39976</v>
      </c>
      <c r="D1866" s="4" t="s">
        <v>78</v>
      </c>
      <c r="E1866" s="4">
        <v>38</v>
      </c>
      <c r="F1866" s="4">
        <v>1756.27</v>
      </c>
      <c r="G1866" s="4">
        <v>0.09</v>
      </c>
      <c r="H1866" s="4" t="s">
        <v>22</v>
      </c>
      <c r="I1866" s="6">
        <v>649.04999999999995</v>
      </c>
      <c r="J1866" s="4">
        <v>46.89</v>
      </c>
      <c r="K1866" s="4">
        <v>5.0999999999999996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spans="1:21" ht="12" customHeight="1">
      <c r="A1867" s="4">
        <v>6720</v>
      </c>
      <c r="B1867" s="4">
        <v>47872</v>
      </c>
      <c r="C1867" s="5">
        <f t="shared" si="780"/>
        <v>39976</v>
      </c>
      <c r="D1867" s="4" t="s">
        <v>78</v>
      </c>
      <c r="E1867" s="4">
        <v>50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spans="1:21" ht="12" customHeight="1">
      <c r="A1868" s="4">
        <v>6723</v>
      </c>
      <c r="B1868" s="4">
        <v>47877</v>
      </c>
      <c r="C1868" s="5">
        <f t="shared" ref="C1868:C1870" si="781">DATE(2012,12,31)-1221</f>
        <v>40053</v>
      </c>
      <c r="D1868" s="4" t="s">
        <v>63</v>
      </c>
      <c r="E1868" s="4">
        <v>16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17.239999999999998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0.56000000000000005</v>
      </c>
      <c r="U1868" s="5">
        <f>C1868+3</f>
        <v>40056</v>
      </c>
    </row>
    <row r="1869" spans="1:21" ht="12" customHeight="1">
      <c r="A1869" s="4">
        <v>6724</v>
      </c>
      <c r="B1869" s="4">
        <v>47877</v>
      </c>
      <c r="C1869" s="5">
        <f t="shared" si="781"/>
        <v>40053</v>
      </c>
      <c r="D1869" s="4" t="s">
        <v>63</v>
      </c>
      <c r="E1869" s="4">
        <v>19</v>
      </c>
      <c r="F1869" s="4">
        <v>3240.7280000000001</v>
      </c>
      <c r="G1869" s="4">
        <v>7.0000000000000007E-2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2">C1869+2</f>
        <v>40055</v>
      </c>
    </row>
    <row r="1870" spans="1:21" ht="12" customHeight="1">
      <c r="A1870" s="4">
        <v>6725</v>
      </c>
      <c r="B1870" s="4">
        <v>47877</v>
      </c>
      <c r="C1870" s="5">
        <f t="shared" si="781"/>
        <v>40053</v>
      </c>
      <c r="D1870" s="4" t="s">
        <v>63</v>
      </c>
      <c r="E1870" s="4">
        <v>49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2"/>
        <v>40055</v>
      </c>
    </row>
    <row r="1871" spans="1:21" ht="12" customHeight="1">
      <c r="A1871" s="4">
        <v>6730</v>
      </c>
      <c r="B1871" s="4">
        <v>47910</v>
      </c>
      <c r="C1871" s="5">
        <f>DATE(2012,12,31)-1234</f>
        <v>40040</v>
      </c>
      <c r="D1871" s="4" t="s">
        <v>30</v>
      </c>
      <c r="E1871" s="4">
        <v>30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19.989999999999998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0.55000000000000004</v>
      </c>
      <c r="U1871" s="5">
        <f t="shared" ref="U1871:U1872" si="783">C1871+1</f>
        <v>40041</v>
      </c>
    </row>
    <row r="1872" spans="1:21" ht="12" customHeight="1">
      <c r="A1872" s="4">
        <v>6765</v>
      </c>
      <c r="B1872" s="4">
        <v>48192</v>
      </c>
      <c r="C1872" s="5">
        <f>DATE(2012,12,31)-1111</f>
        <v>40163</v>
      </c>
      <c r="D1872" s="4" t="s">
        <v>78</v>
      </c>
      <c r="E1872" s="4">
        <v>15</v>
      </c>
      <c r="F1872" s="4">
        <v>2277.67</v>
      </c>
      <c r="G1872" s="4">
        <v>0</v>
      </c>
      <c r="H1872" s="4" t="s">
        <v>31</v>
      </c>
      <c r="I1872" s="6">
        <v>-173.96</v>
      </c>
      <c r="J1872" s="4">
        <v>140.97999999999999</v>
      </c>
      <c r="K1872" s="4">
        <v>36.090000000000003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3"/>
        <v>40164</v>
      </c>
    </row>
    <row r="1873" spans="1:21" ht="12" customHeight="1">
      <c r="A1873" s="4">
        <v>6794</v>
      </c>
      <c r="B1873" s="4">
        <v>48420</v>
      </c>
      <c r="C1873" s="5">
        <f>DATE(2012,12,31)-1177</f>
        <v>40097</v>
      </c>
      <c r="D1873" s="4" t="s">
        <v>21</v>
      </c>
      <c r="E1873" s="4">
        <v>46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4">C1873+2</f>
        <v>40099</v>
      </c>
    </row>
    <row r="1874" spans="1:21" ht="12" customHeight="1">
      <c r="A1874" s="4">
        <v>6856</v>
      </c>
      <c r="B1874" s="4">
        <v>48836</v>
      </c>
      <c r="C1874" s="5">
        <f>DATE(2012,12,31)-1416</f>
        <v>39858</v>
      </c>
      <c r="D1874" s="4" t="s">
        <v>78</v>
      </c>
      <c r="E1874" s="4">
        <v>8</v>
      </c>
      <c r="F1874" s="4">
        <v>2651.21</v>
      </c>
      <c r="G1874" s="4">
        <v>0.09</v>
      </c>
      <c r="H1874" s="4" t="s">
        <v>31</v>
      </c>
      <c r="I1874" s="6">
        <v>-93.849999999999909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4"/>
        <v>39860</v>
      </c>
    </row>
    <row r="1875" spans="1:21" ht="12" customHeight="1">
      <c r="A1875" s="4">
        <v>7055</v>
      </c>
      <c r="B1875" s="4">
        <v>50337</v>
      </c>
      <c r="C1875" s="5">
        <f t="shared" ref="C1875:C1876" si="785">DATE(2012,12,31)-1355</f>
        <v>39919</v>
      </c>
      <c r="D1875" s="4" t="s">
        <v>45</v>
      </c>
      <c r="E1875" s="4">
        <v>37</v>
      </c>
      <c r="F1875" s="4">
        <v>122.99</v>
      </c>
      <c r="G1875" s="4">
        <v>0</v>
      </c>
      <c r="H1875" s="4" t="s">
        <v>56</v>
      </c>
      <c r="I1875" s="6">
        <v>21.479500000000002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spans="1:21" ht="12" customHeight="1">
      <c r="A1876" s="4">
        <v>7056</v>
      </c>
      <c r="B1876" s="4">
        <v>50337</v>
      </c>
      <c r="C1876" s="5">
        <f t="shared" si="785"/>
        <v>39919</v>
      </c>
      <c r="D1876" s="4" t="s">
        <v>45</v>
      </c>
      <c r="E1876" s="4">
        <v>6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0.56999999999999995</v>
      </c>
      <c r="U1876" s="5">
        <f t="shared" ref="U1876:U1877" si="786">C1876+2</f>
        <v>39921</v>
      </c>
    </row>
    <row r="1877" spans="1:21" ht="12" customHeight="1">
      <c r="A1877" s="4">
        <v>7095</v>
      </c>
      <c r="B1877" s="4">
        <v>50656</v>
      </c>
      <c r="C1877" s="5">
        <f t="shared" ref="C1877:C1880" si="787">DATE(2012,12,31)-1163</f>
        <v>40111</v>
      </c>
      <c r="D1877" s="4" t="s">
        <v>78</v>
      </c>
      <c r="E1877" s="4">
        <v>42</v>
      </c>
      <c r="F1877" s="4">
        <v>194.2</v>
      </c>
      <c r="G1877" s="4">
        <v>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6"/>
        <v>40113</v>
      </c>
    </row>
    <row r="1878" spans="1:21" ht="12" customHeight="1">
      <c r="A1878" s="4">
        <v>7096</v>
      </c>
      <c r="B1878" s="4">
        <v>50656</v>
      </c>
      <c r="C1878" s="5">
        <f t="shared" si="787"/>
        <v>40111</v>
      </c>
      <c r="D1878" s="4" t="s">
        <v>78</v>
      </c>
      <c r="E1878" s="4">
        <v>31</v>
      </c>
      <c r="F1878" s="4">
        <v>16451.330000000002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spans="1:21" ht="12" customHeight="1">
      <c r="A1879" s="4">
        <v>7097</v>
      </c>
      <c r="B1879" s="4">
        <v>50656</v>
      </c>
      <c r="C1879" s="5">
        <f t="shared" si="787"/>
        <v>40111</v>
      </c>
      <c r="D1879" s="4" t="s">
        <v>78</v>
      </c>
      <c r="E1879" s="4">
        <v>39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spans="1:21" ht="12" customHeight="1">
      <c r="A1880" s="4">
        <v>7098</v>
      </c>
      <c r="B1880" s="4">
        <v>50656</v>
      </c>
      <c r="C1880" s="5">
        <f t="shared" si="787"/>
        <v>40111</v>
      </c>
      <c r="D1880" s="4" t="s">
        <v>78</v>
      </c>
      <c r="E1880" s="4">
        <v>15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spans="1:21" ht="12" customHeight="1">
      <c r="A1881" s="4">
        <v>7676</v>
      </c>
      <c r="B1881" s="4">
        <v>55040</v>
      </c>
      <c r="C1881" s="5">
        <f t="shared" ref="C1881:C1884" si="788">DATE(2012,12,31)-1359</f>
        <v>39915</v>
      </c>
      <c r="D1881" s="4" t="s">
        <v>30</v>
      </c>
      <c r="E1881" s="4">
        <v>8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0.57999999999999996</v>
      </c>
      <c r="U1881" s="5">
        <f>C1881+2</f>
        <v>39917</v>
      </c>
    </row>
    <row r="1882" spans="1:21" ht="12" customHeight="1">
      <c r="A1882" s="4">
        <v>7677</v>
      </c>
      <c r="B1882" s="4">
        <v>55040</v>
      </c>
      <c r="C1882" s="5">
        <f t="shared" si="788"/>
        <v>39915</v>
      </c>
      <c r="D1882" s="4" t="s">
        <v>30</v>
      </c>
      <c r="E1882" s="4">
        <v>24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spans="1:21" ht="12" customHeight="1">
      <c r="A1883" s="4">
        <v>7678</v>
      </c>
      <c r="B1883" s="4">
        <v>55040</v>
      </c>
      <c r="C1883" s="5">
        <f t="shared" si="788"/>
        <v>39915</v>
      </c>
      <c r="D1883" s="4" t="s">
        <v>30</v>
      </c>
      <c r="E1883" s="4">
        <v>34</v>
      </c>
      <c r="F1883" s="4">
        <v>290.01</v>
      </c>
      <c r="G1883" s="4">
        <v>0.03</v>
      </c>
      <c r="H1883" s="4" t="s">
        <v>22</v>
      </c>
      <c r="I1883" s="6">
        <v>-160.27549999999999</v>
      </c>
      <c r="J1883" s="4">
        <v>8.0399999999999991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89">C1883+2</f>
        <v>39917</v>
      </c>
    </row>
    <row r="1884" spans="1:21" ht="12" customHeight="1">
      <c r="A1884" s="4">
        <v>7679</v>
      </c>
      <c r="B1884" s="4">
        <v>55040</v>
      </c>
      <c r="C1884" s="5">
        <f t="shared" si="788"/>
        <v>39915</v>
      </c>
      <c r="D1884" s="4" t="s">
        <v>30</v>
      </c>
      <c r="E1884" s="4">
        <v>2</v>
      </c>
      <c r="F1884" s="4">
        <v>4692.26</v>
      </c>
      <c r="G1884" s="4">
        <v>0.08</v>
      </c>
      <c r="H1884" s="4" t="s">
        <v>31</v>
      </c>
      <c r="I1884" s="6">
        <v>-7373.1282000000001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0.56999999999999995</v>
      </c>
      <c r="U1884" s="5">
        <f t="shared" si="789"/>
        <v>39917</v>
      </c>
    </row>
    <row r="1885" spans="1:21" ht="12" customHeight="1">
      <c r="A1885" s="4">
        <v>7721</v>
      </c>
      <c r="B1885" s="4">
        <v>55330</v>
      </c>
      <c r="C1885" s="5">
        <f>DATE(2012,12,31)-1237</f>
        <v>40037</v>
      </c>
      <c r="D1885" s="4" t="s">
        <v>63</v>
      </c>
      <c r="E1885" s="4">
        <v>49</v>
      </c>
      <c r="F1885" s="4">
        <v>633.91</v>
      </c>
      <c r="G1885" s="4">
        <v>0</v>
      </c>
      <c r="H1885" s="4" t="s">
        <v>22</v>
      </c>
      <c r="I1885" s="6">
        <v>141.16999999999999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spans="1:21" ht="12" customHeight="1">
      <c r="A1886" s="4">
        <v>7762</v>
      </c>
      <c r="B1886" s="4">
        <v>55554</v>
      </c>
      <c r="C1886" s="5">
        <f t="shared" ref="C1886:C1888" si="790">DATE(2012,12,31)-1141</f>
        <v>40133</v>
      </c>
      <c r="D1886" s="4" t="s">
        <v>78</v>
      </c>
      <c r="E1886" s="4">
        <v>6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9.5399999999999991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spans="1:21" ht="12" customHeight="1">
      <c r="A1887" s="4">
        <v>7763</v>
      </c>
      <c r="B1887" s="4">
        <v>55554</v>
      </c>
      <c r="C1887" s="5">
        <f t="shared" si="790"/>
        <v>40133</v>
      </c>
      <c r="D1887" s="4" t="s">
        <v>78</v>
      </c>
      <c r="E1887" s="4">
        <v>49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0.56000000000000005</v>
      </c>
      <c r="U1887" s="5">
        <f>C1887+3</f>
        <v>40136</v>
      </c>
    </row>
    <row r="1888" spans="1:21" ht="12" customHeight="1">
      <c r="A1888" s="4">
        <v>7764</v>
      </c>
      <c r="B1888" s="4">
        <v>55554</v>
      </c>
      <c r="C1888" s="5">
        <f t="shared" si="790"/>
        <v>40133</v>
      </c>
      <c r="D1888" s="4" t="s">
        <v>78</v>
      </c>
      <c r="E1888" s="4">
        <v>9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0.56999999999999995</v>
      </c>
      <c r="U1888" s="5">
        <f t="shared" ref="U1888:U1889" si="791">C1888+1</f>
        <v>40134</v>
      </c>
    </row>
    <row r="1889" spans="1:21" ht="12" customHeight="1">
      <c r="A1889" s="4">
        <v>7893</v>
      </c>
      <c r="B1889" s="4">
        <v>56452</v>
      </c>
      <c r="C1889" s="5">
        <f>DATE(2012,12,31)-1416</f>
        <v>39858</v>
      </c>
      <c r="D1889" s="4" t="s">
        <v>45</v>
      </c>
      <c r="E1889" s="4">
        <v>34</v>
      </c>
      <c r="F1889" s="4">
        <v>6686.344000000001</v>
      </c>
      <c r="G1889" s="4">
        <v>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1"/>
        <v>39859</v>
      </c>
    </row>
    <row r="1890" spans="1:21" ht="12" customHeight="1">
      <c r="A1890" s="4">
        <v>7895</v>
      </c>
      <c r="B1890" s="4">
        <v>56483</v>
      </c>
      <c r="C1890" s="5">
        <f>DATE(2012,12,31)-1411</f>
        <v>39863</v>
      </c>
      <c r="D1890" s="4" t="s">
        <v>30</v>
      </c>
      <c r="E1890" s="4">
        <v>37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spans="1:21" ht="12" customHeight="1">
      <c r="A1891" s="4">
        <v>8009</v>
      </c>
      <c r="B1891" s="4">
        <v>57248</v>
      </c>
      <c r="C1891" s="5">
        <f>DATE(2012,12,31)-1173</f>
        <v>40101</v>
      </c>
      <c r="D1891" s="4" t="s">
        <v>78</v>
      </c>
      <c r="E1891" s="4">
        <v>34</v>
      </c>
      <c r="F1891" s="4">
        <v>167.5</v>
      </c>
      <c r="G1891" s="4">
        <v>0.04</v>
      </c>
      <c r="H1891" s="4" t="s">
        <v>22</v>
      </c>
      <c r="I1891" s="6">
        <v>-84.421499999999995</v>
      </c>
      <c r="J1891" s="4">
        <v>4.9800000000000004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spans="1:21" ht="12" customHeight="1">
      <c r="A1892" s="4">
        <v>8032</v>
      </c>
      <c r="B1892" s="4">
        <v>57381</v>
      </c>
      <c r="C1892" s="5">
        <f t="shared" ref="C1892:C1893" si="792">DATE(2012,12,31)-1242</f>
        <v>40032</v>
      </c>
      <c r="D1892" s="4" t="s">
        <v>30</v>
      </c>
      <c r="E1892" s="4">
        <v>13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spans="1:21" ht="12" customHeight="1">
      <c r="A1893" s="4">
        <v>8033</v>
      </c>
      <c r="B1893" s="4">
        <v>57381</v>
      </c>
      <c r="C1893" s="5">
        <f t="shared" si="792"/>
        <v>40032</v>
      </c>
      <c r="D1893" s="4" t="s">
        <v>30</v>
      </c>
      <c r="E1893" s="4">
        <v>22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spans="1:21" ht="12" customHeight="1">
      <c r="A1894" s="4">
        <v>8048</v>
      </c>
      <c r="B1894" s="4">
        <v>57476</v>
      </c>
      <c r="C1894" s="5">
        <f t="shared" ref="C1894:C1895" si="793">DATE(2012,12,31)-1386</f>
        <v>39888</v>
      </c>
      <c r="D1894" s="4" t="s">
        <v>30</v>
      </c>
      <c r="E1894" s="4">
        <v>20</v>
      </c>
      <c r="F1894" s="4">
        <v>1351.43</v>
      </c>
      <c r="G1894" s="4">
        <v>0.08</v>
      </c>
      <c r="H1894" s="4" t="s">
        <v>31</v>
      </c>
      <c r="I1894" s="6">
        <v>-550.42999999999995</v>
      </c>
      <c r="J1894" s="4">
        <v>68.81</v>
      </c>
      <c r="K1894" s="4">
        <v>60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spans="1:21" ht="12" customHeight="1">
      <c r="A1895" s="4">
        <v>8049</v>
      </c>
      <c r="B1895" s="4">
        <v>57476</v>
      </c>
      <c r="C1895" s="5">
        <f t="shared" si="793"/>
        <v>39888</v>
      </c>
      <c r="D1895" s="4" t="s">
        <v>30</v>
      </c>
      <c r="E1895" s="4">
        <v>17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4">C1895+2</f>
        <v>39890</v>
      </c>
    </row>
    <row r="1896" spans="1:21" ht="12" customHeight="1">
      <c r="A1896" s="4">
        <v>8093</v>
      </c>
      <c r="B1896" s="4">
        <v>57734</v>
      </c>
      <c r="C1896" s="5">
        <f t="shared" ref="C1896:C1897" si="795">DATE(2012,12,31)-1202</f>
        <v>40072</v>
      </c>
      <c r="D1896" s="4" t="s">
        <v>30</v>
      </c>
      <c r="E1896" s="4">
        <v>26</v>
      </c>
      <c r="F1896" s="4">
        <v>110.14</v>
      </c>
      <c r="G1896" s="4">
        <v>0.05</v>
      </c>
      <c r="H1896" s="4" t="s">
        <v>22</v>
      </c>
      <c r="I1896" s="6">
        <v>-89.216999999999999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4"/>
        <v>40074</v>
      </c>
    </row>
    <row r="1897" spans="1:21" ht="12" customHeight="1">
      <c r="A1897" s="4">
        <v>8094</v>
      </c>
      <c r="B1897" s="4">
        <v>57734</v>
      </c>
      <c r="C1897" s="5">
        <f t="shared" si="795"/>
        <v>40072</v>
      </c>
      <c r="D1897" s="4" t="s">
        <v>30</v>
      </c>
      <c r="E1897" s="4">
        <v>27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4"/>
        <v>40074</v>
      </c>
    </row>
    <row r="1898" spans="1:21" ht="12" customHeight="1">
      <c r="A1898" s="4">
        <v>8151</v>
      </c>
      <c r="B1898" s="4">
        <v>58279</v>
      </c>
      <c r="C1898" s="5">
        <f>DATE(2012,12,31)-1360</f>
        <v>39914</v>
      </c>
      <c r="D1898" s="4" t="s">
        <v>63</v>
      </c>
      <c r="E1898" s="4">
        <v>44</v>
      </c>
      <c r="F1898" s="4">
        <v>1317.34</v>
      </c>
      <c r="G1898" s="4">
        <v>0.03</v>
      </c>
      <c r="H1898" s="4" t="s">
        <v>22</v>
      </c>
      <c r="I1898" s="6">
        <v>555.93399999999997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6">C1898+0</f>
        <v>39914</v>
      </c>
    </row>
    <row r="1899" spans="1:21" ht="12" customHeight="1">
      <c r="A1899" s="4">
        <v>8309</v>
      </c>
      <c r="B1899" s="4">
        <v>59363</v>
      </c>
      <c r="C1899" s="5">
        <f>DATE(2012,12,31)-1339</f>
        <v>39935</v>
      </c>
      <c r="D1899" s="4" t="s">
        <v>30</v>
      </c>
      <c r="E1899" s="4">
        <v>24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6"/>
        <v>39935</v>
      </c>
    </row>
    <row r="1900" spans="1:21" ht="12" customHeight="1">
      <c r="A1900" s="4">
        <v>8348</v>
      </c>
      <c r="B1900" s="4">
        <v>59681</v>
      </c>
      <c r="C1900" s="5">
        <f>DATE(2012,12,31)-1299</f>
        <v>39975</v>
      </c>
      <c r="D1900" s="4" t="s">
        <v>78</v>
      </c>
      <c r="E1900" s="4">
        <v>23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spans="1:21" ht="12" customHeight="1">
      <c r="A1901" s="4">
        <v>131</v>
      </c>
      <c r="B1901" s="4">
        <v>834</v>
      </c>
      <c r="C1901" s="5">
        <f>DATE(2012,12,31)-1319</f>
        <v>39955</v>
      </c>
      <c r="D1901" s="4" t="s">
        <v>63</v>
      </c>
      <c r="E1901" s="4">
        <v>15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7">C1901+1</f>
        <v>39956</v>
      </c>
    </row>
    <row r="1902" spans="1:21" ht="12" customHeight="1">
      <c r="A1902" s="4">
        <v>409</v>
      </c>
      <c r="B1902" s="4">
        <v>2790</v>
      </c>
      <c r="C1902" s="5">
        <f t="shared" ref="C1902:C1905" si="798">DATE(2012,12,31)-1231</f>
        <v>40043</v>
      </c>
      <c r="D1902" s="4" t="s">
        <v>30</v>
      </c>
      <c r="E1902" s="4">
        <v>7</v>
      </c>
      <c r="F1902" s="4">
        <v>45.91</v>
      </c>
      <c r="G1902" s="4">
        <v>0.01</v>
      </c>
      <c r="H1902" s="4" t="s">
        <v>22</v>
      </c>
      <c r="I1902" s="6">
        <v>-35.534999999999997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7"/>
        <v>40044</v>
      </c>
    </row>
    <row r="1903" spans="1:21" ht="12" customHeight="1">
      <c r="A1903" s="4">
        <v>410</v>
      </c>
      <c r="B1903" s="4">
        <v>2790</v>
      </c>
      <c r="C1903" s="5">
        <f t="shared" si="798"/>
        <v>40043</v>
      </c>
      <c r="D1903" s="4" t="s">
        <v>30</v>
      </c>
      <c r="E1903" s="4">
        <v>41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spans="1:21" ht="12" customHeight="1">
      <c r="A1904" s="4">
        <v>411</v>
      </c>
      <c r="B1904" s="4">
        <v>2790</v>
      </c>
      <c r="C1904" s="5">
        <f t="shared" si="798"/>
        <v>40043</v>
      </c>
      <c r="D1904" s="4" t="s">
        <v>30</v>
      </c>
      <c r="E1904" s="4">
        <v>15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spans="1:21" ht="12" customHeight="1">
      <c r="A1905" s="4">
        <v>412</v>
      </c>
      <c r="B1905" s="4">
        <v>2790</v>
      </c>
      <c r="C1905" s="5">
        <f t="shared" si="798"/>
        <v>40043</v>
      </c>
      <c r="D1905" s="4" t="s">
        <v>30</v>
      </c>
      <c r="E1905" s="4">
        <v>15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8.2200000000000006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0.56999999999999995</v>
      </c>
      <c r="U1905" s="5">
        <f t="shared" ref="U1905:U1907" si="799">C1905+2</f>
        <v>40045</v>
      </c>
    </row>
    <row r="1906" spans="1:21" ht="12" customHeight="1">
      <c r="A1906" s="4">
        <v>490</v>
      </c>
      <c r="B1906" s="4">
        <v>3395</v>
      </c>
      <c r="C1906" s="5">
        <f t="shared" ref="C1906:C1909" si="800">DATE(2012,12,31)-1159</f>
        <v>40115</v>
      </c>
      <c r="D1906" s="4" t="s">
        <v>45</v>
      </c>
      <c r="E1906" s="4">
        <v>31</v>
      </c>
      <c r="F1906" s="4">
        <v>181.17</v>
      </c>
      <c r="G1906" s="4">
        <v>0.06</v>
      </c>
      <c r="H1906" s="4" t="s">
        <v>56</v>
      </c>
      <c r="I1906" s="6">
        <v>-59.880499999999998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799"/>
        <v>40117</v>
      </c>
    </row>
    <row r="1907" spans="1:21" ht="12" customHeight="1">
      <c r="A1907" s="4">
        <v>491</v>
      </c>
      <c r="B1907" s="4">
        <v>3395</v>
      </c>
      <c r="C1907" s="5">
        <f t="shared" si="800"/>
        <v>40115</v>
      </c>
      <c r="D1907" s="4" t="s">
        <v>45</v>
      </c>
      <c r="E1907" s="4">
        <v>1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799"/>
        <v>40117</v>
      </c>
    </row>
    <row r="1908" spans="1:21" ht="12" customHeight="1">
      <c r="A1908" s="4">
        <v>492</v>
      </c>
      <c r="B1908" s="4">
        <v>3395</v>
      </c>
      <c r="C1908" s="5">
        <f t="shared" si="800"/>
        <v>40115</v>
      </c>
      <c r="D1908" s="4" t="s">
        <v>45</v>
      </c>
      <c r="E1908" s="4">
        <v>7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1">C1908+1</f>
        <v>40116</v>
      </c>
    </row>
    <row r="1909" spans="1:21" ht="12" customHeight="1">
      <c r="A1909" s="4">
        <v>493</v>
      </c>
      <c r="B1909" s="4">
        <v>3395</v>
      </c>
      <c r="C1909" s="5">
        <f t="shared" si="800"/>
        <v>40115</v>
      </c>
      <c r="D1909" s="4" t="s">
        <v>45</v>
      </c>
      <c r="E1909" s="4">
        <v>29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1"/>
        <v>40116</v>
      </c>
    </row>
    <row r="1910" spans="1:21" ht="12" customHeight="1">
      <c r="A1910" s="4">
        <v>693</v>
      </c>
      <c r="B1910" s="4">
        <v>4835</v>
      </c>
      <c r="C1910" s="5">
        <f>DATE(2012,12,31)-1164</f>
        <v>40110</v>
      </c>
      <c r="D1910" s="4" t="s">
        <v>78</v>
      </c>
      <c r="E1910" s="4">
        <v>3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spans="1:21" ht="12" customHeight="1">
      <c r="A1911" s="4">
        <v>736</v>
      </c>
      <c r="B1911" s="4">
        <v>5317</v>
      </c>
      <c r="C1911" s="5">
        <f t="shared" ref="C1911:C1913" si="802">DATE(2012,12,31)-1210</f>
        <v>40064</v>
      </c>
      <c r="D1911" s="4" t="s">
        <v>21</v>
      </c>
      <c r="E1911" s="4">
        <v>38</v>
      </c>
      <c r="F1911" s="4">
        <v>212.57</v>
      </c>
      <c r="G1911" s="4">
        <v>0.09</v>
      </c>
      <c r="H1911" s="4" t="s">
        <v>56</v>
      </c>
      <c r="I1911" s="6">
        <v>9.4860000000000007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3">C1911+7</f>
        <v>40071</v>
      </c>
    </row>
    <row r="1912" spans="1:21" ht="12" customHeight="1">
      <c r="A1912" s="4">
        <v>737</v>
      </c>
      <c r="B1912" s="4">
        <v>5317</v>
      </c>
      <c r="C1912" s="5">
        <f t="shared" si="802"/>
        <v>40064</v>
      </c>
      <c r="D1912" s="4" t="s">
        <v>21</v>
      </c>
      <c r="E1912" s="4">
        <v>10</v>
      </c>
      <c r="F1912" s="4">
        <v>1469.48</v>
      </c>
      <c r="G1912" s="4">
        <v>7.0000000000000007E-2</v>
      </c>
      <c r="H1912" s="4" t="s">
        <v>31</v>
      </c>
      <c r="I1912" s="6">
        <v>-263.64999999999998</v>
      </c>
      <c r="J1912" s="4">
        <v>140.97999999999999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3"/>
        <v>40071</v>
      </c>
    </row>
    <row r="1913" spans="1:21" ht="12" customHeight="1">
      <c r="A1913" s="4">
        <v>738</v>
      </c>
      <c r="B1913" s="4">
        <v>5317</v>
      </c>
      <c r="C1913" s="5">
        <f t="shared" si="802"/>
        <v>40064</v>
      </c>
      <c r="D1913" s="4" t="s">
        <v>21</v>
      </c>
      <c r="E1913" s="4">
        <v>25</v>
      </c>
      <c r="F1913" s="4">
        <v>4279.24</v>
      </c>
      <c r="G1913" s="4">
        <v>0.06</v>
      </c>
      <c r="H1913" s="4" t="s">
        <v>22</v>
      </c>
      <c r="I1913" s="6">
        <v>890.18100000000004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0.56000000000000005</v>
      </c>
      <c r="U1913" s="5">
        <f t="shared" si="803"/>
        <v>40071</v>
      </c>
    </row>
    <row r="1914" spans="1:21" ht="12" customHeight="1">
      <c r="A1914" s="4">
        <v>801</v>
      </c>
      <c r="B1914" s="4">
        <v>5735</v>
      </c>
      <c r="C1914" s="5">
        <f>DATE(2012,12,31)-1117</f>
        <v>40157</v>
      </c>
      <c r="D1914" s="4" t="s">
        <v>63</v>
      </c>
      <c r="E1914" s="4">
        <v>10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spans="1:21" ht="12" customHeight="1">
      <c r="A1915" s="4">
        <v>810</v>
      </c>
      <c r="B1915" s="4">
        <v>5856</v>
      </c>
      <c r="C1915" s="5">
        <f>DATE(2012,12,31)-1152</f>
        <v>40122</v>
      </c>
      <c r="D1915" s="4" t="s">
        <v>30</v>
      </c>
      <c r="E1915" s="4">
        <v>42</v>
      </c>
      <c r="F1915" s="4">
        <v>10307.01</v>
      </c>
      <c r="G1915" s="4">
        <v>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spans="1:21" ht="12" customHeight="1">
      <c r="A1916" s="4">
        <v>885</v>
      </c>
      <c r="B1916" s="4">
        <v>6368</v>
      </c>
      <c r="C1916" s="5">
        <f>DATE(2012,12,31)-1408</f>
        <v>39866</v>
      </c>
      <c r="D1916" s="4" t="s">
        <v>45</v>
      </c>
      <c r="E1916" s="4">
        <v>40</v>
      </c>
      <c r="F1916" s="4">
        <v>19100.45</v>
      </c>
      <c r="G1916" s="4">
        <v>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0.56000000000000005</v>
      </c>
      <c r="U1916" s="5">
        <f>C1916+0</f>
        <v>39866</v>
      </c>
    </row>
    <row r="1917" spans="1:21" ht="12" customHeight="1">
      <c r="A1917" s="4">
        <v>1024</v>
      </c>
      <c r="B1917" s="4">
        <v>7461</v>
      </c>
      <c r="C1917" s="5">
        <f t="shared" ref="C1917:C1919" si="804">DATE(2012,12,31)-1449</f>
        <v>39825</v>
      </c>
      <c r="D1917" s="4" t="s">
        <v>21</v>
      </c>
      <c r="E1917" s="4">
        <v>12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0.55000000000000004</v>
      </c>
      <c r="U1917" s="5">
        <f>C1917+2</f>
        <v>39827</v>
      </c>
    </row>
    <row r="1918" spans="1:21" ht="12" customHeight="1">
      <c r="A1918" s="4">
        <v>1025</v>
      </c>
      <c r="B1918" s="4">
        <v>7461</v>
      </c>
      <c r="C1918" s="5">
        <f t="shared" si="804"/>
        <v>39825</v>
      </c>
      <c r="D1918" s="4" t="s">
        <v>21</v>
      </c>
      <c r="E1918" s="4">
        <v>28</v>
      </c>
      <c r="F1918" s="4">
        <v>260.79000000000002</v>
      </c>
      <c r="G1918" s="4">
        <v>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5">C1918+4</f>
        <v>39829</v>
      </c>
    </row>
    <row r="1919" spans="1:21" ht="12" customHeight="1">
      <c r="A1919" s="4">
        <v>1026</v>
      </c>
      <c r="B1919" s="4">
        <v>7461</v>
      </c>
      <c r="C1919" s="5">
        <f t="shared" si="804"/>
        <v>39825</v>
      </c>
      <c r="D1919" s="4" t="s">
        <v>21</v>
      </c>
      <c r="E1919" s="4">
        <v>44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5"/>
        <v>39829</v>
      </c>
    </row>
    <row r="1920" spans="1:21" ht="12" customHeight="1">
      <c r="A1920" s="4">
        <v>1400</v>
      </c>
      <c r="B1920" s="4">
        <v>10148</v>
      </c>
      <c r="C1920" s="5">
        <f>DATE(2012,12,31)-1377</f>
        <v>39897</v>
      </c>
      <c r="D1920" s="4" t="s">
        <v>21</v>
      </c>
      <c r="E1920" s="4">
        <v>27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spans="1:21" ht="12" customHeight="1">
      <c r="A1921" s="4">
        <v>2324</v>
      </c>
      <c r="B1921" s="4">
        <v>16768</v>
      </c>
      <c r="C1921" s="5">
        <f>DATE(2012,12,31)-1255</f>
        <v>40019</v>
      </c>
      <c r="D1921" s="4" t="s">
        <v>30</v>
      </c>
      <c r="E1921" s="4">
        <v>9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spans="1:21" ht="12" customHeight="1">
      <c r="A1922" s="4">
        <v>2390</v>
      </c>
      <c r="B1922" s="4">
        <v>17313</v>
      </c>
      <c r="C1922" s="5">
        <f>DATE(2012,12,31)-1334</f>
        <v>39940</v>
      </c>
      <c r="D1922" s="4" t="s">
        <v>30</v>
      </c>
      <c r="E1922" s="4">
        <v>27</v>
      </c>
      <c r="F1922" s="4">
        <v>130.49</v>
      </c>
      <c r="G1922" s="4">
        <v>7.0000000000000007E-2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spans="1:21" ht="12" customHeight="1">
      <c r="A1923" s="4">
        <v>2664</v>
      </c>
      <c r="B1923" s="4">
        <v>19234</v>
      </c>
      <c r="C1923" s="5">
        <f>DATE(2012,12,31)-1437</f>
        <v>39837</v>
      </c>
      <c r="D1923" s="4" t="s">
        <v>30</v>
      </c>
      <c r="E1923" s="4">
        <v>24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spans="1:21" ht="12" customHeight="1">
      <c r="A1924" s="4">
        <v>2928</v>
      </c>
      <c r="B1924" s="4">
        <v>21222</v>
      </c>
      <c r="C1924" s="5">
        <f t="shared" ref="C1924:C1925" si="806">DATE(2012,12,31)-1427</f>
        <v>39847</v>
      </c>
      <c r="D1924" s="4" t="s">
        <v>45</v>
      </c>
      <c r="E1924" s="4">
        <v>36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7">C1924+2</f>
        <v>39849</v>
      </c>
    </row>
    <row r="1925" spans="1:21" ht="12" customHeight="1">
      <c r="A1925" s="4">
        <v>2929</v>
      </c>
      <c r="B1925" s="4">
        <v>21222</v>
      </c>
      <c r="C1925" s="5">
        <f t="shared" si="806"/>
        <v>39847</v>
      </c>
      <c r="D1925" s="4" t="s">
        <v>45</v>
      </c>
      <c r="E1925" s="4">
        <v>26</v>
      </c>
      <c r="F1925" s="4">
        <v>846.08150000000001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7"/>
        <v>39849</v>
      </c>
    </row>
    <row r="1926" spans="1:21" ht="12" customHeight="1">
      <c r="A1926" s="4">
        <v>3166</v>
      </c>
      <c r="B1926" s="4">
        <v>22755</v>
      </c>
      <c r="C1926" s="5">
        <f t="shared" ref="C1926:C1928" si="808">DATE(2012,12,31)-1372</f>
        <v>39902</v>
      </c>
      <c r="D1926" s="4" t="s">
        <v>63</v>
      </c>
      <c r="E1926" s="4">
        <v>35</v>
      </c>
      <c r="F1926" s="4">
        <v>187.84</v>
      </c>
      <c r="G1926" s="4">
        <v>0</v>
      </c>
      <c r="H1926" s="4" t="s">
        <v>22</v>
      </c>
      <c r="I1926" s="6">
        <v>-95.047499999999999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spans="1:21" ht="12" customHeight="1">
      <c r="A1927" s="4">
        <v>3167</v>
      </c>
      <c r="B1927" s="4">
        <v>22755</v>
      </c>
      <c r="C1927" s="5">
        <f t="shared" si="808"/>
        <v>39902</v>
      </c>
      <c r="D1927" s="4" t="s">
        <v>63</v>
      </c>
      <c r="E1927" s="4">
        <v>45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09">C1927+2</f>
        <v>39904</v>
      </c>
    </row>
    <row r="1928" spans="1:21" ht="12" customHeight="1">
      <c r="A1928" s="4">
        <v>3168</v>
      </c>
      <c r="B1928" s="4">
        <v>22755</v>
      </c>
      <c r="C1928" s="5">
        <f t="shared" si="808"/>
        <v>39902</v>
      </c>
      <c r="D1928" s="4" t="s">
        <v>63</v>
      </c>
      <c r="E1928" s="4">
        <v>5</v>
      </c>
      <c r="F1928" s="4">
        <v>236.87799999999999</v>
      </c>
      <c r="G1928" s="4">
        <v>0.06</v>
      </c>
      <c r="H1928" s="4" t="s">
        <v>22</v>
      </c>
      <c r="I1928" s="6">
        <v>-275.25299999999999</v>
      </c>
      <c r="J1928" s="4">
        <v>55.99</v>
      </c>
      <c r="K1928" s="4">
        <v>5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09"/>
        <v>39904</v>
      </c>
    </row>
    <row r="1929" spans="1:21" ht="12" customHeight="1">
      <c r="A1929" s="4">
        <v>3222</v>
      </c>
      <c r="B1929" s="4">
        <v>23136</v>
      </c>
      <c r="C1929" s="5">
        <f t="shared" ref="C1929:C1930" si="810">DATE(2012,12,31)-1193</f>
        <v>40081</v>
      </c>
      <c r="D1929" s="4" t="s">
        <v>45</v>
      </c>
      <c r="E1929" s="4">
        <v>41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18.059999999999999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0.56999999999999995</v>
      </c>
      <c r="U1929" s="5">
        <f t="shared" ref="U1929:U1931" si="811">C1929+1</f>
        <v>40082</v>
      </c>
    </row>
    <row r="1930" spans="1:21" ht="12" customHeight="1">
      <c r="A1930" s="4">
        <v>3223</v>
      </c>
      <c r="B1930" s="4">
        <v>23136</v>
      </c>
      <c r="C1930" s="5">
        <f t="shared" si="810"/>
        <v>40081</v>
      </c>
      <c r="D1930" s="4" t="s">
        <v>45</v>
      </c>
      <c r="E1930" s="4">
        <v>43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4.9800000000000004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1"/>
        <v>40082</v>
      </c>
    </row>
    <row r="1931" spans="1:21" ht="12" customHeight="1">
      <c r="A1931" s="4">
        <v>3692</v>
      </c>
      <c r="B1931" s="4">
        <v>26374</v>
      </c>
      <c r="C1931" s="5">
        <f>DATE(2012,12,31)-1152</f>
        <v>40122</v>
      </c>
      <c r="D1931" s="4" t="s">
        <v>45</v>
      </c>
      <c r="E1931" s="4">
        <v>5</v>
      </c>
      <c r="F1931" s="4">
        <v>90.941499999999991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1"/>
        <v>40123</v>
      </c>
    </row>
    <row r="1932" spans="1:21" ht="12" customHeight="1">
      <c r="A1932" s="4">
        <v>3771</v>
      </c>
      <c r="B1932" s="4">
        <v>26944</v>
      </c>
      <c r="C1932" s="5">
        <f>DATE(2012,12,31)-1150</f>
        <v>40124</v>
      </c>
      <c r="D1932" s="4" t="s">
        <v>78</v>
      </c>
      <c r="E1932" s="4">
        <v>6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spans="1:21" ht="12" customHeight="1">
      <c r="A1933" s="4">
        <v>3791</v>
      </c>
      <c r="B1933" s="4">
        <v>27013</v>
      </c>
      <c r="C1933" s="5">
        <f t="shared" ref="C1933:C1934" si="812">DATE(2012,12,31)-1275</f>
        <v>39999</v>
      </c>
      <c r="D1933" s="4" t="s">
        <v>21</v>
      </c>
      <c r="E1933" s="4">
        <v>28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spans="1:21" ht="12" customHeight="1">
      <c r="A1934" s="4">
        <v>3792</v>
      </c>
      <c r="B1934" s="4">
        <v>27013</v>
      </c>
      <c r="C1934" s="5">
        <f t="shared" si="812"/>
        <v>39999</v>
      </c>
      <c r="D1934" s="4" t="s">
        <v>21</v>
      </c>
      <c r="E1934" s="4">
        <v>26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spans="1:21" ht="12" customHeight="1">
      <c r="A1935" s="4">
        <v>4196</v>
      </c>
      <c r="B1935" s="4">
        <v>29826</v>
      </c>
      <c r="C1935" s="5">
        <f>DATE(2012,12,31)-1194</f>
        <v>40080</v>
      </c>
      <c r="D1935" s="4" t="s">
        <v>78</v>
      </c>
      <c r="E1935" s="4">
        <v>9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3">C1935+1</f>
        <v>40081</v>
      </c>
    </row>
    <row r="1936" spans="1:21" ht="12" customHeight="1">
      <c r="A1936" s="4">
        <v>4329</v>
      </c>
      <c r="B1936" s="4">
        <v>30852</v>
      </c>
      <c r="C1936" s="5">
        <f>DATE(2012,12,31)-1327</f>
        <v>39947</v>
      </c>
      <c r="D1936" s="4" t="s">
        <v>78</v>
      </c>
      <c r="E1936" s="4">
        <v>35</v>
      </c>
      <c r="F1936" s="4">
        <v>2827.1424999999999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4.9000000000000004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0.56000000000000005</v>
      </c>
      <c r="U1936" s="5">
        <f t="shared" si="813"/>
        <v>39948</v>
      </c>
    </row>
    <row r="1937" spans="1:21" ht="12" customHeight="1">
      <c r="A1937" s="4">
        <v>4824</v>
      </c>
      <c r="B1937" s="4">
        <v>34275</v>
      </c>
      <c r="C1937" s="5">
        <f>DATE(2012,12,31)-1279</f>
        <v>39995</v>
      </c>
      <c r="D1937" s="4" t="s">
        <v>21</v>
      </c>
      <c r="E1937" s="4">
        <v>3</v>
      </c>
      <c r="F1937" s="4">
        <v>6041.01</v>
      </c>
      <c r="G1937" s="4">
        <v>0.04</v>
      </c>
      <c r="H1937" s="4" t="s">
        <v>31</v>
      </c>
      <c r="I1937" s="6">
        <v>-4793.0039999999999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0.55000000000000004</v>
      </c>
      <c r="U1937" s="5">
        <f>C1937+5</f>
        <v>40000</v>
      </c>
    </row>
    <row r="1938" spans="1:21" ht="12" customHeight="1">
      <c r="A1938" s="4">
        <v>5378</v>
      </c>
      <c r="B1938" s="4">
        <v>38240</v>
      </c>
      <c r="C1938" s="5">
        <f>DATE(2012,12,31)-1108</f>
        <v>40166</v>
      </c>
      <c r="D1938" s="4" t="s">
        <v>30</v>
      </c>
      <c r="E1938" s="4">
        <v>42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4">C1938+2</f>
        <v>40168</v>
      </c>
    </row>
    <row r="1939" spans="1:21" ht="12" customHeight="1">
      <c r="A1939" s="4">
        <v>5620</v>
      </c>
      <c r="B1939" s="4">
        <v>39812</v>
      </c>
      <c r="C1939" s="5">
        <f>DATE(2012,12,31)-1290</f>
        <v>39984</v>
      </c>
      <c r="D1939" s="4" t="s">
        <v>45</v>
      </c>
      <c r="E1939" s="4">
        <v>40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8.0399999999999991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4"/>
        <v>39986</v>
      </c>
    </row>
    <row r="1940" spans="1:21" ht="12" customHeight="1">
      <c r="A1940" s="4">
        <v>6296</v>
      </c>
      <c r="B1940" s="4">
        <v>44576</v>
      </c>
      <c r="C1940" s="5">
        <f>DATE(2012,12,31)-1102</f>
        <v>40172</v>
      </c>
      <c r="D1940" s="4" t="s">
        <v>45</v>
      </c>
      <c r="E1940" s="4">
        <v>30</v>
      </c>
      <c r="F1940" s="4">
        <v>1653.607</v>
      </c>
      <c r="G1940" s="4">
        <v>0.02</v>
      </c>
      <c r="H1940" s="4" t="s">
        <v>22</v>
      </c>
      <c r="I1940" s="6">
        <v>294.96600000000001</v>
      </c>
      <c r="J1940" s="4">
        <v>65.989999999999995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0.56999999999999995</v>
      </c>
      <c r="U1940" s="5">
        <f>C1940+1</f>
        <v>40173</v>
      </c>
    </row>
    <row r="1941" spans="1:21" ht="12" customHeight="1">
      <c r="A1941" s="4">
        <v>6327</v>
      </c>
      <c r="B1941" s="4">
        <v>44834</v>
      </c>
      <c r="C1941" s="5">
        <f t="shared" ref="C1941:C1942" si="815">DATE(2012,12,31)-1351</f>
        <v>39923</v>
      </c>
      <c r="D1941" s="4" t="s">
        <v>63</v>
      </c>
      <c r="E1941" s="4">
        <v>13</v>
      </c>
      <c r="F1941" s="4">
        <v>248.76</v>
      </c>
      <c r="G1941" s="4">
        <v>0.1</v>
      </c>
      <c r="H1941" s="4" t="s">
        <v>56</v>
      </c>
      <c r="I1941" s="6">
        <v>35.090000000000003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spans="1:21" ht="12" customHeight="1">
      <c r="A1942" s="4">
        <v>6328</v>
      </c>
      <c r="B1942" s="4">
        <v>44834</v>
      </c>
      <c r="C1942" s="5">
        <f t="shared" si="815"/>
        <v>39923</v>
      </c>
      <c r="D1942" s="4" t="s">
        <v>63</v>
      </c>
      <c r="E1942" s="4">
        <v>43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259.70999999999998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6">C1942+1</f>
        <v>39924</v>
      </c>
    </row>
    <row r="1943" spans="1:21" ht="12" customHeight="1">
      <c r="A1943" s="4">
        <v>7251</v>
      </c>
      <c r="B1943" s="4">
        <v>51714</v>
      </c>
      <c r="C1943" s="5">
        <f>DATE(2012,12,31)-1213</f>
        <v>40061</v>
      </c>
      <c r="D1943" s="4" t="s">
        <v>45</v>
      </c>
      <c r="E1943" s="4">
        <v>33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6"/>
        <v>40062</v>
      </c>
    </row>
    <row r="1944" spans="1:21" ht="12" customHeight="1">
      <c r="A1944" s="4">
        <v>7264</v>
      </c>
      <c r="B1944" s="4">
        <v>51815</v>
      </c>
      <c r="C1944" s="5">
        <f t="shared" ref="C1944:C1945" si="817">DATE(2012,12,31)-1315</f>
        <v>39959</v>
      </c>
      <c r="D1944" s="4" t="s">
        <v>21</v>
      </c>
      <c r="E1944" s="4">
        <v>37</v>
      </c>
      <c r="F1944" s="4">
        <v>227.5</v>
      </c>
      <c r="G1944" s="4">
        <v>0.01</v>
      </c>
      <c r="H1944" s="4" t="s">
        <v>22</v>
      </c>
      <c r="I1944" s="6">
        <v>-256.51900000000001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spans="1:21" ht="12" customHeight="1">
      <c r="A1945" s="4">
        <v>7265</v>
      </c>
      <c r="B1945" s="4">
        <v>51815</v>
      </c>
      <c r="C1945" s="5">
        <f t="shared" si="817"/>
        <v>39959</v>
      </c>
      <c r="D1945" s="4" t="s">
        <v>21</v>
      </c>
      <c r="E1945" s="4">
        <v>21</v>
      </c>
      <c r="F1945" s="4">
        <v>2292.1015000000002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spans="1:21" ht="12" customHeight="1">
      <c r="A1946" s="4">
        <v>8060</v>
      </c>
      <c r="B1946" s="4">
        <v>57511</v>
      </c>
      <c r="C1946" s="5">
        <f t="shared" ref="C1946:C1947" si="818">DATE(2012,12,31)-1182</f>
        <v>40092</v>
      </c>
      <c r="D1946" s="4" t="s">
        <v>78</v>
      </c>
      <c r="E1946" s="4">
        <v>32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spans="1:21" ht="12" customHeight="1">
      <c r="A1947" s="4">
        <v>8061</v>
      </c>
      <c r="B1947" s="4">
        <v>57511</v>
      </c>
      <c r="C1947" s="5">
        <f t="shared" si="818"/>
        <v>40092</v>
      </c>
      <c r="D1947" s="4" t="s">
        <v>78</v>
      </c>
      <c r="E1947" s="4">
        <v>11</v>
      </c>
      <c r="F1947" s="4">
        <v>569.63599999999997</v>
      </c>
      <c r="G1947" s="4">
        <v>0</v>
      </c>
      <c r="H1947" s="4" t="s">
        <v>22</v>
      </c>
      <c r="I1947" s="6">
        <v>-173.25</v>
      </c>
      <c r="J1947" s="4">
        <v>55.99</v>
      </c>
      <c r="K1947" s="4">
        <v>5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spans="1:21" ht="12" customHeight="1">
      <c r="A1948" s="4">
        <v>8219</v>
      </c>
      <c r="B1948" s="4">
        <v>58759</v>
      </c>
      <c r="C1948" s="5">
        <f>DATE(2012,12,31)-1440</f>
        <v>39834</v>
      </c>
      <c r="D1948" s="4" t="s">
        <v>21</v>
      </c>
      <c r="E1948" s="4">
        <v>4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spans="1:21" ht="12" customHeight="1">
      <c r="A1949" s="4">
        <v>437</v>
      </c>
      <c r="B1949" s="4">
        <v>2915</v>
      </c>
      <c r="C1949" s="5">
        <f t="shared" ref="C1949:C1950" si="819">DATE(2012,12,31)-1372</f>
        <v>39902</v>
      </c>
      <c r="D1949" s="4" t="s">
        <v>21</v>
      </c>
      <c r="E1949" s="4">
        <v>41</v>
      </c>
      <c r="F1949" s="4">
        <v>231.26</v>
      </c>
      <c r="G1949" s="4">
        <v>7.0000000000000007E-2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spans="1:21" ht="12" customHeight="1">
      <c r="A1950" s="4">
        <v>438</v>
      </c>
      <c r="B1950" s="4">
        <v>2915</v>
      </c>
      <c r="C1950" s="5">
        <f t="shared" si="819"/>
        <v>39902</v>
      </c>
      <c r="D1950" s="4" t="s">
        <v>21</v>
      </c>
      <c r="E1950" s="4">
        <v>23</v>
      </c>
      <c r="F1950" s="4">
        <v>987.17</v>
      </c>
      <c r="G1950" s="4">
        <v>0.01</v>
      </c>
      <c r="H1950" s="4" t="s">
        <v>22</v>
      </c>
      <c r="I1950" s="6">
        <v>51.590000000000053</v>
      </c>
      <c r="J1950" s="4">
        <v>39.979999999999997</v>
      </c>
      <c r="K1950" s="4">
        <v>4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spans="1:21" ht="12" customHeight="1">
      <c r="A1951" s="4">
        <v>628</v>
      </c>
      <c r="B1951" s="4">
        <v>4389</v>
      </c>
      <c r="C1951" s="5">
        <f t="shared" ref="C1951:C1953" si="820">DATE(2012,12,31)-1337</f>
        <v>39937</v>
      </c>
      <c r="D1951" s="4" t="s">
        <v>63</v>
      </c>
      <c r="E1951" s="4">
        <v>35</v>
      </c>
      <c r="F1951" s="4">
        <v>179.45</v>
      </c>
      <c r="G1951" s="4">
        <v>7.0000000000000007E-2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spans="1:21" ht="12" customHeight="1">
      <c r="A1952" s="4">
        <v>629</v>
      </c>
      <c r="B1952" s="4">
        <v>4389</v>
      </c>
      <c r="C1952" s="5">
        <f t="shared" si="820"/>
        <v>39937</v>
      </c>
      <c r="D1952" s="4" t="s">
        <v>63</v>
      </c>
      <c r="E1952" s="4">
        <v>49</v>
      </c>
      <c r="F1952" s="4">
        <v>7987.43</v>
      </c>
      <c r="G1952" s="4">
        <v>0.03</v>
      </c>
      <c r="H1952" s="4" t="s">
        <v>31</v>
      </c>
      <c r="I1952" s="6">
        <v>1304.9000000000001</v>
      </c>
      <c r="J1952" s="4">
        <v>160.97999999999999</v>
      </c>
      <c r="K1952" s="4">
        <v>30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spans="1:21" ht="12" customHeight="1">
      <c r="A1953" s="4">
        <v>630</v>
      </c>
      <c r="B1953" s="4">
        <v>4389</v>
      </c>
      <c r="C1953" s="5">
        <f t="shared" si="820"/>
        <v>39937</v>
      </c>
      <c r="D1953" s="4" t="s">
        <v>63</v>
      </c>
      <c r="E1953" s="4">
        <v>42</v>
      </c>
      <c r="F1953" s="4">
        <v>2455.2759999999998</v>
      </c>
      <c r="G1953" s="4">
        <v>0.04</v>
      </c>
      <c r="H1953" s="4" t="s">
        <v>56</v>
      </c>
      <c r="I1953" s="6">
        <v>693.0630000000001</v>
      </c>
      <c r="J1953" s="4">
        <v>65.989999999999995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0.56000000000000005</v>
      </c>
      <c r="U1953" s="5">
        <f>C1953+0</f>
        <v>39937</v>
      </c>
    </row>
    <row r="1954" spans="1:21" ht="12" customHeight="1">
      <c r="A1954" s="4">
        <v>1987</v>
      </c>
      <c r="B1954" s="4">
        <v>14176</v>
      </c>
      <c r="C1954" s="5">
        <f>DATE(2012,12,31)-1390</f>
        <v>39884</v>
      </c>
      <c r="D1954" s="4" t="s">
        <v>21</v>
      </c>
      <c r="E1954" s="4">
        <v>39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spans="1:21" ht="12" customHeight="1">
      <c r="A1955" s="4">
        <v>2106</v>
      </c>
      <c r="B1955" s="4">
        <v>15074</v>
      </c>
      <c r="C1955" s="5">
        <f>DATE(2012,12,31)-1129</f>
        <v>40145</v>
      </c>
      <c r="D1955" s="4" t="s">
        <v>45</v>
      </c>
      <c r="E1955" s="4">
        <v>27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spans="1:21" ht="12" customHeight="1">
      <c r="A1956" s="4">
        <v>3229</v>
      </c>
      <c r="B1956" s="4">
        <v>23170</v>
      </c>
      <c r="C1956" s="5">
        <f>DATE(2012,12,31)-1320</f>
        <v>39954</v>
      </c>
      <c r="D1956" s="4" t="s">
        <v>45</v>
      </c>
      <c r="E1956" s="4">
        <v>20</v>
      </c>
      <c r="F1956" s="4">
        <v>4252.8900000000003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18.059999999999999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0.56999999999999995</v>
      </c>
      <c r="U1956" s="5">
        <f>C1956+2</f>
        <v>39956</v>
      </c>
    </row>
    <row r="1957" spans="1:21" ht="12" customHeight="1">
      <c r="A1957" s="4">
        <v>4660</v>
      </c>
      <c r="B1957" s="4">
        <v>33189</v>
      </c>
      <c r="C1957" s="5">
        <f t="shared" ref="C1957:C1958" si="821">DATE(2012,12,31)-1137</f>
        <v>40137</v>
      </c>
      <c r="D1957" s="4" t="s">
        <v>21</v>
      </c>
      <c r="E1957" s="4">
        <v>3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spans="1:21" ht="12" customHeight="1">
      <c r="A1958" s="4">
        <v>4661</v>
      </c>
      <c r="B1958" s="4">
        <v>33189</v>
      </c>
      <c r="C1958" s="5">
        <f t="shared" si="821"/>
        <v>40137</v>
      </c>
      <c r="D1958" s="4" t="s">
        <v>21</v>
      </c>
      <c r="E1958" s="4">
        <v>5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spans="1:21" ht="12" customHeight="1">
      <c r="A1959" s="4">
        <v>4827</v>
      </c>
      <c r="B1959" s="4">
        <v>34311</v>
      </c>
      <c r="C1959" s="5">
        <f t="shared" ref="C1959:C1960" si="822">DATE(2012,12,31)-1213</f>
        <v>40061</v>
      </c>
      <c r="D1959" s="4" t="s">
        <v>30</v>
      </c>
      <c r="E1959" s="4">
        <v>39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0.56000000000000005</v>
      </c>
      <c r="U1959" s="5">
        <f>C1959+1</f>
        <v>40062</v>
      </c>
    </row>
    <row r="1960" spans="1:21" ht="12" customHeight="1">
      <c r="A1960" s="4">
        <v>4828</v>
      </c>
      <c r="B1960" s="4">
        <v>34311</v>
      </c>
      <c r="C1960" s="5">
        <f t="shared" si="822"/>
        <v>40061</v>
      </c>
      <c r="D1960" s="4" t="s">
        <v>30</v>
      </c>
      <c r="E1960" s="4">
        <v>32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spans="1:21" ht="12" customHeight="1">
      <c r="A1961" s="4">
        <v>5295</v>
      </c>
      <c r="B1961" s="4">
        <v>37700</v>
      </c>
      <c r="C1961" s="5">
        <f>DATE(2012,12,31)-1119</f>
        <v>40155</v>
      </c>
      <c r="D1961" s="4" t="s">
        <v>78</v>
      </c>
      <c r="E1961" s="4">
        <v>27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19.989999999999998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spans="1:21" ht="12" customHeight="1">
      <c r="A1962" s="4">
        <v>5421</v>
      </c>
      <c r="B1962" s="4">
        <v>38529</v>
      </c>
      <c r="C1962" s="5">
        <f>DATE(2012,12,31)-1428</f>
        <v>39846</v>
      </c>
      <c r="D1962" s="4" t="s">
        <v>21</v>
      </c>
      <c r="E1962" s="4">
        <v>38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1.1399999999999999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3">C1962+0</f>
        <v>39846</v>
      </c>
    </row>
    <row r="1963" spans="1:21" ht="12" customHeight="1">
      <c r="A1963" s="4">
        <v>6200</v>
      </c>
      <c r="B1963" s="4">
        <v>43911</v>
      </c>
      <c r="C1963" s="5">
        <f t="shared" ref="C1963:C1965" si="824">DATE(2012,12,31)-1447</f>
        <v>39827</v>
      </c>
      <c r="D1963" s="4" t="s">
        <v>63</v>
      </c>
      <c r="E1963" s="4">
        <v>29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19.989999999999998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3"/>
        <v>39827</v>
      </c>
    </row>
    <row r="1964" spans="1:21" ht="12" customHeight="1">
      <c r="A1964" s="4">
        <v>6201</v>
      </c>
      <c r="B1964" s="4">
        <v>43911</v>
      </c>
      <c r="C1964" s="5">
        <f t="shared" si="824"/>
        <v>39827</v>
      </c>
      <c r="D1964" s="4" t="s">
        <v>63</v>
      </c>
      <c r="E1964" s="4">
        <v>36</v>
      </c>
      <c r="F1964" s="4">
        <v>9920.85</v>
      </c>
      <c r="G1964" s="4">
        <v>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0.57999999999999996</v>
      </c>
      <c r="U1964" s="5">
        <f>C1964+1</f>
        <v>39828</v>
      </c>
    </row>
    <row r="1965" spans="1:21" ht="12" customHeight="1">
      <c r="A1965" s="4">
        <v>6202</v>
      </c>
      <c r="B1965" s="4">
        <v>43911</v>
      </c>
      <c r="C1965" s="5">
        <f t="shared" si="824"/>
        <v>39827</v>
      </c>
      <c r="D1965" s="4" t="s">
        <v>63</v>
      </c>
      <c r="E1965" s="4">
        <v>23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0.56999999999999995</v>
      </c>
      <c r="U1965" s="5">
        <f>C1965+2</f>
        <v>39829</v>
      </c>
    </row>
    <row r="1966" spans="1:21" ht="12" customHeight="1">
      <c r="A1966" s="4">
        <v>6544</v>
      </c>
      <c r="B1966" s="4">
        <v>46533</v>
      </c>
      <c r="C1966" s="5">
        <f t="shared" ref="C1966:C1967" si="825">DATE(2012,12,31)-1181</f>
        <v>40093</v>
      </c>
      <c r="D1966" s="4" t="s">
        <v>30</v>
      </c>
      <c r="E1966" s="4">
        <v>3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spans="1:21" ht="12" customHeight="1">
      <c r="A1967" s="4">
        <v>6545</v>
      </c>
      <c r="B1967" s="4">
        <v>46533</v>
      </c>
      <c r="C1967" s="5">
        <f t="shared" si="825"/>
        <v>40093</v>
      </c>
      <c r="D1967" s="4" t="s">
        <v>30</v>
      </c>
      <c r="E1967" s="4">
        <v>12</v>
      </c>
      <c r="F1967" s="4">
        <v>654.87400000000002</v>
      </c>
      <c r="G1967" s="4">
        <v>0.1</v>
      </c>
      <c r="H1967" s="4" t="s">
        <v>56</v>
      </c>
      <c r="I1967" s="6">
        <v>-82.06</v>
      </c>
      <c r="J1967" s="4">
        <v>65.989999999999995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6">C1967+2</f>
        <v>40095</v>
      </c>
    </row>
    <row r="1968" spans="1:21" ht="12" customHeight="1">
      <c r="A1968" s="4">
        <v>6876</v>
      </c>
      <c r="B1968" s="4">
        <v>48998</v>
      </c>
      <c r="C1968" s="5">
        <f>DATE(2012,12,31)-1414</f>
        <v>39860</v>
      </c>
      <c r="D1968" s="4" t="s">
        <v>21</v>
      </c>
      <c r="E1968" s="4">
        <v>15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6"/>
        <v>39862</v>
      </c>
    </row>
    <row r="1969" spans="1:21" ht="12" customHeight="1">
      <c r="A1969" s="4">
        <v>7282</v>
      </c>
      <c r="B1969" s="4">
        <v>51968</v>
      </c>
      <c r="C1969" s="5">
        <f>DATE(2012,12,31)-1213</f>
        <v>40061</v>
      </c>
      <c r="D1969" s="4" t="s">
        <v>63</v>
      </c>
      <c r="E1969" s="4">
        <v>43</v>
      </c>
      <c r="F1969" s="4">
        <v>3231.5639999999999</v>
      </c>
      <c r="G1969" s="4">
        <v>0.03</v>
      </c>
      <c r="H1969" s="4" t="s">
        <v>22</v>
      </c>
      <c r="I1969" s="6">
        <v>1166.0940000000001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0.55000000000000004</v>
      </c>
      <c r="U1969" s="5">
        <f>C1969+1</f>
        <v>40062</v>
      </c>
    </row>
    <row r="1970" spans="1:21" ht="12" customHeight="1">
      <c r="A1970" s="4">
        <v>7594</v>
      </c>
      <c r="B1970" s="4">
        <v>54342</v>
      </c>
      <c r="C1970" s="5">
        <f t="shared" ref="C1970:C1971" si="827">DATE(2012,12,31)-1302</f>
        <v>39972</v>
      </c>
      <c r="D1970" s="4" t="s">
        <v>21</v>
      </c>
      <c r="E1970" s="4">
        <v>35</v>
      </c>
      <c r="F1970" s="4">
        <v>3439.39</v>
      </c>
      <c r="G1970" s="4">
        <v>0.05</v>
      </c>
      <c r="H1970" s="4" t="s">
        <v>56</v>
      </c>
      <c r="I1970" s="6">
        <v>1057.6199999999999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8">C1970+0</f>
        <v>39972</v>
      </c>
    </row>
    <row r="1971" spans="1:21" ht="12" customHeight="1">
      <c r="A1971" s="4">
        <v>7595</v>
      </c>
      <c r="B1971" s="4">
        <v>54342</v>
      </c>
      <c r="C1971" s="5">
        <f t="shared" si="827"/>
        <v>39972</v>
      </c>
      <c r="D1971" s="4" t="s">
        <v>21</v>
      </c>
      <c r="E1971" s="4">
        <v>2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8"/>
        <v>39972</v>
      </c>
    </row>
    <row r="1972" spans="1:21" ht="12" customHeight="1">
      <c r="A1972" s="4">
        <v>7664</v>
      </c>
      <c r="B1972" s="4">
        <v>54949</v>
      </c>
      <c r="C1972" s="5">
        <f t="shared" ref="C1972:C1973" si="829">DATE(2012,12,31)-1239</f>
        <v>40035</v>
      </c>
      <c r="D1972" s="4" t="s">
        <v>21</v>
      </c>
      <c r="E1972" s="4">
        <v>32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spans="1:21" ht="12" customHeight="1">
      <c r="A1973" s="4">
        <v>7665</v>
      </c>
      <c r="B1973" s="4">
        <v>54949</v>
      </c>
      <c r="C1973" s="5">
        <f t="shared" si="829"/>
        <v>40035</v>
      </c>
      <c r="D1973" s="4" t="s">
        <v>21</v>
      </c>
      <c r="E1973" s="4">
        <v>7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spans="1:21" ht="12" customHeight="1">
      <c r="A1974" s="4">
        <v>1733</v>
      </c>
      <c r="B1974" s="4">
        <v>12450</v>
      </c>
      <c r="C1974" s="5">
        <f>DATE(2012,12,31)-1390</f>
        <v>39884</v>
      </c>
      <c r="D1974" s="4" t="s">
        <v>45</v>
      </c>
      <c r="E1974" s="4">
        <v>15</v>
      </c>
      <c r="F1974" s="4">
        <v>1146.4100000000001</v>
      </c>
      <c r="G1974" s="4">
        <v>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spans="1:21" ht="12" customHeight="1">
      <c r="A1975" s="4">
        <v>3762</v>
      </c>
      <c r="B1975" s="4">
        <v>26881</v>
      </c>
      <c r="C1975" s="5">
        <f>DATE(2012,12,31)-1248</f>
        <v>40026</v>
      </c>
      <c r="D1975" s="4" t="s">
        <v>21</v>
      </c>
      <c r="E1975" s="4">
        <v>26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spans="1:21" ht="12" customHeight="1">
      <c r="A1976" s="4">
        <v>4462</v>
      </c>
      <c r="B1976" s="4">
        <v>31810</v>
      </c>
      <c r="C1976" s="5">
        <f>DATE(2012,12,31)-1320</f>
        <v>39954</v>
      </c>
      <c r="D1976" s="4" t="s">
        <v>78</v>
      </c>
      <c r="E1976" s="4">
        <v>46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spans="1:21" ht="12" customHeight="1">
      <c r="A1977" s="4">
        <v>5890</v>
      </c>
      <c r="B1977" s="4">
        <v>41793</v>
      </c>
      <c r="C1977" s="5">
        <f>DATE(2012,12,31)-1326</f>
        <v>39948</v>
      </c>
      <c r="D1977" s="4" t="s">
        <v>30</v>
      </c>
      <c r="E1977" s="4">
        <v>48</v>
      </c>
      <c r="F1977" s="4">
        <v>1286.8699999999999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0">C1977+1</f>
        <v>39949</v>
      </c>
    </row>
    <row r="1978" spans="1:21" ht="12" customHeight="1">
      <c r="A1978" s="4">
        <v>6062</v>
      </c>
      <c r="B1978" s="4">
        <v>42949</v>
      </c>
      <c r="C1978" s="5">
        <f t="shared" ref="C1978:C1979" si="831">DATE(2012,12,31)-1320</f>
        <v>39954</v>
      </c>
      <c r="D1978" s="4" t="s">
        <v>45</v>
      </c>
      <c r="E1978" s="4">
        <v>40</v>
      </c>
      <c r="F1978" s="4">
        <v>202.11</v>
      </c>
      <c r="G1978" s="4">
        <v>0.08</v>
      </c>
      <c r="H1978" s="4" t="s">
        <v>22</v>
      </c>
      <c r="I1978" s="6">
        <v>-17.489999999999998</v>
      </c>
      <c r="J1978" s="4">
        <v>5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0"/>
        <v>39955</v>
      </c>
    </row>
    <row r="1979" spans="1:21" ht="12" customHeight="1">
      <c r="A1979" s="4">
        <v>6063</v>
      </c>
      <c r="B1979" s="4">
        <v>42949</v>
      </c>
      <c r="C1979" s="5">
        <f t="shared" si="831"/>
        <v>39954</v>
      </c>
      <c r="D1979" s="4" t="s">
        <v>45</v>
      </c>
      <c r="E1979" s="4">
        <v>49</v>
      </c>
      <c r="F1979" s="4">
        <v>630.99</v>
      </c>
      <c r="G1979" s="4">
        <v>7.0000000000000007E-2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2">C1979+2</f>
        <v>39956</v>
      </c>
    </row>
    <row r="1980" spans="1:21" ht="12" customHeight="1">
      <c r="A1980" s="4">
        <v>6075</v>
      </c>
      <c r="B1980" s="4">
        <v>43044</v>
      </c>
      <c r="C1980" s="5">
        <f t="shared" ref="C1980:C1981" si="833">DATE(2012,12,31)-1171</f>
        <v>40103</v>
      </c>
      <c r="D1980" s="4" t="s">
        <v>63</v>
      </c>
      <c r="E1980" s="4">
        <v>23</v>
      </c>
      <c r="F1980" s="4">
        <v>103.5</v>
      </c>
      <c r="G1980" s="4">
        <v>0.06</v>
      </c>
      <c r="H1980" s="4" t="s">
        <v>22</v>
      </c>
      <c r="I1980" s="6">
        <v>-73.070999999999998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2"/>
        <v>40105</v>
      </c>
    </row>
    <row r="1981" spans="1:21" ht="12" customHeight="1">
      <c r="A1981" s="4">
        <v>6076</v>
      </c>
      <c r="B1981" s="4">
        <v>43044</v>
      </c>
      <c r="C1981" s="5">
        <f t="shared" si="833"/>
        <v>40103</v>
      </c>
      <c r="D1981" s="4" t="s">
        <v>63</v>
      </c>
      <c r="E1981" s="4">
        <v>3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2"/>
        <v>40105</v>
      </c>
    </row>
    <row r="1982" spans="1:21" ht="12" customHeight="1">
      <c r="A1982" s="4">
        <v>6793</v>
      </c>
      <c r="B1982" s="4">
        <v>48416</v>
      </c>
      <c r="C1982" s="5">
        <f>DATE(2012,12,31)-1274</f>
        <v>40000</v>
      </c>
      <c r="D1982" s="4" t="s">
        <v>45</v>
      </c>
      <c r="E1982" s="4">
        <v>23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2"/>
        <v>40002</v>
      </c>
    </row>
    <row r="1983" spans="1:21" ht="12" customHeight="1">
      <c r="A1983" s="4">
        <v>8391</v>
      </c>
      <c r="B1983" s="4">
        <v>59942</v>
      </c>
      <c r="C1983" s="5">
        <f>DATE(2012,12,31)-1422</f>
        <v>39852</v>
      </c>
      <c r="D1983" s="4" t="s">
        <v>63</v>
      </c>
      <c r="E1983" s="4">
        <v>47</v>
      </c>
      <c r="F1983" s="4">
        <v>714.46</v>
      </c>
      <c r="G1983" s="4">
        <v>7.0000000000000007E-2</v>
      </c>
      <c r="H1983" s="4" t="s">
        <v>22</v>
      </c>
      <c r="I1983" s="6">
        <v>-268.64999999999998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2"/>
        <v>39854</v>
      </c>
    </row>
    <row r="1984" spans="1:21" ht="12" customHeight="1">
      <c r="A1984" s="4">
        <v>2789</v>
      </c>
      <c r="B1984" s="4">
        <v>20128</v>
      </c>
      <c r="C1984" s="5">
        <f t="shared" ref="C1984:C1985" si="834">DATE(2012,12,31)-1218</f>
        <v>40056</v>
      </c>
      <c r="D1984" s="4" t="s">
        <v>45</v>
      </c>
      <c r="E1984" s="4">
        <v>32</v>
      </c>
      <c r="F1984" s="4">
        <v>279.43</v>
      </c>
      <c r="G1984" s="4">
        <v>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2"/>
        <v>40058</v>
      </c>
    </row>
    <row r="1985" spans="1:21" ht="12" customHeight="1">
      <c r="A1985" s="4">
        <v>2790</v>
      </c>
      <c r="B1985" s="4">
        <v>20128</v>
      </c>
      <c r="C1985" s="5">
        <f t="shared" si="834"/>
        <v>40056</v>
      </c>
      <c r="D1985" s="4" t="s">
        <v>45</v>
      </c>
      <c r="E1985" s="4">
        <v>5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19.989999999999998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2"/>
        <v>40058</v>
      </c>
    </row>
    <row r="1986" spans="1:21" ht="12" customHeight="1">
      <c r="A1986" s="4">
        <v>4355</v>
      </c>
      <c r="B1986" s="4">
        <v>31043</v>
      </c>
      <c r="C1986" s="5">
        <f t="shared" ref="C1986:C1987" si="835">DATE(2012,12,31)-1265</f>
        <v>40009</v>
      </c>
      <c r="D1986" s="4" t="s">
        <v>30</v>
      </c>
      <c r="E1986" s="4">
        <v>49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6">C1986+1</f>
        <v>40010</v>
      </c>
    </row>
    <row r="1987" spans="1:21" ht="12" customHeight="1">
      <c r="A1987" s="4">
        <v>4356</v>
      </c>
      <c r="B1987" s="4">
        <v>31043</v>
      </c>
      <c r="C1987" s="5">
        <f t="shared" si="835"/>
        <v>40009</v>
      </c>
      <c r="D1987" s="4" t="s">
        <v>30</v>
      </c>
      <c r="E1987" s="4">
        <v>3</v>
      </c>
      <c r="F1987" s="4">
        <v>221.4675</v>
      </c>
      <c r="G1987" s="4">
        <v>0</v>
      </c>
      <c r="H1987" s="4" t="s">
        <v>22</v>
      </c>
      <c r="I1987" s="6">
        <v>-302.22500000000002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6"/>
        <v>40010</v>
      </c>
    </row>
    <row r="1988" spans="1:21" ht="12" customHeight="1">
      <c r="A1988" s="4">
        <v>4547</v>
      </c>
      <c r="B1988" s="4">
        <v>32355</v>
      </c>
      <c r="C1988" s="5">
        <f t="shared" ref="C1988:C1989" si="837">DATE(2012,12,31)-1321</f>
        <v>39953</v>
      </c>
      <c r="D1988" s="4" t="s">
        <v>45</v>
      </c>
      <c r="E1988" s="4">
        <v>34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spans="1:21" ht="12" customHeight="1">
      <c r="A1989" s="4">
        <v>4548</v>
      </c>
      <c r="B1989" s="4">
        <v>32355</v>
      </c>
      <c r="C1989" s="5">
        <f t="shared" si="837"/>
        <v>39953</v>
      </c>
      <c r="D1989" s="4" t="s">
        <v>45</v>
      </c>
      <c r="E1989" s="4">
        <v>50</v>
      </c>
      <c r="F1989" s="4">
        <v>355.03</v>
      </c>
      <c r="G1989" s="4">
        <v>0</v>
      </c>
      <c r="H1989" s="4" t="s">
        <v>22</v>
      </c>
      <c r="I1989" s="6">
        <v>-33.31</v>
      </c>
      <c r="J1989" s="4">
        <v>6.48</v>
      </c>
      <c r="K1989" s="4">
        <v>5.1100000000000003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spans="1:21" ht="12" customHeight="1">
      <c r="A1990" s="4">
        <v>5433</v>
      </c>
      <c r="B1990" s="4">
        <v>38598</v>
      </c>
      <c r="C1990" s="5">
        <f t="shared" ref="C1990:C1992" si="838">DATE(2012,12,31)-1234</f>
        <v>40040</v>
      </c>
      <c r="D1990" s="4" t="s">
        <v>21</v>
      </c>
      <c r="E1990" s="4">
        <v>17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spans="1:21" ht="12" customHeight="1">
      <c r="A1991" s="4">
        <v>5434</v>
      </c>
      <c r="B1991" s="4">
        <v>38598</v>
      </c>
      <c r="C1991" s="5">
        <f t="shared" si="838"/>
        <v>40040</v>
      </c>
      <c r="D1991" s="4" t="s">
        <v>21</v>
      </c>
      <c r="E1991" s="4">
        <v>24</v>
      </c>
      <c r="F1991" s="4">
        <v>324.97000000000003</v>
      </c>
      <c r="G1991" s="4">
        <v>7.0000000000000007E-2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spans="1:21" ht="12" customHeight="1">
      <c r="A1992" s="4">
        <v>5435</v>
      </c>
      <c r="B1992" s="4">
        <v>38598</v>
      </c>
      <c r="C1992" s="5">
        <f t="shared" si="838"/>
        <v>40040</v>
      </c>
      <c r="D1992" s="4" t="s">
        <v>21</v>
      </c>
      <c r="E1992" s="4">
        <v>27</v>
      </c>
      <c r="F1992" s="4">
        <v>451.52</v>
      </c>
      <c r="G1992" s="4">
        <v>0.01</v>
      </c>
      <c r="H1992" s="4" t="s">
        <v>22</v>
      </c>
      <c r="I1992" s="6">
        <v>-70.522199999999998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spans="1:21" ht="12" customHeight="1">
      <c r="A1993" s="4">
        <v>5803</v>
      </c>
      <c r="B1993" s="4">
        <v>41154</v>
      </c>
      <c r="C1993" s="5">
        <f>DATE(2012,12,31)-1341</f>
        <v>39933</v>
      </c>
      <c r="D1993" s="4" t="s">
        <v>21</v>
      </c>
      <c r="E1993" s="4">
        <v>43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0.55000000000000004</v>
      </c>
      <c r="U1993" s="5">
        <f>C1993+2</f>
        <v>39935</v>
      </c>
    </row>
    <row r="1994" spans="1:21" ht="12" customHeight="1">
      <c r="A1994" s="4">
        <v>6199</v>
      </c>
      <c r="B1994" s="4">
        <v>43909</v>
      </c>
      <c r="C1994" s="5">
        <f>DATE(2012,12,31)-1454</f>
        <v>39820</v>
      </c>
      <c r="D1994" s="4" t="s">
        <v>30</v>
      </c>
      <c r="E1994" s="4">
        <v>46</v>
      </c>
      <c r="F1994" s="4">
        <v>737.25</v>
      </c>
      <c r="G1994" s="4">
        <v>0.08</v>
      </c>
      <c r="H1994" s="4" t="s">
        <v>22</v>
      </c>
      <c r="I1994" s="6">
        <v>-199.13399999999999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spans="1:21" ht="12" customHeight="1">
      <c r="A1995" s="4">
        <v>7351</v>
      </c>
      <c r="B1995" s="4">
        <v>52357</v>
      </c>
      <c r="C1995" s="5">
        <f>DATE(2012,12,31)-1215</f>
        <v>40059</v>
      </c>
      <c r="D1995" s="4" t="s">
        <v>45</v>
      </c>
      <c r="E1995" s="4">
        <v>49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39">C1995+2</f>
        <v>40061</v>
      </c>
    </row>
    <row r="1996" spans="1:21" ht="12" customHeight="1">
      <c r="A1996" s="4">
        <v>7507</v>
      </c>
      <c r="B1996" s="4">
        <v>53573</v>
      </c>
      <c r="C1996" s="5">
        <f>DATE(2012,12,31)-1387</f>
        <v>39887</v>
      </c>
      <c r="D1996" s="4" t="s">
        <v>45</v>
      </c>
      <c r="E1996" s="4">
        <v>6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39"/>
        <v>39889</v>
      </c>
    </row>
    <row r="1997" spans="1:21" ht="12" customHeight="1">
      <c r="A1997" s="4">
        <v>8038</v>
      </c>
      <c r="B1997" s="4">
        <v>57412</v>
      </c>
      <c r="C1997" s="5">
        <f>DATE(2012,12,31)-1267</f>
        <v>40007</v>
      </c>
      <c r="D1997" s="4" t="s">
        <v>21</v>
      </c>
      <c r="E1997" s="4">
        <v>34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0">C1997+0</f>
        <v>40007</v>
      </c>
    </row>
    <row r="1998" spans="1:21" ht="12" customHeight="1">
      <c r="A1998" s="4">
        <v>11</v>
      </c>
      <c r="B1998" s="4">
        <v>66</v>
      </c>
      <c r="C1998" s="5">
        <f>DATE(2012,12,31)-1442</f>
        <v>39832</v>
      </c>
      <c r="D1998" s="4" t="s">
        <v>21</v>
      </c>
      <c r="E1998" s="4">
        <v>41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0.56000000000000005</v>
      </c>
      <c r="U1998" s="5">
        <f t="shared" si="840"/>
        <v>39832</v>
      </c>
    </row>
    <row r="1999" spans="1:21" ht="12" customHeight="1">
      <c r="A1999" s="4">
        <v>251</v>
      </c>
      <c r="B1999" s="4">
        <v>1762</v>
      </c>
      <c r="C1999" s="5">
        <f t="shared" ref="C1999:C2001" si="841">DATE(2012,12,31)-1230</f>
        <v>40044</v>
      </c>
      <c r="D1999" s="4" t="s">
        <v>45</v>
      </c>
      <c r="E1999" s="4">
        <v>29</v>
      </c>
      <c r="F1999" s="4">
        <v>857.11</v>
      </c>
      <c r="G1999" s="4">
        <v>7.0000000000000007E-2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spans="1:21" ht="12" customHeight="1">
      <c r="A2000" s="4">
        <v>252</v>
      </c>
      <c r="B2000" s="4">
        <v>1762</v>
      </c>
      <c r="C2000" s="5">
        <f t="shared" si="841"/>
        <v>40044</v>
      </c>
      <c r="D2000" s="4" t="s">
        <v>45</v>
      </c>
      <c r="E2000" s="4">
        <v>11</v>
      </c>
      <c r="F2000" s="4">
        <v>69.599999999999994</v>
      </c>
      <c r="G2000" s="4">
        <v>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2">C2000+1</f>
        <v>40045</v>
      </c>
    </row>
    <row r="2001" spans="1:21" ht="12" customHeight="1">
      <c r="A2001" s="4">
        <v>253</v>
      </c>
      <c r="B2001" s="4">
        <v>1762</v>
      </c>
      <c r="C2001" s="5">
        <f t="shared" si="841"/>
        <v>40044</v>
      </c>
      <c r="D2001" s="4" t="s">
        <v>45</v>
      </c>
      <c r="E2001" s="4">
        <v>43</v>
      </c>
      <c r="F2001" s="4">
        <v>1279.5050000000001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1.1000000000000001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0.55000000000000004</v>
      </c>
      <c r="U2001" s="5">
        <f t="shared" si="842"/>
        <v>40045</v>
      </c>
    </row>
    <row r="2002" spans="1:21" ht="12" customHeight="1">
      <c r="A2002" s="4">
        <v>879</v>
      </c>
      <c r="B2002" s="4">
        <v>6310</v>
      </c>
      <c r="C2002" s="5">
        <f>DATE(2012,12,31)-1338</f>
        <v>39936</v>
      </c>
      <c r="D2002" s="4" t="s">
        <v>45</v>
      </c>
      <c r="E2002" s="4">
        <v>27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2"/>
        <v>39937</v>
      </c>
    </row>
    <row r="2003" spans="1:21" ht="12" customHeight="1">
      <c r="A2003" s="4">
        <v>3041</v>
      </c>
      <c r="B2003" s="4">
        <v>21831</v>
      </c>
      <c r="C2003" s="5">
        <f>DATE(2012,12,31)-1199</f>
        <v>40075</v>
      </c>
      <c r="D2003" s="4" t="s">
        <v>45</v>
      </c>
      <c r="E2003" s="4">
        <v>6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4.9800000000000004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spans="1:21" ht="12" customHeight="1">
      <c r="A2004" s="4">
        <v>3171</v>
      </c>
      <c r="B2004" s="4">
        <v>22818</v>
      </c>
      <c r="C2004" s="5">
        <f t="shared" ref="C2004:C2005" si="843">DATE(2012,12,31)-1319</f>
        <v>39955</v>
      </c>
      <c r="D2004" s="4" t="s">
        <v>78</v>
      </c>
      <c r="E2004" s="4">
        <v>50</v>
      </c>
      <c r="F2004" s="4">
        <v>6277.75</v>
      </c>
      <c r="G2004" s="4">
        <v>0.1</v>
      </c>
      <c r="H2004" s="4" t="s">
        <v>31</v>
      </c>
      <c r="I2004" s="6">
        <v>-592.42999999999995</v>
      </c>
      <c r="J2004" s="4">
        <v>130.97999999999999</v>
      </c>
      <c r="K2004" s="4">
        <v>30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spans="1:21" ht="12" customHeight="1">
      <c r="A2005" s="4">
        <v>3172</v>
      </c>
      <c r="B2005" s="4">
        <v>22818</v>
      </c>
      <c r="C2005" s="5">
        <f t="shared" si="843"/>
        <v>39955</v>
      </c>
      <c r="D2005" s="4" t="s">
        <v>21</v>
      </c>
      <c r="E2005" s="4">
        <v>19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spans="1:21" ht="12" customHeight="1">
      <c r="A2006" s="4">
        <v>6113</v>
      </c>
      <c r="B2006" s="4">
        <v>43301</v>
      </c>
      <c r="C2006" s="5">
        <f t="shared" ref="C2006:C2007" si="844">DATE(2012,12,31)-1228</f>
        <v>40046</v>
      </c>
      <c r="D2006" s="4" t="s">
        <v>78</v>
      </c>
      <c r="E2006" s="4">
        <v>33</v>
      </c>
      <c r="F2006" s="4">
        <v>3537.84</v>
      </c>
      <c r="G2006" s="4">
        <v>0</v>
      </c>
      <c r="H2006" s="4" t="s">
        <v>31</v>
      </c>
      <c r="I2006" s="6">
        <v>-80.86</v>
      </c>
      <c r="J2006" s="4">
        <v>100.89</v>
      </c>
      <c r="K2006" s="4">
        <v>42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spans="1:21" ht="12" customHeight="1">
      <c r="A2007" s="4">
        <v>6114</v>
      </c>
      <c r="B2007" s="4">
        <v>43301</v>
      </c>
      <c r="C2007" s="5">
        <f t="shared" si="844"/>
        <v>40046</v>
      </c>
      <c r="D2007" s="4" t="s">
        <v>78</v>
      </c>
      <c r="E2007" s="4">
        <v>43</v>
      </c>
      <c r="F2007" s="4">
        <v>2221.1999999999998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spans="1:21" ht="12" customHeight="1">
      <c r="A2008" s="4">
        <v>6348</v>
      </c>
      <c r="B2008" s="4">
        <v>44995</v>
      </c>
      <c r="C2008" s="5">
        <f>DATE(2012,12,31)-1243</f>
        <v>40031</v>
      </c>
      <c r="D2008" s="4" t="s">
        <v>30</v>
      </c>
      <c r="E2008" s="4">
        <v>46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0.56000000000000005</v>
      </c>
      <c r="U2008" s="5">
        <f>C2008+1</f>
        <v>40032</v>
      </c>
    </row>
    <row r="2009" spans="1:21" ht="12" customHeight="1">
      <c r="A2009" s="4">
        <v>7806</v>
      </c>
      <c r="B2009" s="4">
        <v>55846</v>
      </c>
      <c r="C2009" s="5">
        <f>DATE(2012,12,31)-1260</f>
        <v>40014</v>
      </c>
      <c r="D2009" s="4" t="s">
        <v>45</v>
      </c>
      <c r="E2009" s="4">
        <v>30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spans="1:21" ht="12" customHeight="1">
      <c r="A2010" s="4">
        <v>261</v>
      </c>
      <c r="B2010" s="4">
        <v>1824</v>
      </c>
      <c r="C2010" s="5">
        <f t="shared" ref="C2010:C2011" si="845">DATE(2012,12,31)-1337</f>
        <v>39937</v>
      </c>
      <c r="D2010" s="4" t="s">
        <v>78</v>
      </c>
      <c r="E2010" s="4">
        <v>39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spans="1:21" ht="12" customHeight="1">
      <c r="A2011" s="4">
        <v>262</v>
      </c>
      <c r="B2011" s="4">
        <v>1824</v>
      </c>
      <c r="C2011" s="5">
        <f t="shared" si="845"/>
        <v>39937</v>
      </c>
      <c r="D2011" s="4" t="s">
        <v>78</v>
      </c>
      <c r="E2011" s="4">
        <v>2</v>
      </c>
      <c r="F2011" s="4">
        <v>17.059999999999999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6">C2011+0</f>
        <v>39937</v>
      </c>
    </row>
    <row r="2012" spans="1:21" ht="12" customHeight="1">
      <c r="A2012" s="4">
        <v>659</v>
      </c>
      <c r="B2012" s="4">
        <v>4645</v>
      </c>
      <c r="C2012" s="5">
        <f t="shared" ref="C2012:C2014" si="847">DATE(2012,12,31)-1199</f>
        <v>40075</v>
      </c>
      <c r="D2012" s="4" t="s">
        <v>78</v>
      </c>
      <c r="E2012" s="4">
        <v>30</v>
      </c>
      <c r="F2012" s="4">
        <v>920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6"/>
        <v>40075</v>
      </c>
    </row>
    <row r="2013" spans="1:21" ht="12" customHeight="1">
      <c r="A2013" s="4">
        <v>660</v>
      </c>
      <c r="B2013" s="4">
        <v>4645</v>
      </c>
      <c r="C2013" s="5">
        <f t="shared" si="847"/>
        <v>40075</v>
      </c>
      <c r="D2013" s="4" t="s">
        <v>78</v>
      </c>
      <c r="E2013" s="4">
        <v>7</v>
      </c>
      <c r="F2013" s="4">
        <v>104.2</v>
      </c>
      <c r="G2013" s="4">
        <v>0.05</v>
      </c>
      <c r="H2013" s="4" t="s">
        <v>22</v>
      </c>
      <c r="I2013" s="6">
        <v>-8.5299999999999994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0.57999999999999996</v>
      </c>
      <c r="U2013" s="5">
        <f t="shared" ref="U2013:U2014" si="848">C2013+2</f>
        <v>40077</v>
      </c>
    </row>
    <row r="2014" spans="1:21" ht="12" customHeight="1">
      <c r="A2014" s="4">
        <v>661</v>
      </c>
      <c r="B2014" s="4">
        <v>4645</v>
      </c>
      <c r="C2014" s="5">
        <f t="shared" si="847"/>
        <v>40075</v>
      </c>
      <c r="D2014" s="4" t="s">
        <v>78</v>
      </c>
      <c r="E2014" s="4">
        <v>11</v>
      </c>
      <c r="F2014" s="4">
        <v>3563.88</v>
      </c>
      <c r="G2014" s="4">
        <v>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8"/>
        <v>40077</v>
      </c>
    </row>
    <row r="2015" spans="1:21" ht="12" customHeight="1">
      <c r="A2015" s="4">
        <v>1074</v>
      </c>
      <c r="B2015" s="4">
        <v>7909</v>
      </c>
      <c r="C2015" s="5">
        <f>DATE(2012,12,31)-1458</f>
        <v>39816</v>
      </c>
      <c r="D2015" s="4" t="s">
        <v>30</v>
      </c>
      <c r="E2015" s="4">
        <v>29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spans="1:21" ht="12" customHeight="1">
      <c r="A2016" s="4">
        <v>1179</v>
      </c>
      <c r="B2016" s="4">
        <v>8614</v>
      </c>
      <c r="C2016" s="5">
        <f>DATE(2012,12,31)-1306</f>
        <v>39968</v>
      </c>
      <c r="D2016" s="4" t="s">
        <v>21</v>
      </c>
      <c r="E2016" s="4">
        <v>13</v>
      </c>
      <c r="F2016" s="4">
        <v>1289.127</v>
      </c>
      <c r="G2016" s="4">
        <v>0.06</v>
      </c>
      <c r="H2016" s="4" t="s">
        <v>22</v>
      </c>
      <c r="I2016" s="6">
        <v>-16.335000000000001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0.57999999999999996</v>
      </c>
      <c r="U2016" s="5">
        <f>C2016+2</f>
        <v>39970</v>
      </c>
    </row>
    <row r="2017" spans="1:21" ht="12" customHeight="1">
      <c r="A2017" s="4">
        <v>1355</v>
      </c>
      <c r="B2017" s="4">
        <v>9888</v>
      </c>
      <c r="C2017" s="5">
        <f>DATE(2012,12,31)-1206</f>
        <v>40068</v>
      </c>
      <c r="D2017" s="4" t="s">
        <v>21</v>
      </c>
      <c r="E2017" s="4">
        <v>48</v>
      </c>
      <c r="F2017" s="4">
        <v>8374.1319999999996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0.56000000000000005</v>
      </c>
      <c r="U2017" s="5">
        <f>C2017+7</f>
        <v>40075</v>
      </c>
    </row>
    <row r="2018" spans="1:21" ht="12" customHeight="1">
      <c r="A2018" s="4">
        <v>1950</v>
      </c>
      <c r="B2018" s="4">
        <v>13959</v>
      </c>
      <c r="C2018" s="5">
        <f t="shared" ref="C2018:C2019" si="849">DATE(2012,12,31)-1367</f>
        <v>39907</v>
      </c>
      <c r="D2018" s="4" t="s">
        <v>63</v>
      </c>
      <c r="E2018" s="4">
        <v>47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0">C2018+2</f>
        <v>39909</v>
      </c>
    </row>
    <row r="2019" spans="1:21" ht="12" customHeight="1">
      <c r="A2019" s="4">
        <v>1951</v>
      </c>
      <c r="B2019" s="4">
        <v>13959</v>
      </c>
      <c r="C2019" s="5">
        <f t="shared" si="849"/>
        <v>39907</v>
      </c>
      <c r="D2019" s="4" t="s">
        <v>63</v>
      </c>
      <c r="E2019" s="4">
        <v>19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0"/>
        <v>39909</v>
      </c>
    </row>
    <row r="2020" spans="1:21" ht="12" customHeight="1">
      <c r="A2020" s="4">
        <v>2488</v>
      </c>
      <c r="B2020" s="4">
        <v>18119</v>
      </c>
      <c r="C2020" s="5">
        <f>DATE(2012,12,31)-1286</f>
        <v>39988</v>
      </c>
      <c r="D2020" s="4" t="s">
        <v>21</v>
      </c>
      <c r="E2020" s="4">
        <v>37</v>
      </c>
      <c r="F2020" s="4">
        <v>347.84</v>
      </c>
      <c r="G2020" s="4">
        <v>0</v>
      </c>
      <c r="H2020" s="4" t="s">
        <v>22</v>
      </c>
      <c r="I2020" s="6">
        <v>-99.25</v>
      </c>
      <c r="J2020" s="4">
        <v>8.74</v>
      </c>
      <c r="K2020" s="4">
        <v>8.2899999999999991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0"/>
        <v>39990</v>
      </c>
    </row>
    <row r="2021" spans="1:21" ht="12" customHeight="1">
      <c r="A2021" s="4">
        <v>3943</v>
      </c>
      <c r="B2021" s="4">
        <v>28097</v>
      </c>
      <c r="C2021" s="5">
        <f>DATE(2012,12,31)-1328</f>
        <v>39946</v>
      </c>
      <c r="D2021" s="4" t="s">
        <v>63</v>
      </c>
      <c r="E2021" s="4">
        <v>43</v>
      </c>
      <c r="F2021" s="4">
        <v>2438.6999999999998</v>
      </c>
      <c r="G2021" s="4">
        <v>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spans="1:21" ht="12" customHeight="1">
      <c r="A2022" s="4">
        <v>4094</v>
      </c>
      <c r="B2022" s="4">
        <v>29187</v>
      </c>
      <c r="C2022" s="5">
        <f t="shared" ref="C2022:C2026" si="851">DATE(2012,12,31)-1249</f>
        <v>40025</v>
      </c>
      <c r="D2022" s="4" t="s">
        <v>21</v>
      </c>
      <c r="E2022" s="4">
        <v>5</v>
      </c>
      <c r="F2022" s="4">
        <v>142.30000000000001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2">C2022+4</f>
        <v>40029</v>
      </c>
    </row>
    <row r="2023" spans="1:21" ht="12" customHeight="1">
      <c r="A2023" s="4">
        <v>4095</v>
      </c>
      <c r="B2023" s="4">
        <v>29187</v>
      </c>
      <c r="C2023" s="5">
        <f t="shared" si="851"/>
        <v>40025</v>
      </c>
      <c r="D2023" s="4" t="s">
        <v>21</v>
      </c>
      <c r="E2023" s="4">
        <v>8</v>
      </c>
      <c r="F2023" s="4">
        <v>21.93</v>
      </c>
      <c r="G2023" s="4">
        <v>0.09</v>
      </c>
      <c r="H2023" s="4" t="s">
        <v>22</v>
      </c>
      <c r="I2023" s="6">
        <v>-37.789000000000001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2"/>
        <v>40029</v>
      </c>
    </row>
    <row r="2024" spans="1:21" ht="12" customHeight="1">
      <c r="A2024" s="4">
        <v>4096</v>
      </c>
      <c r="B2024" s="4">
        <v>29187</v>
      </c>
      <c r="C2024" s="5">
        <f t="shared" si="851"/>
        <v>40025</v>
      </c>
      <c r="D2024" s="4" t="s">
        <v>21</v>
      </c>
      <c r="E2024" s="4">
        <v>35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3">C2024+7</f>
        <v>40032</v>
      </c>
    </row>
    <row r="2025" spans="1:21" ht="12" customHeight="1">
      <c r="A2025" s="4">
        <v>4097</v>
      </c>
      <c r="B2025" s="4">
        <v>29187</v>
      </c>
      <c r="C2025" s="5">
        <f t="shared" si="851"/>
        <v>40025</v>
      </c>
      <c r="D2025" s="4" t="s">
        <v>21</v>
      </c>
      <c r="E2025" s="4">
        <v>10</v>
      </c>
      <c r="F2025" s="4">
        <v>75.58</v>
      </c>
      <c r="G2025" s="4">
        <v>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3"/>
        <v>40032</v>
      </c>
    </row>
    <row r="2026" spans="1:21" ht="12" customHeight="1">
      <c r="A2026" s="4">
        <v>4098</v>
      </c>
      <c r="B2026" s="4">
        <v>29187</v>
      </c>
      <c r="C2026" s="5">
        <f t="shared" si="851"/>
        <v>40025</v>
      </c>
      <c r="D2026" s="4" t="s">
        <v>21</v>
      </c>
      <c r="E2026" s="4">
        <v>42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0.56999999999999995</v>
      </c>
      <c r="U2026" s="5">
        <f>C2026+4</f>
        <v>40029</v>
      </c>
    </row>
    <row r="2027" spans="1:21" ht="12" customHeight="1">
      <c r="A2027" s="4">
        <v>4221</v>
      </c>
      <c r="B2027" s="4">
        <v>29988</v>
      </c>
      <c r="C2027" s="5">
        <f>DATE(2012,12,31)-1298</f>
        <v>39976</v>
      </c>
      <c r="D2027" s="4" t="s">
        <v>30</v>
      </c>
      <c r="E2027" s="4">
        <v>12</v>
      </c>
      <c r="F2027" s="4">
        <v>5177.3999999999996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spans="1:21" ht="12" customHeight="1">
      <c r="A2028" s="4">
        <v>4832</v>
      </c>
      <c r="B2028" s="4">
        <v>34374</v>
      </c>
      <c r="C2028" s="5">
        <f>DATE(2012,12,31)-1280</f>
        <v>39994</v>
      </c>
      <c r="D2028" s="4" t="s">
        <v>21</v>
      </c>
      <c r="E2028" s="4">
        <v>42</v>
      </c>
      <c r="F2028" s="4">
        <v>344.57</v>
      </c>
      <c r="G2028" s="4">
        <v>0.04</v>
      </c>
      <c r="H2028" s="4" t="s">
        <v>22</v>
      </c>
      <c r="I2028" s="6">
        <v>37.409999999999997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spans="1:21" ht="12" customHeight="1">
      <c r="A2029" s="4">
        <v>4857</v>
      </c>
      <c r="B2029" s="4">
        <v>34565</v>
      </c>
      <c r="C2029" s="5">
        <f>DATE(2012,12,31)-1267</f>
        <v>40007</v>
      </c>
      <c r="D2029" s="4" t="s">
        <v>63</v>
      </c>
      <c r="E2029" s="4">
        <v>47</v>
      </c>
      <c r="F2029" s="4">
        <v>4815.8620000000001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0.56999999999999995</v>
      </c>
      <c r="U2029" s="5">
        <f>C2029+1</f>
        <v>40008</v>
      </c>
    </row>
    <row r="2030" spans="1:21" ht="12" customHeight="1">
      <c r="A2030" s="4">
        <v>5200</v>
      </c>
      <c r="B2030" s="4">
        <v>36934</v>
      </c>
      <c r="C2030" s="5">
        <f t="shared" ref="C2030:C2032" si="854">DATE(2012,12,31)-1105</f>
        <v>40169</v>
      </c>
      <c r="D2030" s="4" t="s">
        <v>63</v>
      </c>
      <c r="E2030" s="4">
        <v>7</v>
      </c>
      <c r="F2030" s="4">
        <v>1120.8599999999999</v>
      </c>
      <c r="G2030" s="4">
        <v>0.02</v>
      </c>
      <c r="H2030" s="4" t="s">
        <v>56</v>
      </c>
      <c r="I2030" s="6">
        <v>17.399999999999999</v>
      </c>
      <c r="J2030" s="4">
        <v>150.97999999999999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5">C2030+2</f>
        <v>40171</v>
      </c>
    </row>
    <row r="2031" spans="1:21" ht="12" customHeight="1">
      <c r="A2031" s="4">
        <v>5201</v>
      </c>
      <c r="B2031" s="4">
        <v>36934</v>
      </c>
      <c r="C2031" s="5">
        <f t="shared" si="854"/>
        <v>40169</v>
      </c>
      <c r="D2031" s="4" t="s">
        <v>63</v>
      </c>
      <c r="E2031" s="4">
        <v>2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5"/>
        <v>40171</v>
      </c>
    </row>
    <row r="2032" spans="1:21" ht="12" customHeight="1">
      <c r="A2032" s="4">
        <v>5202</v>
      </c>
      <c r="B2032" s="4">
        <v>36934</v>
      </c>
      <c r="C2032" s="5">
        <f t="shared" si="854"/>
        <v>40169</v>
      </c>
      <c r="D2032" s="4" t="s">
        <v>63</v>
      </c>
      <c r="E2032" s="4">
        <v>45</v>
      </c>
      <c r="F2032" s="4">
        <v>6668.8559999999998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spans="1:21" ht="12" customHeight="1">
      <c r="A2033" s="4">
        <v>5278</v>
      </c>
      <c r="B2033" s="4">
        <v>37542</v>
      </c>
      <c r="C2033" s="5">
        <f>DATE(2012,12,31)-1260</f>
        <v>40014</v>
      </c>
      <c r="D2033" s="4" t="s">
        <v>63</v>
      </c>
      <c r="E2033" s="4">
        <v>26</v>
      </c>
      <c r="F2033" s="4">
        <v>2546.5234999999998</v>
      </c>
      <c r="G2033" s="4">
        <v>0.09</v>
      </c>
      <c r="H2033" s="4" t="s">
        <v>56</v>
      </c>
      <c r="I2033" s="6">
        <v>209.99700000000001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spans="1:21" ht="12" customHeight="1">
      <c r="A2034" s="4">
        <v>5475</v>
      </c>
      <c r="B2034" s="4">
        <v>38887</v>
      </c>
      <c r="C2034" s="5">
        <f t="shared" ref="C2034:C2035" si="856">DATE(2012,12,31)-1164</f>
        <v>40110</v>
      </c>
      <c r="D2034" s="4" t="s">
        <v>78</v>
      </c>
      <c r="E2034" s="4">
        <v>25</v>
      </c>
      <c r="F2034" s="4">
        <v>378.9</v>
      </c>
      <c r="G2034" s="4">
        <v>0.02</v>
      </c>
      <c r="H2034" s="4" t="s">
        <v>22</v>
      </c>
      <c r="I2034" s="6">
        <v>28.457999999999998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spans="1:21" ht="12" customHeight="1">
      <c r="A2035" s="4">
        <v>5476</v>
      </c>
      <c r="B2035" s="4">
        <v>38887</v>
      </c>
      <c r="C2035" s="5">
        <f t="shared" si="856"/>
        <v>40110</v>
      </c>
      <c r="D2035" s="4" t="s">
        <v>78</v>
      </c>
      <c r="E2035" s="4">
        <v>50</v>
      </c>
      <c r="F2035" s="4">
        <v>264.05</v>
      </c>
      <c r="G2035" s="4">
        <v>7.0000000000000007E-2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spans="1:21" ht="12" customHeight="1">
      <c r="A2036" s="4">
        <v>5509</v>
      </c>
      <c r="B2036" s="4">
        <v>39072</v>
      </c>
      <c r="C2036" s="5">
        <f>DATE(2012,12,31)-1408</f>
        <v>39866</v>
      </c>
      <c r="D2036" s="4" t="s">
        <v>30</v>
      </c>
      <c r="E2036" s="4">
        <v>50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7">C2036+1</f>
        <v>39867</v>
      </c>
    </row>
    <row r="2037" spans="1:21" ht="12" customHeight="1">
      <c r="A2037" s="4">
        <v>5612</v>
      </c>
      <c r="B2037" s="4">
        <v>39750</v>
      </c>
      <c r="C2037" s="5">
        <f>DATE(2012,12,31)-1375</f>
        <v>39899</v>
      </c>
      <c r="D2037" s="4" t="s">
        <v>30</v>
      </c>
      <c r="E2037" s="4">
        <v>7</v>
      </c>
      <c r="F2037" s="4">
        <v>140.59</v>
      </c>
      <c r="G2037" s="4">
        <v>0.01</v>
      </c>
      <c r="H2037" s="4" t="s">
        <v>22</v>
      </c>
      <c r="I2037" s="6">
        <v>-35.878799999999998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7"/>
        <v>39900</v>
      </c>
    </row>
    <row r="2038" spans="1:21" ht="12" customHeight="1">
      <c r="A2038" s="4">
        <v>5654</v>
      </c>
      <c r="B2038" s="4">
        <v>40006</v>
      </c>
      <c r="C2038" s="5">
        <f t="shared" ref="C2038:C2039" si="858">DATE(2012,12,31)-1295</f>
        <v>39979</v>
      </c>
      <c r="D2038" s="4" t="s">
        <v>45</v>
      </c>
      <c r="E2038" s="4">
        <v>35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spans="1:21" ht="12" customHeight="1">
      <c r="A2039" s="4">
        <v>5655</v>
      </c>
      <c r="B2039" s="4">
        <v>40006</v>
      </c>
      <c r="C2039" s="5">
        <f t="shared" si="858"/>
        <v>39979</v>
      </c>
      <c r="D2039" s="4" t="s">
        <v>45</v>
      </c>
      <c r="E2039" s="4">
        <v>48</v>
      </c>
      <c r="F2039" s="4">
        <v>141.59</v>
      </c>
      <c r="G2039" s="4">
        <v>0.04</v>
      </c>
      <c r="H2039" s="4" t="s">
        <v>22</v>
      </c>
      <c r="I2039" s="6">
        <v>20.260000000000002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0.57999999999999996</v>
      </c>
      <c r="U2039" s="5">
        <f>C2039+1</f>
        <v>39980</v>
      </c>
    </row>
    <row r="2040" spans="1:21" ht="12" customHeight="1">
      <c r="A2040" s="4">
        <v>6531</v>
      </c>
      <c r="B2040" s="4">
        <v>46469</v>
      </c>
      <c r="C2040" s="5">
        <f t="shared" ref="C2040:C2041" si="859">DATE(2012,12,31)-1233</f>
        <v>40041</v>
      </c>
      <c r="D2040" s="4" t="s">
        <v>78</v>
      </c>
      <c r="E2040" s="4">
        <v>17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0">C2040+2</f>
        <v>40043</v>
      </c>
    </row>
    <row r="2041" spans="1:21" ht="12" customHeight="1">
      <c r="A2041" s="4">
        <v>6532</v>
      </c>
      <c r="B2041" s="4">
        <v>46469</v>
      </c>
      <c r="C2041" s="5">
        <f t="shared" si="859"/>
        <v>40041</v>
      </c>
      <c r="D2041" s="4" t="s">
        <v>78</v>
      </c>
      <c r="E2041" s="4">
        <v>18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4.9800000000000004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0"/>
        <v>40043</v>
      </c>
    </row>
    <row r="2042" spans="1:21" ht="12" customHeight="1">
      <c r="A2042" s="4">
        <v>6640</v>
      </c>
      <c r="B2042" s="4">
        <v>47207</v>
      </c>
      <c r="C2042" s="5">
        <f>DATE(2012,12,31)-1109</f>
        <v>40165</v>
      </c>
      <c r="D2042" s="4" t="s">
        <v>21</v>
      </c>
      <c r="E2042" s="4">
        <v>15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spans="1:21" ht="12" customHeight="1">
      <c r="A2043" s="4">
        <v>7754</v>
      </c>
      <c r="B2043" s="4">
        <v>55490</v>
      </c>
      <c r="C2043" s="5">
        <f>DATE(2012,12,31)-1141</f>
        <v>40133</v>
      </c>
      <c r="D2043" s="4" t="s">
        <v>63</v>
      </c>
      <c r="E2043" s="4">
        <v>3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spans="1:21" ht="12" customHeight="1">
      <c r="A2044" s="4">
        <v>7856</v>
      </c>
      <c r="B2044" s="4">
        <v>56163</v>
      </c>
      <c r="C2044" s="5">
        <f>DATE(2012,12,31)-1238</f>
        <v>40036</v>
      </c>
      <c r="D2044" s="4" t="s">
        <v>45</v>
      </c>
      <c r="E2044" s="4">
        <v>3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spans="1:21" ht="12" customHeight="1">
      <c r="A2045" s="4">
        <v>8029</v>
      </c>
      <c r="B2045" s="4">
        <v>57378</v>
      </c>
      <c r="C2045" s="5">
        <f t="shared" ref="C2045:C2046" si="861">DATE(2012,12,31)-1099</f>
        <v>40175</v>
      </c>
      <c r="D2045" s="4" t="s">
        <v>45</v>
      </c>
      <c r="E2045" s="4">
        <v>9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spans="1:21" ht="12" customHeight="1">
      <c r="A2046" s="4">
        <v>8030</v>
      </c>
      <c r="B2046" s="4">
        <v>57378</v>
      </c>
      <c r="C2046" s="5">
        <f t="shared" si="861"/>
        <v>40175</v>
      </c>
      <c r="D2046" s="4" t="s">
        <v>45</v>
      </c>
      <c r="E2046" s="4">
        <v>10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0.56000000000000005</v>
      </c>
      <c r="U2046" s="5">
        <f>C2046+0</f>
        <v>40175</v>
      </c>
    </row>
    <row r="2047" spans="1:21" ht="12" customHeight="1">
      <c r="A2047" s="4">
        <v>8241</v>
      </c>
      <c r="B2047" s="4">
        <v>58914</v>
      </c>
      <c r="C2047" s="5">
        <f t="shared" ref="C2047:C2048" si="862">DATE(2012,12,31)-1362</f>
        <v>39912</v>
      </c>
      <c r="D2047" s="4" t="s">
        <v>21</v>
      </c>
      <c r="E2047" s="4">
        <v>46</v>
      </c>
      <c r="F2047" s="4">
        <v>99.94</v>
      </c>
      <c r="G2047" s="4">
        <v>7.0000000000000007E-2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0.55000000000000004</v>
      </c>
      <c r="U2047" s="5">
        <f>C2047+2</f>
        <v>39914</v>
      </c>
    </row>
    <row r="2048" spans="1:21" ht="12" customHeight="1">
      <c r="A2048" s="4">
        <v>8242</v>
      </c>
      <c r="B2048" s="4">
        <v>58914</v>
      </c>
      <c r="C2048" s="5">
        <f t="shared" si="862"/>
        <v>39912</v>
      </c>
      <c r="D2048" s="4" t="s">
        <v>21</v>
      </c>
      <c r="E2048" s="4">
        <v>11</v>
      </c>
      <c r="F2048" s="4">
        <v>18.7</v>
      </c>
      <c r="G2048" s="4">
        <v>7.0000000000000007E-2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0.56000000000000005</v>
      </c>
      <c r="U2048" s="5">
        <f>C2048+7</f>
        <v>39919</v>
      </c>
    </row>
    <row r="2049" spans="1:21" ht="12" customHeight="1">
      <c r="A2049" s="4">
        <v>64</v>
      </c>
      <c r="B2049" s="4">
        <v>359</v>
      </c>
      <c r="C2049" s="5">
        <f>DATE(2012,12,31)-1109</f>
        <v>40165</v>
      </c>
      <c r="D2049" s="4" t="s">
        <v>63</v>
      </c>
      <c r="E2049" s="4">
        <v>30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spans="1:21" ht="12" customHeight="1">
      <c r="A2050" s="4">
        <v>349</v>
      </c>
      <c r="B2050" s="4">
        <v>2433</v>
      </c>
      <c r="C2050" s="5">
        <f>DATE(2012,12,31)-1228</f>
        <v>40046</v>
      </c>
      <c r="D2050" s="4" t="s">
        <v>45</v>
      </c>
      <c r="E2050" s="4">
        <v>14</v>
      </c>
      <c r="F2050" s="4">
        <v>24105.87</v>
      </c>
      <c r="G2050" s="4">
        <v>7.0000000000000007E-2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0.55000000000000004</v>
      </c>
      <c r="U2050" s="5">
        <f>C2050+0</f>
        <v>40046</v>
      </c>
    </row>
    <row r="2051" spans="1:21" ht="12" customHeight="1">
      <c r="A2051" s="4">
        <v>1011</v>
      </c>
      <c r="B2051" s="4">
        <v>7398</v>
      </c>
      <c r="C2051" s="5">
        <f t="shared" ref="C2051:C2052" si="863">DATE(2012,12,31)-1309</f>
        <v>39965</v>
      </c>
      <c r="D2051" s="4" t="s">
        <v>45</v>
      </c>
      <c r="E2051" s="4">
        <v>6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spans="1:21" ht="12" customHeight="1">
      <c r="A2052" s="4">
        <v>1012</v>
      </c>
      <c r="B2052" s="4">
        <v>7398</v>
      </c>
      <c r="C2052" s="5">
        <f t="shared" si="863"/>
        <v>39965</v>
      </c>
      <c r="D2052" s="4" t="s">
        <v>45</v>
      </c>
      <c r="E2052" s="4">
        <v>34</v>
      </c>
      <c r="F2052" s="4">
        <v>2181.44</v>
      </c>
      <c r="G2052" s="4">
        <v>7.0000000000000007E-2</v>
      </c>
      <c r="H2052" s="4" t="s">
        <v>22</v>
      </c>
      <c r="I2052" s="6">
        <v>-896.34</v>
      </c>
      <c r="J2052" s="4">
        <v>64.650000000000006</v>
      </c>
      <c r="K2052" s="4">
        <v>35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spans="1:21" ht="12" customHeight="1">
      <c r="A2053" s="4">
        <v>1018</v>
      </c>
      <c r="B2053" s="4">
        <v>7431</v>
      </c>
      <c r="C2053" s="5">
        <f>DATE(2012,12,31)-1340</f>
        <v>39934</v>
      </c>
      <c r="D2053" s="4" t="s">
        <v>63</v>
      </c>
      <c r="E2053" s="4">
        <v>33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spans="1:21" ht="12" customHeight="1">
      <c r="A2054" s="4">
        <v>1115</v>
      </c>
      <c r="B2054" s="4">
        <v>8165</v>
      </c>
      <c r="C2054" s="5">
        <f>DATE(2012,12,31)-1173</f>
        <v>40101</v>
      </c>
      <c r="D2054" s="4" t="s">
        <v>21</v>
      </c>
      <c r="E2054" s="4">
        <v>35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4.9800000000000004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spans="1:21" ht="12" customHeight="1">
      <c r="A2055" s="4">
        <v>1262</v>
      </c>
      <c r="B2055" s="4">
        <v>9187</v>
      </c>
      <c r="C2055" s="5">
        <f t="shared" ref="C2055:C2056" si="864">DATE(2012,12,31)-1228</f>
        <v>40046</v>
      </c>
      <c r="D2055" s="4" t="s">
        <v>30</v>
      </c>
      <c r="E2055" s="4">
        <v>40</v>
      </c>
      <c r="F2055" s="4">
        <v>174.64</v>
      </c>
      <c r="G2055" s="4">
        <v>0.04</v>
      </c>
      <c r="H2055" s="4" t="s">
        <v>22</v>
      </c>
      <c r="I2055" s="6">
        <v>-143.22999999999999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spans="1:21" ht="12" customHeight="1">
      <c r="A2056" s="4">
        <v>1263</v>
      </c>
      <c r="B2056" s="4">
        <v>9187</v>
      </c>
      <c r="C2056" s="5">
        <f t="shared" si="864"/>
        <v>40046</v>
      </c>
      <c r="D2056" s="4" t="s">
        <v>30</v>
      </c>
      <c r="E2056" s="4">
        <v>8</v>
      </c>
      <c r="F2056" s="4">
        <v>994.22800000000007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0.57999999999999996</v>
      </c>
      <c r="U2056" s="5">
        <f>C2056+2</f>
        <v>40048</v>
      </c>
    </row>
    <row r="2057" spans="1:21" ht="12" customHeight="1">
      <c r="A2057" s="4">
        <v>1265</v>
      </c>
      <c r="B2057" s="4">
        <v>9219</v>
      </c>
      <c r="C2057" s="5">
        <f t="shared" ref="C2057:C2058" si="865">DATE(2012,12,31)-1190</f>
        <v>40084</v>
      </c>
      <c r="D2057" s="4" t="s">
        <v>21</v>
      </c>
      <c r="E2057" s="4">
        <v>24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spans="1:21" ht="12" customHeight="1">
      <c r="A2058" s="4">
        <v>1266</v>
      </c>
      <c r="B2058" s="4">
        <v>9219</v>
      </c>
      <c r="C2058" s="5">
        <f t="shared" si="865"/>
        <v>40084</v>
      </c>
      <c r="D2058" s="4" t="s">
        <v>21</v>
      </c>
      <c r="E2058" s="4">
        <v>41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spans="1:21" ht="12" customHeight="1">
      <c r="A2059" s="4">
        <v>1336</v>
      </c>
      <c r="B2059" s="4">
        <v>9762</v>
      </c>
      <c r="C2059" s="5">
        <f>DATE(2012,12,31)-1458</f>
        <v>39816</v>
      </c>
      <c r="D2059" s="4" t="s">
        <v>30</v>
      </c>
      <c r="E2059" s="4">
        <v>12</v>
      </c>
      <c r="F2059" s="4">
        <v>262.76</v>
      </c>
      <c r="G2059" s="4">
        <v>0.05</v>
      </c>
      <c r="H2059" s="4" t="s">
        <v>22</v>
      </c>
      <c r="I2059" s="6">
        <v>-146.05000000000001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spans="1:21" ht="12" customHeight="1">
      <c r="A2060" s="4">
        <v>1484</v>
      </c>
      <c r="B2060" s="4">
        <v>10663</v>
      </c>
      <c r="C2060" s="5">
        <f>DATE(2012,12,31)-1318</f>
        <v>39956</v>
      </c>
      <c r="D2060" s="4" t="s">
        <v>30</v>
      </c>
      <c r="E2060" s="4">
        <v>40</v>
      </c>
      <c r="F2060" s="4">
        <v>104.39</v>
      </c>
      <c r="G2060" s="4">
        <v>7.0000000000000007E-2</v>
      </c>
      <c r="H2060" s="4" t="s">
        <v>22</v>
      </c>
      <c r="I2060" s="6">
        <v>38.450000000000003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spans="1:21" ht="12" customHeight="1">
      <c r="A2061" s="4">
        <v>1663</v>
      </c>
      <c r="B2061" s="4">
        <v>11972</v>
      </c>
      <c r="C2061" s="5">
        <f>DATE(2012,12,31)-1458</f>
        <v>39816</v>
      </c>
      <c r="D2061" s="4" t="s">
        <v>45</v>
      </c>
      <c r="E2061" s="4">
        <v>4</v>
      </c>
      <c r="F2061" s="4">
        <v>896.49</v>
      </c>
      <c r="G2061" s="4">
        <v>0</v>
      </c>
      <c r="H2061" s="4" t="s">
        <v>31</v>
      </c>
      <c r="I2061" s="6">
        <v>-452.26949999999999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6">C2061+2</f>
        <v>39818</v>
      </c>
    </row>
    <row r="2062" spans="1:21" ht="12" customHeight="1">
      <c r="A2062" s="4">
        <v>2086</v>
      </c>
      <c r="B2062" s="4">
        <v>14916</v>
      </c>
      <c r="C2062" s="5">
        <f>DATE(2012,12,31)-1403</f>
        <v>39871</v>
      </c>
      <c r="D2062" s="4" t="s">
        <v>21</v>
      </c>
      <c r="E2062" s="4">
        <v>16</v>
      </c>
      <c r="F2062" s="4">
        <v>1685.941</v>
      </c>
      <c r="G2062" s="4">
        <v>7.0000000000000007E-2</v>
      </c>
      <c r="H2062" s="4" t="s">
        <v>56</v>
      </c>
      <c r="I2062" s="6">
        <v>21.024000000000001</v>
      </c>
      <c r="J2062" s="4">
        <v>125.99</v>
      </c>
      <c r="K2062" s="4">
        <v>8.8000000000000007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6"/>
        <v>39873</v>
      </c>
    </row>
    <row r="2063" spans="1:21" ht="12" customHeight="1">
      <c r="A2063" s="4">
        <v>2368</v>
      </c>
      <c r="B2063" s="4">
        <v>17155</v>
      </c>
      <c r="C2063" s="5">
        <f t="shared" ref="C2063:C2064" si="867">DATE(2012,12,31)-1433</f>
        <v>39841</v>
      </c>
      <c r="D2063" s="4" t="s">
        <v>63</v>
      </c>
      <c r="E2063" s="4">
        <v>36</v>
      </c>
      <c r="F2063" s="4">
        <v>267.52999999999997</v>
      </c>
      <c r="G2063" s="4">
        <v>0</v>
      </c>
      <c r="H2063" s="4" t="s">
        <v>56</v>
      </c>
      <c r="I2063" s="6">
        <v>85.17</v>
      </c>
      <c r="J2063" s="4">
        <v>6.88</v>
      </c>
      <c r="K2063" s="4">
        <v>2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spans="1:21" ht="12" customHeight="1">
      <c r="A2064" s="4">
        <v>2369</v>
      </c>
      <c r="B2064" s="4">
        <v>17155</v>
      </c>
      <c r="C2064" s="5">
        <f t="shared" si="867"/>
        <v>39841</v>
      </c>
      <c r="D2064" s="4" t="s">
        <v>63</v>
      </c>
      <c r="E2064" s="4">
        <v>31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32.479999999999997</v>
      </c>
      <c r="K2064" s="4">
        <v>35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spans="1:21" ht="12" customHeight="1">
      <c r="A2065" s="4">
        <v>2554</v>
      </c>
      <c r="B2065" s="4">
        <v>18496</v>
      </c>
      <c r="C2065" s="5">
        <f t="shared" ref="C2065:C2066" si="868">DATE(2012,12,31)-1326</f>
        <v>39948</v>
      </c>
      <c r="D2065" s="4" t="s">
        <v>30</v>
      </c>
      <c r="E2065" s="4">
        <v>30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spans="1:21" ht="12" customHeight="1">
      <c r="A2066" s="4">
        <v>2555</v>
      </c>
      <c r="B2066" s="4">
        <v>18496</v>
      </c>
      <c r="C2066" s="5">
        <f t="shared" si="868"/>
        <v>39948</v>
      </c>
      <c r="D2066" s="4" t="s">
        <v>30</v>
      </c>
      <c r="E2066" s="4">
        <v>29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19.989999999999998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spans="1:21" ht="12" customHeight="1">
      <c r="A2067" s="4">
        <v>2645</v>
      </c>
      <c r="B2067" s="4">
        <v>19140</v>
      </c>
      <c r="C2067" s="5">
        <f t="shared" ref="C2067:C2068" si="869">DATE(2012,12,31)-1188</f>
        <v>40086</v>
      </c>
      <c r="D2067" s="4" t="s">
        <v>63</v>
      </c>
      <c r="E2067" s="4">
        <v>47</v>
      </c>
      <c r="F2067" s="4">
        <v>314</v>
      </c>
      <c r="G2067" s="4">
        <v>7.0000000000000007E-2</v>
      </c>
      <c r="H2067" s="4" t="s">
        <v>22</v>
      </c>
      <c r="I2067" s="6">
        <v>-66.044499999999999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0">C2067+1</f>
        <v>40087</v>
      </c>
    </row>
    <row r="2068" spans="1:21" ht="12" customHeight="1">
      <c r="A2068" s="4">
        <v>2646</v>
      </c>
      <c r="B2068" s="4">
        <v>19140</v>
      </c>
      <c r="C2068" s="5">
        <f t="shared" si="869"/>
        <v>40086</v>
      </c>
      <c r="D2068" s="4" t="s">
        <v>63</v>
      </c>
      <c r="E2068" s="4">
        <v>50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0"/>
        <v>40087</v>
      </c>
    </row>
    <row r="2069" spans="1:21" ht="12" customHeight="1">
      <c r="A2069" s="4">
        <v>2652</v>
      </c>
      <c r="B2069" s="4">
        <v>19175</v>
      </c>
      <c r="C2069" s="5">
        <f>DATE(2012,12,31)-1230</f>
        <v>40044</v>
      </c>
      <c r="D2069" s="4" t="s">
        <v>21</v>
      </c>
      <c r="E2069" s="4">
        <v>19</v>
      </c>
      <c r="F2069" s="4">
        <v>1133.4494999999999</v>
      </c>
      <c r="G2069" s="4">
        <v>0.01</v>
      </c>
      <c r="H2069" s="4" t="s">
        <v>22</v>
      </c>
      <c r="I2069" s="6">
        <v>169.16400000000002</v>
      </c>
      <c r="J2069" s="4">
        <v>65.989999999999995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0.56999999999999995</v>
      </c>
      <c r="U2069" s="5">
        <f>C2069+7</f>
        <v>40051</v>
      </c>
    </row>
    <row r="2070" spans="1:21" ht="12" customHeight="1">
      <c r="A2070" s="4">
        <v>2688</v>
      </c>
      <c r="B2070" s="4">
        <v>19457</v>
      </c>
      <c r="C2070" s="5">
        <f t="shared" ref="C2070:C2071" si="871">DATE(2012,12,31)-1268</f>
        <v>40006</v>
      </c>
      <c r="D2070" s="4" t="s">
        <v>30</v>
      </c>
      <c r="E2070" s="4">
        <v>34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spans="1:21" ht="12" customHeight="1">
      <c r="A2071" s="4">
        <v>2689</v>
      </c>
      <c r="B2071" s="4">
        <v>19457</v>
      </c>
      <c r="C2071" s="5">
        <f t="shared" si="871"/>
        <v>40006</v>
      </c>
      <c r="D2071" s="4" t="s">
        <v>30</v>
      </c>
      <c r="E2071" s="4">
        <v>33</v>
      </c>
      <c r="F2071" s="4">
        <v>5638.7979999999998</v>
      </c>
      <c r="G2071" s="4">
        <v>0.09</v>
      </c>
      <c r="H2071" s="4" t="s">
        <v>56</v>
      </c>
      <c r="I2071" s="6">
        <v>1406.0519999999999</v>
      </c>
      <c r="J2071" s="4">
        <v>205.99</v>
      </c>
      <c r="K2071" s="4">
        <v>3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0.57999999999999996</v>
      </c>
      <c r="U2071" s="5">
        <f>C2071+2</f>
        <v>40008</v>
      </c>
    </row>
    <row r="2072" spans="1:21" ht="12" customHeight="1">
      <c r="A2072" s="4">
        <v>3522</v>
      </c>
      <c r="B2072" s="4">
        <v>25063</v>
      </c>
      <c r="C2072" s="5">
        <f>DATE(2012,12,31)-1281</f>
        <v>39993</v>
      </c>
      <c r="D2072" s="4" t="s">
        <v>45</v>
      </c>
      <c r="E2072" s="4">
        <v>24</v>
      </c>
      <c r="F2072" s="4">
        <v>711.875</v>
      </c>
      <c r="G2072" s="4">
        <v>0.04</v>
      </c>
      <c r="H2072" s="4" t="s">
        <v>22</v>
      </c>
      <c r="I2072" s="6">
        <v>217.33199999999999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2">C2072+0</f>
        <v>39993</v>
      </c>
    </row>
    <row r="2073" spans="1:21" ht="12" customHeight="1">
      <c r="A2073" s="4">
        <v>3723</v>
      </c>
      <c r="B2073" s="4">
        <v>26627</v>
      </c>
      <c r="C2073" s="5">
        <f>DATE(2012,12,31)-1158</f>
        <v>40116</v>
      </c>
      <c r="D2073" s="4" t="s">
        <v>63</v>
      </c>
      <c r="E2073" s="4">
        <v>25</v>
      </c>
      <c r="F2073" s="4">
        <v>38.369999999999997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2"/>
        <v>40116</v>
      </c>
    </row>
    <row r="2074" spans="1:21" ht="12" customHeight="1">
      <c r="A2074" s="4">
        <v>4600</v>
      </c>
      <c r="B2074" s="4">
        <v>32800</v>
      </c>
      <c r="C2074" s="5">
        <f t="shared" ref="C2074:C2076" si="873">DATE(2012,12,31)-1440</f>
        <v>39834</v>
      </c>
      <c r="D2074" s="4" t="s">
        <v>45</v>
      </c>
      <c r="E2074" s="4">
        <v>33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4">C2074+1</f>
        <v>39835</v>
      </c>
    </row>
    <row r="2075" spans="1:21" ht="12" customHeight="1">
      <c r="A2075" s="4">
        <v>4601</v>
      </c>
      <c r="B2075" s="4">
        <v>32800</v>
      </c>
      <c r="C2075" s="5">
        <f t="shared" si="873"/>
        <v>39834</v>
      </c>
      <c r="D2075" s="4" t="s">
        <v>45</v>
      </c>
      <c r="E2075" s="4">
        <v>19</v>
      </c>
      <c r="F2075" s="4">
        <v>354.13</v>
      </c>
      <c r="G2075" s="4">
        <v>0.09</v>
      </c>
      <c r="H2075" s="4" t="s">
        <v>22</v>
      </c>
      <c r="I2075" s="6">
        <v>8.7899999999999991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4"/>
        <v>39835</v>
      </c>
    </row>
    <row r="2076" spans="1:21" ht="12" customHeight="1">
      <c r="A2076" s="4">
        <v>4602</v>
      </c>
      <c r="B2076" s="4">
        <v>32800</v>
      </c>
      <c r="C2076" s="5">
        <f t="shared" si="873"/>
        <v>39834</v>
      </c>
      <c r="D2076" s="4" t="s">
        <v>45</v>
      </c>
      <c r="E2076" s="4">
        <v>40</v>
      </c>
      <c r="F2076" s="4">
        <v>751.94</v>
      </c>
      <c r="G2076" s="4">
        <v>7.0000000000000007E-2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5">C2076+2</f>
        <v>39836</v>
      </c>
    </row>
    <row r="2077" spans="1:21" ht="12" customHeight="1">
      <c r="A2077" s="4">
        <v>5120</v>
      </c>
      <c r="B2077" s="4">
        <v>36455</v>
      </c>
      <c r="C2077" s="5">
        <f>DATE(2012,12,31)-1411</f>
        <v>39863</v>
      </c>
      <c r="D2077" s="4" t="s">
        <v>30</v>
      </c>
      <c r="E2077" s="4">
        <v>48</v>
      </c>
      <c r="F2077" s="4">
        <v>1838.19</v>
      </c>
      <c r="G2077" s="4">
        <v>0.03</v>
      </c>
      <c r="H2077" s="4" t="s">
        <v>22</v>
      </c>
      <c r="I2077" s="6">
        <v>561.42999999999995</v>
      </c>
      <c r="J2077" s="4">
        <v>39.479999999999997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5"/>
        <v>39865</v>
      </c>
    </row>
    <row r="2078" spans="1:21" ht="12" customHeight="1">
      <c r="A2078" s="4">
        <v>5550</v>
      </c>
      <c r="B2078" s="4">
        <v>39301</v>
      </c>
      <c r="C2078" s="5">
        <f>DATE(2012,12,31)-1380</f>
        <v>39894</v>
      </c>
      <c r="D2078" s="4" t="s">
        <v>63</v>
      </c>
      <c r="E2078" s="4">
        <v>4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8.3699999999999992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0.57999999999999996</v>
      </c>
      <c r="U2078" s="5">
        <f t="shared" si="875"/>
        <v>39896</v>
      </c>
    </row>
    <row r="2079" spans="1:21" ht="12" customHeight="1">
      <c r="A2079" s="4">
        <v>6257</v>
      </c>
      <c r="B2079" s="4">
        <v>44294</v>
      </c>
      <c r="C2079" s="5">
        <f t="shared" ref="C2079:C2081" si="876">DATE(2012,12,31)-1307</f>
        <v>39967</v>
      </c>
      <c r="D2079" s="4" t="s">
        <v>21</v>
      </c>
      <c r="E2079" s="4">
        <v>15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spans="1:21" ht="12" customHeight="1">
      <c r="A2080" s="4">
        <v>6258</v>
      </c>
      <c r="B2080" s="4">
        <v>44294</v>
      </c>
      <c r="C2080" s="5">
        <f t="shared" si="876"/>
        <v>39967</v>
      </c>
      <c r="D2080" s="4" t="s">
        <v>21</v>
      </c>
      <c r="E2080" s="4">
        <v>13</v>
      </c>
      <c r="F2080" s="4">
        <v>305.60000000000002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spans="1:21" ht="12" customHeight="1">
      <c r="A2081" s="4">
        <v>6259</v>
      </c>
      <c r="B2081" s="4">
        <v>44294</v>
      </c>
      <c r="C2081" s="5">
        <f t="shared" si="876"/>
        <v>39967</v>
      </c>
      <c r="D2081" s="4" t="s">
        <v>21</v>
      </c>
      <c r="E2081" s="4">
        <v>8</v>
      </c>
      <c r="F2081" s="4">
        <v>447.04049999999995</v>
      </c>
      <c r="G2081" s="4">
        <v>0.04</v>
      </c>
      <c r="H2081" s="4" t="s">
        <v>22</v>
      </c>
      <c r="I2081" s="6">
        <v>-206.15100000000001</v>
      </c>
      <c r="J2081" s="4">
        <v>65.989999999999995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spans="1:21" ht="12" customHeight="1">
      <c r="A2082" s="4">
        <v>6273</v>
      </c>
      <c r="B2082" s="4">
        <v>44391</v>
      </c>
      <c r="C2082" s="5">
        <f>DATE(2012,12,31)-1451</f>
        <v>39823</v>
      </c>
      <c r="D2082" s="4" t="s">
        <v>45</v>
      </c>
      <c r="E2082" s="4">
        <v>16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spans="1:21" ht="12" customHeight="1">
      <c r="A2083" s="4">
        <v>6740</v>
      </c>
      <c r="B2083" s="4">
        <v>47974</v>
      </c>
      <c r="C2083" s="5">
        <f>DATE(2012,12,31)-1218</f>
        <v>40056</v>
      </c>
      <c r="D2083" s="4" t="s">
        <v>63</v>
      </c>
      <c r="E2083" s="4">
        <v>6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7">C2083+2</f>
        <v>40058</v>
      </c>
    </row>
    <row r="2084" spans="1:21" ht="12" customHeight="1">
      <c r="A2084" s="4">
        <v>6851</v>
      </c>
      <c r="B2084" s="4">
        <v>48775</v>
      </c>
      <c r="C2084" s="5">
        <f>DATE(2012,12,31)-1212</f>
        <v>40062</v>
      </c>
      <c r="D2084" s="4" t="s">
        <v>21</v>
      </c>
      <c r="E2084" s="4">
        <v>17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7"/>
        <v>40064</v>
      </c>
    </row>
    <row r="2085" spans="1:21" ht="12" customHeight="1">
      <c r="A2085" s="4">
        <v>7092</v>
      </c>
      <c r="B2085" s="4">
        <v>50625</v>
      </c>
      <c r="C2085" s="5">
        <f>DATE(2012,12,31)-1348</f>
        <v>39926</v>
      </c>
      <c r="D2085" s="4" t="s">
        <v>63</v>
      </c>
      <c r="E2085" s="4">
        <v>10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spans="1:21" ht="12" customHeight="1">
      <c r="A2086" s="4">
        <v>7411</v>
      </c>
      <c r="B2086" s="4">
        <v>52870</v>
      </c>
      <c r="C2086" s="5">
        <f>DATE(2012,12,31)-1393</f>
        <v>39881</v>
      </c>
      <c r="D2086" s="4" t="s">
        <v>45</v>
      </c>
      <c r="E2086" s="4">
        <v>21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0.56000000000000005</v>
      </c>
      <c r="U2086" s="5">
        <f t="shared" ref="U2086:U2087" si="878">C2086+2</f>
        <v>39883</v>
      </c>
    </row>
    <row r="2087" spans="1:21" ht="12" customHeight="1">
      <c r="A2087" s="4">
        <v>7417</v>
      </c>
      <c r="B2087" s="4">
        <v>52897</v>
      </c>
      <c r="C2087" s="5">
        <f>DATE(2012,12,31)-1227</f>
        <v>40047</v>
      </c>
      <c r="D2087" s="4" t="s">
        <v>63</v>
      </c>
      <c r="E2087" s="4">
        <v>40</v>
      </c>
      <c r="F2087" s="4">
        <v>2055.98</v>
      </c>
      <c r="G2087" s="4">
        <v>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8"/>
        <v>40049</v>
      </c>
    </row>
    <row r="2088" spans="1:21" ht="12" customHeight="1">
      <c r="A2088" s="4">
        <v>7531</v>
      </c>
      <c r="B2088" s="4">
        <v>53798</v>
      </c>
      <c r="C2088" s="5">
        <f t="shared" ref="C2088:C2089" si="879">DATE(2012,12,31)-1352</f>
        <v>39922</v>
      </c>
      <c r="D2088" s="4" t="s">
        <v>21</v>
      </c>
      <c r="E2088" s="4">
        <v>29</v>
      </c>
      <c r="F2088" s="4">
        <v>2317.65</v>
      </c>
      <c r="G2088" s="4">
        <v>0</v>
      </c>
      <c r="H2088" s="4" t="s">
        <v>22</v>
      </c>
      <c r="I2088" s="6">
        <v>568.6</v>
      </c>
      <c r="J2088" s="4">
        <v>78.650000000000006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spans="1:21" ht="12" customHeight="1">
      <c r="A2089" s="4">
        <v>7532</v>
      </c>
      <c r="B2089" s="4">
        <v>53798</v>
      </c>
      <c r="C2089" s="5">
        <f t="shared" si="879"/>
        <v>39922</v>
      </c>
      <c r="D2089" s="4" t="s">
        <v>21</v>
      </c>
      <c r="E2089" s="4">
        <v>41</v>
      </c>
      <c r="F2089" s="4">
        <v>4987.7299999999996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spans="1:21" ht="12" customHeight="1">
      <c r="A2090" s="4">
        <v>7747</v>
      </c>
      <c r="B2090" s="4">
        <v>55459</v>
      </c>
      <c r="C2090" s="5">
        <f>DATE(2012,12,31)-1346</f>
        <v>39928</v>
      </c>
      <c r="D2090" s="4" t="s">
        <v>78</v>
      </c>
      <c r="E2090" s="4">
        <v>5</v>
      </c>
      <c r="F2090" s="4">
        <v>126.95</v>
      </c>
      <c r="G2090" s="4">
        <v>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spans="1:21" ht="12" customHeight="1">
      <c r="A2091" s="4">
        <v>7915</v>
      </c>
      <c r="B2091" s="4">
        <v>56582</v>
      </c>
      <c r="C2091" s="5">
        <f t="shared" ref="C2091:C2092" si="880">DATE(2012,12,31)-1298</f>
        <v>39976</v>
      </c>
      <c r="D2091" s="4" t="s">
        <v>21</v>
      </c>
      <c r="E2091" s="4">
        <v>25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10.119999999999999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spans="1:21" ht="12" customHeight="1">
      <c r="A2092" s="4">
        <v>7916</v>
      </c>
      <c r="B2092" s="4">
        <v>56582</v>
      </c>
      <c r="C2092" s="5">
        <f t="shared" si="880"/>
        <v>39976</v>
      </c>
      <c r="D2092" s="4" t="s">
        <v>21</v>
      </c>
      <c r="E2092" s="4">
        <v>47</v>
      </c>
      <c r="F2092" s="4">
        <v>1146.992</v>
      </c>
      <c r="G2092" s="4">
        <v>7.0000000000000007E-2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spans="1:21" ht="12" customHeight="1">
      <c r="A2093" s="4">
        <v>8273</v>
      </c>
      <c r="B2093" s="4">
        <v>59170</v>
      </c>
      <c r="C2093" s="5">
        <f t="shared" ref="C2093:C2096" si="881">DATE(2012,12,31)-1413</f>
        <v>39861</v>
      </c>
      <c r="D2093" s="4" t="s">
        <v>30</v>
      </c>
      <c r="E2093" s="4">
        <v>44</v>
      </c>
      <c r="F2093" s="4">
        <v>242.46</v>
      </c>
      <c r="G2093" s="4">
        <v>0.02</v>
      </c>
      <c r="H2093" s="4" t="s">
        <v>22</v>
      </c>
      <c r="I2093" s="6">
        <v>9.2989999999999995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spans="1:21" ht="12" customHeight="1">
      <c r="A2094" s="4">
        <v>8274</v>
      </c>
      <c r="B2094" s="4">
        <v>59170</v>
      </c>
      <c r="C2094" s="5">
        <f t="shared" si="881"/>
        <v>39861</v>
      </c>
      <c r="D2094" s="4" t="s">
        <v>30</v>
      </c>
      <c r="E2094" s="4">
        <v>10</v>
      </c>
      <c r="F2094" s="4">
        <v>607.77</v>
      </c>
      <c r="G2094" s="4">
        <v>0.04</v>
      </c>
      <c r="H2094" s="4" t="s">
        <v>22</v>
      </c>
      <c r="I2094" s="6">
        <v>232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2">C2094+2</f>
        <v>39863</v>
      </c>
    </row>
    <row r="2095" spans="1:21" ht="12" customHeight="1">
      <c r="A2095" s="4">
        <v>8275</v>
      </c>
      <c r="B2095" s="4">
        <v>59170</v>
      </c>
      <c r="C2095" s="5">
        <f t="shared" si="881"/>
        <v>39861</v>
      </c>
      <c r="D2095" s="4" t="s">
        <v>30</v>
      </c>
      <c r="E2095" s="4">
        <v>22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34.200000000000003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2"/>
        <v>39863</v>
      </c>
    </row>
    <row r="2096" spans="1:21" ht="12" customHeight="1">
      <c r="A2096" s="4">
        <v>8276</v>
      </c>
      <c r="B2096" s="4">
        <v>59170</v>
      </c>
      <c r="C2096" s="5">
        <f t="shared" si="881"/>
        <v>39861</v>
      </c>
      <c r="D2096" s="4" t="s">
        <v>30</v>
      </c>
      <c r="E2096" s="4">
        <v>5</v>
      </c>
      <c r="F2096" s="4">
        <v>8767.6200000000008</v>
      </c>
      <c r="G2096" s="4">
        <v>0.04</v>
      </c>
      <c r="H2096" s="4" t="s">
        <v>22</v>
      </c>
      <c r="I2096" s="6">
        <v>-1510.8855000000001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2"/>
        <v>39863</v>
      </c>
    </row>
    <row r="2097" spans="1:21" ht="12" customHeight="1">
      <c r="A2097" s="4">
        <v>8303</v>
      </c>
      <c r="B2097" s="4">
        <v>59297</v>
      </c>
      <c r="C2097" s="5">
        <f>DATE(2012,12,31)-1118</f>
        <v>40156</v>
      </c>
      <c r="D2097" s="4" t="s">
        <v>63</v>
      </c>
      <c r="E2097" s="4">
        <v>13</v>
      </c>
      <c r="F2097" s="4">
        <v>1582.47</v>
      </c>
      <c r="G2097" s="4">
        <v>0.05</v>
      </c>
      <c r="H2097" s="4" t="s">
        <v>31</v>
      </c>
      <c r="I2097" s="6">
        <v>-205.02420000000001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2"/>
        <v>40158</v>
      </c>
    </row>
    <row r="2098" spans="1:21" ht="12" customHeight="1">
      <c r="A2098" s="4">
        <v>551</v>
      </c>
      <c r="B2098" s="4">
        <v>3746</v>
      </c>
      <c r="C2098" s="5">
        <f t="shared" ref="C2098:C2099" si="883">DATE(2012,12,31)-1208</f>
        <v>40066</v>
      </c>
      <c r="D2098" s="4" t="s">
        <v>45</v>
      </c>
      <c r="E2098" s="4">
        <v>14</v>
      </c>
      <c r="F2098" s="4">
        <v>1463.0964999999999</v>
      </c>
      <c r="G2098" s="4">
        <v>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0.56999999999999995</v>
      </c>
      <c r="U2098" s="5">
        <f>C2098+0</f>
        <v>40066</v>
      </c>
    </row>
    <row r="2099" spans="1:21" ht="12" customHeight="1">
      <c r="A2099" s="4">
        <v>552</v>
      </c>
      <c r="B2099" s="4">
        <v>3746</v>
      </c>
      <c r="C2099" s="5">
        <f t="shared" si="883"/>
        <v>40066</v>
      </c>
      <c r="D2099" s="4" t="s">
        <v>45</v>
      </c>
      <c r="E2099" s="4">
        <v>38</v>
      </c>
      <c r="F2099" s="4">
        <v>246.3</v>
      </c>
      <c r="G2099" s="4">
        <v>0.02</v>
      </c>
      <c r="H2099" s="4" t="s">
        <v>22</v>
      </c>
      <c r="I2099" s="6">
        <v>-67.489999999999995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4">C2099+1</f>
        <v>40067</v>
      </c>
    </row>
    <row r="2100" spans="1:21" ht="12" customHeight="1">
      <c r="A2100" s="4">
        <v>640</v>
      </c>
      <c r="B2100" s="4">
        <v>4514</v>
      </c>
      <c r="C2100" s="5">
        <f>DATE(2012,12,31)-1342</f>
        <v>39932</v>
      </c>
      <c r="D2100" s="4" t="s">
        <v>63</v>
      </c>
      <c r="E2100" s="4">
        <v>28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4"/>
        <v>39933</v>
      </c>
    </row>
    <row r="2101" spans="1:21" ht="12" customHeight="1">
      <c r="A2101" s="4">
        <v>728</v>
      </c>
      <c r="B2101" s="4">
        <v>5222</v>
      </c>
      <c r="C2101" s="5">
        <f>DATE(2012,12,31)-1315</f>
        <v>39959</v>
      </c>
      <c r="D2101" s="4" t="s">
        <v>45</v>
      </c>
      <c r="E2101" s="4">
        <v>40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4"/>
        <v>39960</v>
      </c>
    </row>
    <row r="2102" spans="1:21" ht="12" customHeight="1">
      <c r="A2102" s="4">
        <v>757</v>
      </c>
      <c r="B2102" s="4">
        <v>5441</v>
      </c>
      <c r="C2102" s="5">
        <f t="shared" ref="C2102:C2103" si="885">DATE(2012,12,31)-1260</f>
        <v>40014</v>
      </c>
      <c r="D2102" s="4" t="s">
        <v>45</v>
      </c>
      <c r="E2102" s="4">
        <v>34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spans="1:21" ht="12" customHeight="1">
      <c r="A2103" s="4">
        <v>758</v>
      </c>
      <c r="B2103" s="4">
        <v>5441</v>
      </c>
      <c r="C2103" s="5">
        <f t="shared" si="885"/>
        <v>40014</v>
      </c>
      <c r="D2103" s="4" t="s">
        <v>45</v>
      </c>
      <c r="E2103" s="4">
        <v>16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17.149999999999999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0.57999999999999996</v>
      </c>
      <c r="U2103" s="5">
        <f>C2103+1</f>
        <v>40015</v>
      </c>
    </row>
    <row r="2104" spans="1:21" ht="12" customHeight="1">
      <c r="A2104" s="4">
        <v>914</v>
      </c>
      <c r="B2104" s="4">
        <v>6562</v>
      </c>
      <c r="C2104" s="5">
        <f>DATE(2012,12,31)-1107</f>
        <v>40167</v>
      </c>
      <c r="D2104" s="4" t="s">
        <v>78</v>
      </c>
      <c r="E2104" s="4">
        <v>12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6">C2104+2</f>
        <v>40169</v>
      </c>
    </row>
    <row r="2105" spans="1:21" ht="12" customHeight="1">
      <c r="A2105" s="4">
        <v>998</v>
      </c>
      <c r="B2105" s="4">
        <v>7203</v>
      </c>
      <c r="C2105" s="5">
        <f>DATE(2012,12,31)-1453</f>
        <v>39821</v>
      </c>
      <c r="D2105" s="4" t="s">
        <v>30</v>
      </c>
      <c r="E2105" s="4">
        <v>25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19.989999999999998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6"/>
        <v>39823</v>
      </c>
    </row>
    <row r="2106" spans="1:21" ht="12" customHeight="1">
      <c r="A2106" s="4">
        <v>1047</v>
      </c>
      <c r="B2106" s="4">
        <v>7719</v>
      </c>
      <c r="C2106" s="5">
        <f>DATE(2012,12,31)-1381</f>
        <v>39893</v>
      </c>
      <c r="D2106" s="4" t="s">
        <v>21</v>
      </c>
      <c r="E2106" s="4">
        <v>37</v>
      </c>
      <c r="F2106" s="4">
        <v>522.62</v>
      </c>
      <c r="G2106" s="4">
        <v>0.02</v>
      </c>
      <c r="H2106" s="4" t="s">
        <v>22</v>
      </c>
      <c r="I2106" s="6">
        <v>34.520000000000003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6"/>
        <v>39895</v>
      </c>
    </row>
    <row r="2107" spans="1:21" ht="12" customHeight="1">
      <c r="A2107" s="4">
        <v>1146</v>
      </c>
      <c r="B2107" s="4">
        <v>8353</v>
      </c>
      <c r="C2107" s="5">
        <f t="shared" ref="C2107:C2108" si="887">DATE(2012,12,31)-1326</f>
        <v>39948</v>
      </c>
      <c r="D2107" s="4" t="s">
        <v>63</v>
      </c>
      <c r="E2107" s="4">
        <v>34</v>
      </c>
      <c r="F2107" s="4">
        <v>286.89999999999998</v>
      </c>
      <c r="G2107" s="4">
        <v>0.06</v>
      </c>
      <c r="H2107" s="4" t="s">
        <v>22</v>
      </c>
      <c r="I2107" s="6">
        <v>-36.630000000000003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6"/>
        <v>39950</v>
      </c>
    </row>
    <row r="2108" spans="1:21" ht="12" customHeight="1">
      <c r="A2108" s="4">
        <v>1147</v>
      </c>
      <c r="B2108" s="4">
        <v>8353</v>
      </c>
      <c r="C2108" s="5">
        <f t="shared" si="887"/>
        <v>39948</v>
      </c>
      <c r="D2108" s="4" t="s">
        <v>63</v>
      </c>
      <c r="E2108" s="4">
        <v>16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0.57999999999999996</v>
      </c>
      <c r="U2108" s="5">
        <f t="shared" si="886"/>
        <v>39950</v>
      </c>
    </row>
    <row r="2109" spans="1:21" ht="12" customHeight="1">
      <c r="A2109" s="4">
        <v>1232</v>
      </c>
      <c r="B2109" s="4">
        <v>8997</v>
      </c>
      <c r="C2109" s="5">
        <f t="shared" ref="C2109:C2110" si="888">DATE(2012,12,31)-1279</f>
        <v>39995</v>
      </c>
      <c r="D2109" s="4" t="s">
        <v>21</v>
      </c>
      <c r="E2109" s="4">
        <v>40</v>
      </c>
      <c r="F2109" s="4">
        <v>17279.62</v>
      </c>
      <c r="G2109" s="4">
        <v>0.04</v>
      </c>
      <c r="H2109" s="4" t="s">
        <v>22</v>
      </c>
      <c r="I2109" s="6">
        <v>4176.2530000000006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spans="1:21" ht="12" customHeight="1">
      <c r="A2110" s="4">
        <v>1233</v>
      </c>
      <c r="B2110" s="4">
        <v>8997</v>
      </c>
      <c r="C2110" s="5">
        <f t="shared" si="888"/>
        <v>39995</v>
      </c>
      <c r="D2110" s="4" t="s">
        <v>21</v>
      </c>
      <c r="E2110" s="4">
        <v>20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0.55000000000000004</v>
      </c>
      <c r="U2110" s="5">
        <f>C2110+9</f>
        <v>40004</v>
      </c>
    </row>
    <row r="2111" spans="1:21" ht="12" customHeight="1">
      <c r="A2111" s="4">
        <v>1293</v>
      </c>
      <c r="B2111" s="4">
        <v>9476</v>
      </c>
      <c r="C2111" s="5">
        <f>DATE(2012,12,31)-1316</f>
        <v>39958</v>
      </c>
      <c r="D2111" s="4" t="s">
        <v>45</v>
      </c>
      <c r="E2111" s="4">
        <v>10</v>
      </c>
      <c r="F2111" s="4">
        <v>165.04</v>
      </c>
      <c r="G2111" s="4">
        <v>0.08</v>
      </c>
      <c r="H2111" s="4" t="s">
        <v>56</v>
      </c>
      <c r="I2111" s="6">
        <v>-66.584999999999994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spans="1:21" ht="12" customHeight="1">
      <c r="A2112" s="4">
        <v>1450</v>
      </c>
      <c r="B2112" s="4">
        <v>10464</v>
      </c>
      <c r="C2112" s="5">
        <f>DATE(2012,12,31)-1239</f>
        <v>40035</v>
      </c>
      <c r="D2112" s="4" t="s">
        <v>78</v>
      </c>
      <c r="E2112" s="4">
        <v>23</v>
      </c>
      <c r="F2112" s="4">
        <v>121.73</v>
      </c>
      <c r="G2112" s="4">
        <v>0.01</v>
      </c>
      <c r="H2112" s="4" t="s">
        <v>22</v>
      </c>
      <c r="I2112" s="6">
        <v>-69.069999999999993</v>
      </c>
      <c r="J2112" s="4">
        <v>4.9800000000000004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89">C2112+1</f>
        <v>40036</v>
      </c>
    </row>
    <row r="2113" spans="1:21" ht="12" customHeight="1">
      <c r="A2113" s="4">
        <v>1529</v>
      </c>
      <c r="B2113" s="4">
        <v>11013</v>
      </c>
      <c r="C2113" s="5">
        <f>DATE(2012,12,31)-1354</f>
        <v>39920</v>
      </c>
      <c r="D2113" s="4" t="s">
        <v>30</v>
      </c>
      <c r="E2113" s="4">
        <v>2</v>
      </c>
      <c r="F2113" s="4">
        <v>226.88200000000001</v>
      </c>
      <c r="G2113" s="4">
        <v>0.01</v>
      </c>
      <c r="H2113" s="4" t="s">
        <v>22</v>
      </c>
      <c r="I2113" s="6">
        <v>-582.64799999999991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89"/>
        <v>39921</v>
      </c>
    </row>
    <row r="2114" spans="1:21" ht="12" customHeight="1">
      <c r="A2114" s="4">
        <v>1635</v>
      </c>
      <c r="B2114" s="4">
        <v>11840</v>
      </c>
      <c r="C2114" s="5">
        <f>DATE(2012,12,31)-1235</f>
        <v>40039</v>
      </c>
      <c r="D2114" s="4" t="s">
        <v>78</v>
      </c>
      <c r="E2114" s="4">
        <v>43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4.4800000000000004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89"/>
        <v>40040</v>
      </c>
    </row>
    <row r="2115" spans="1:21" ht="12" customHeight="1">
      <c r="A2115" s="4">
        <v>1652</v>
      </c>
      <c r="B2115" s="4">
        <v>11909</v>
      </c>
      <c r="C2115" s="5">
        <f>DATE(2012,12,31)-1133</f>
        <v>40141</v>
      </c>
      <c r="D2115" s="4" t="s">
        <v>45</v>
      </c>
      <c r="E2115" s="4">
        <v>11</v>
      </c>
      <c r="F2115" s="4">
        <v>194.17400000000001</v>
      </c>
      <c r="G2115" s="4">
        <v>0.03</v>
      </c>
      <c r="H2115" s="4" t="s">
        <v>22</v>
      </c>
      <c r="I2115" s="6">
        <v>-20.911000000000001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0.56999999999999995</v>
      </c>
      <c r="U2115" s="5">
        <f t="shared" ref="U2115:U2116" si="890">C2115+2</f>
        <v>40143</v>
      </c>
    </row>
    <row r="2116" spans="1:21" ht="12" customHeight="1">
      <c r="A2116" s="4">
        <v>1756</v>
      </c>
      <c r="B2116" s="4">
        <v>12581</v>
      </c>
      <c r="C2116" s="5">
        <f>DATE(2012,12,31)-1168</f>
        <v>40106</v>
      </c>
      <c r="D2116" s="4" t="s">
        <v>30</v>
      </c>
      <c r="E2116" s="4">
        <v>31</v>
      </c>
      <c r="F2116" s="4">
        <v>1768.9689999999998</v>
      </c>
      <c r="G2116" s="4">
        <v>0</v>
      </c>
      <c r="H2116" s="4" t="s">
        <v>56</v>
      </c>
      <c r="I2116" s="6">
        <v>341.1</v>
      </c>
      <c r="J2116" s="4">
        <v>65.989999999999995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0.57999999999999996</v>
      </c>
      <c r="U2116" s="5">
        <f t="shared" si="890"/>
        <v>40108</v>
      </c>
    </row>
    <row r="2117" spans="1:21" ht="12" customHeight="1">
      <c r="A2117" s="4">
        <v>1933</v>
      </c>
      <c r="B2117" s="4">
        <v>13825</v>
      </c>
      <c r="C2117" s="5">
        <f>DATE(2012,12,31)-1381</f>
        <v>39893</v>
      </c>
      <c r="D2117" s="4" t="s">
        <v>30</v>
      </c>
      <c r="E2117" s="4">
        <v>30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spans="1:21" ht="12" customHeight="1">
      <c r="A2118" s="4">
        <v>2377</v>
      </c>
      <c r="B2118" s="4">
        <v>17251</v>
      </c>
      <c r="C2118" s="5">
        <f>DATE(2012,12,31)-1161</f>
        <v>40113</v>
      </c>
      <c r="D2118" s="4" t="s">
        <v>45</v>
      </c>
      <c r="E2118" s="4">
        <v>26</v>
      </c>
      <c r="F2118" s="4">
        <v>2951.4380000000001</v>
      </c>
      <c r="G2118" s="4">
        <v>0</v>
      </c>
      <c r="H2118" s="4" t="s">
        <v>22</v>
      </c>
      <c r="I2118" s="6">
        <v>667.27800000000002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0.56999999999999995</v>
      </c>
      <c r="U2118" s="5">
        <f t="shared" ref="U2118:U2119" si="891">C2118+2</f>
        <v>40115</v>
      </c>
    </row>
    <row r="2119" spans="1:21" ht="12" customHeight="1">
      <c r="A2119" s="4">
        <v>2516</v>
      </c>
      <c r="B2119" s="4">
        <v>18279</v>
      </c>
      <c r="C2119" s="5">
        <f t="shared" ref="C2119:C2120" si="892">DATE(2012,12,31)-1404</f>
        <v>39870</v>
      </c>
      <c r="D2119" s="4" t="s">
        <v>63</v>
      </c>
      <c r="E2119" s="4">
        <v>22</v>
      </c>
      <c r="F2119" s="4">
        <v>184.35</v>
      </c>
      <c r="G2119" s="4">
        <v>7.0000000000000007E-2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1"/>
        <v>39872</v>
      </c>
    </row>
    <row r="2120" spans="1:21" ht="12" customHeight="1">
      <c r="A2120" s="4">
        <v>2517</v>
      </c>
      <c r="B2120" s="4">
        <v>18279</v>
      </c>
      <c r="C2120" s="5">
        <f t="shared" si="892"/>
        <v>39870</v>
      </c>
      <c r="D2120" s="4" t="s">
        <v>63</v>
      </c>
      <c r="E2120" s="4">
        <v>20</v>
      </c>
      <c r="F2120" s="4">
        <v>10281.790000000001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3">C2120+1</f>
        <v>39871</v>
      </c>
    </row>
    <row r="2121" spans="1:21" ht="12" customHeight="1">
      <c r="A2121" s="4">
        <v>2589</v>
      </c>
      <c r="B2121" s="4">
        <v>18689</v>
      </c>
      <c r="C2121" s="5">
        <f t="shared" ref="C2121:C2122" si="894">DATE(2012,12,31)-1103</f>
        <v>40171</v>
      </c>
      <c r="D2121" s="4" t="s">
        <v>45</v>
      </c>
      <c r="E2121" s="4">
        <v>38</v>
      </c>
      <c r="F2121" s="4">
        <v>281.17</v>
      </c>
      <c r="G2121" s="4">
        <v>0.01</v>
      </c>
      <c r="H2121" s="4" t="s">
        <v>22</v>
      </c>
      <c r="I2121" s="6">
        <v>-78.372500000000002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3"/>
        <v>40172</v>
      </c>
    </row>
    <row r="2122" spans="1:21" ht="12" customHeight="1">
      <c r="A2122" s="4">
        <v>2590</v>
      </c>
      <c r="B2122" s="4">
        <v>18689</v>
      </c>
      <c r="C2122" s="5">
        <f t="shared" si="894"/>
        <v>40171</v>
      </c>
      <c r="D2122" s="4" t="s">
        <v>45</v>
      </c>
      <c r="E2122" s="4">
        <v>10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9.0299999999999994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3"/>
        <v>40172</v>
      </c>
    </row>
    <row r="2123" spans="1:21" ht="12" customHeight="1">
      <c r="A2123" s="4">
        <v>2696</v>
      </c>
      <c r="B2123" s="4">
        <v>19521</v>
      </c>
      <c r="C2123" s="5">
        <f>DATE(2012,12,31)-1134</f>
        <v>40140</v>
      </c>
      <c r="D2123" s="4" t="s">
        <v>45</v>
      </c>
      <c r="E2123" s="4">
        <v>9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35.479999999999997</v>
      </c>
      <c r="K2123" s="4">
        <v>35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3"/>
        <v>40141</v>
      </c>
    </row>
    <row r="2124" spans="1:21" ht="12" customHeight="1">
      <c r="A2124" s="4">
        <v>2847</v>
      </c>
      <c r="B2124" s="4">
        <v>20513</v>
      </c>
      <c r="C2124" s="5">
        <f>DATE(2012,12,31)-1273</f>
        <v>40001</v>
      </c>
      <c r="D2124" s="4" t="s">
        <v>30</v>
      </c>
      <c r="E2124" s="4">
        <v>13</v>
      </c>
      <c r="F2124" s="4">
        <v>42.27</v>
      </c>
      <c r="G2124" s="4">
        <v>0.01</v>
      </c>
      <c r="H2124" s="4" t="s">
        <v>56</v>
      </c>
      <c r="I2124" s="6">
        <v>4.5599999999999996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3"/>
        <v>40002</v>
      </c>
    </row>
    <row r="2125" spans="1:21" ht="12" customHeight="1">
      <c r="A2125" s="4">
        <v>3422</v>
      </c>
      <c r="B2125" s="4">
        <v>24391</v>
      </c>
      <c r="C2125" s="5">
        <f>DATE(2012,12,31)-1396</f>
        <v>39878</v>
      </c>
      <c r="D2125" s="4" t="s">
        <v>21</v>
      </c>
      <c r="E2125" s="4">
        <v>14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spans="1:21" ht="12" customHeight="1">
      <c r="A2126" s="4">
        <v>3485</v>
      </c>
      <c r="B2126" s="4">
        <v>24802</v>
      </c>
      <c r="C2126" s="5">
        <f>DATE(2012,12,31)-1438</f>
        <v>39836</v>
      </c>
      <c r="D2126" s="4" t="s">
        <v>63</v>
      </c>
      <c r="E2126" s="4">
        <v>18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spans="1:21" ht="12" customHeight="1">
      <c r="A2127" s="4">
        <v>3609</v>
      </c>
      <c r="B2127" s="4">
        <v>25824</v>
      </c>
      <c r="C2127" s="5">
        <f t="shared" ref="C2127:C2130" si="895">DATE(2012,12,31)-1214</f>
        <v>40060</v>
      </c>
      <c r="D2127" s="4" t="s">
        <v>63</v>
      </c>
      <c r="E2127" s="4">
        <v>5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6">C2127+1</f>
        <v>40061</v>
      </c>
    </row>
    <row r="2128" spans="1:21" ht="12" customHeight="1">
      <c r="A2128" s="4">
        <v>3610</v>
      </c>
      <c r="B2128" s="4">
        <v>25824</v>
      </c>
      <c r="C2128" s="5">
        <f t="shared" si="895"/>
        <v>40060</v>
      </c>
      <c r="D2128" s="4" t="s">
        <v>63</v>
      </c>
      <c r="E2128" s="4">
        <v>37</v>
      </c>
      <c r="F2128" s="4">
        <v>14410.78</v>
      </c>
      <c r="G2128" s="4">
        <v>0.02</v>
      </c>
      <c r="H2128" s="4" t="s">
        <v>22</v>
      </c>
      <c r="I2128" s="6">
        <v>6365.5820000000003</v>
      </c>
      <c r="J2128" s="4">
        <v>367.99</v>
      </c>
      <c r="K2128" s="4">
        <v>19.989999999999998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6"/>
        <v>40061</v>
      </c>
    </row>
    <row r="2129" spans="1:21" ht="12" customHeight="1">
      <c r="A2129" s="4">
        <v>3611</v>
      </c>
      <c r="B2129" s="4">
        <v>25824</v>
      </c>
      <c r="C2129" s="5">
        <f t="shared" si="895"/>
        <v>40060</v>
      </c>
      <c r="D2129" s="4" t="s">
        <v>63</v>
      </c>
      <c r="E2129" s="4">
        <v>39</v>
      </c>
      <c r="F2129" s="4">
        <v>15341.46</v>
      </c>
      <c r="G2129" s="4">
        <v>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6"/>
        <v>40061</v>
      </c>
    </row>
    <row r="2130" spans="1:21" ht="12" customHeight="1">
      <c r="A2130" s="4">
        <v>3612</v>
      </c>
      <c r="B2130" s="4">
        <v>25824</v>
      </c>
      <c r="C2130" s="5">
        <f t="shared" si="895"/>
        <v>40060</v>
      </c>
      <c r="D2130" s="4" t="s">
        <v>63</v>
      </c>
      <c r="E2130" s="4">
        <v>6</v>
      </c>
      <c r="F2130" s="4">
        <v>507.56049999999999</v>
      </c>
      <c r="G2130" s="4">
        <v>0.04</v>
      </c>
      <c r="H2130" s="4" t="s">
        <v>22</v>
      </c>
      <c r="I2130" s="6">
        <v>-258.22500000000002</v>
      </c>
      <c r="J2130" s="4">
        <v>95.99</v>
      </c>
      <c r="K2130" s="4">
        <v>4.9000000000000004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0.56000000000000005</v>
      </c>
      <c r="U2130" s="5">
        <f t="shared" ref="U2130:U2131" si="897">C2130+2</f>
        <v>40062</v>
      </c>
    </row>
    <row r="2131" spans="1:21" ht="12" customHeight="1">
      <c r="A2131" s="4">
        <v>3852</v>
      </c>
      <c r="B2131" s="4">
        <v>27463</v>
      </c>
      <c r="C2131" s="5">
        <f t="shared" ref="C2131:C2132" si="898">DATE(2012,12,31)-1144</f>
        <v>40130</v>
      </c>
      <c r="D2131" s="4" t="s">
        <v>63</v>
      </c>
      <c r="E2131" s="4">
        <v>31</v>
      </c>
      <c r="F2131" s="4">
        <v>835.11</v>
      </c>
      <c r="G2131" s="4">
        <v>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7"/>
        <v>40132</v>
      </c>
    </row>
    <row r="2132" spans="1:21" ht="12" customHeight="1">
      <c r="A2132" s="4">
        <v>3853</v>
      </c>
      <c r="B2132" s="4">
        <v>27463</v>
      </c>
      <c r="C2132" s="5">
        <f t="shared" si="898"/>
        <v>40130</v>
      </c>
      <c r="D2132" s="4" t="s">
        <v>63</v>
      </c>
      <c r="E2132" s="4">
        <v>10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4.9800000000000004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spans="1:21" ht="12" customHeight="1">
      <c r="A2133" s="4">
        <v>3941</v>
      </c>
      <c r="B2133" s="4">
        <v>28069</v>
      </c>
      <c r="C2133" s="5">
        <f t="shared" ref="C2133:C2134" si="899">DATE(2012,12,31)-1320</f>
        <v>39954</v>
      </c>
      <c r="D2133" s="4" t="s">
        <v>21</v>
      </c>
      <c r="E2133" s="4">
        <v>1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spans="1:21" ht="12" customHeight="1">
      <c r="A2134" s="4">
        <v>3942</v>
      </c>
      <c r="B2134" s="4">
        <v>28069</v>
      </c>
      <c r="C2134" s="5">
        <f t="shared" si="899"/>
        <v>39954</v>
      </c>
      <c r="D2134" s="4" t="s">
        <v>21</v>
      </c>
      <c r="E2134" s="4">
        <v>4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spans="1:21" ht="12" customHeight="1">
      <c r="A2135" s="4">
        <v>4117</v>
      </c>
      <c r="B2135" s="4">
        <v>29286</v>
      </c>
      <c r="C2135" s="5">
        <f>DATE(2012,12,31)-1252</f>
        <v>40022</v>
      </c>
      <c r="D2135" s="4" t="s">
        <v>78</v>
      </c>
      <c r="E2135" s="4">
        <v>4</v>
      </c>
      <c r="F2135" s="4">
        <v>13070.2</v>
      </c>
      <c r="G2135" s="4">
        <v>7.0000000000000007E-2</v>
      </c>
      <c r="H2135" s="4" t="s">
        <v>31</v>
      </c>
      <c r="I2135" s="6">
        <v>-6923.5991999999997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0.56999999999999995</v>
      </c>
      <c r="U2135" s="5">
        <f t="shared" ref="U2135:U2136" si="900">C2135+2</f>
        <v>40024</v>
      </c>
    </row>
    <row r="2136" spans="1:21" ht="12" customHeight="1">
      <c r="A2136" s="4">
        <v>5010</v>
      </c>
      <c r="B2136" s="4">
        <v>35744</v>
      </c>
      <c r="C2136" s="5">
        <f>DATE(2012,12,31)-1381</f>
        <v>39893</v>
      </c>
      <c r="D2136" s="4" t="s">
        <v>45</v>
      </c>
      <c r="E2136" s="4">
        <v>44</v>
      </c>
      <c r="F2136" s="4">
        <v>2587.5300000000002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0"/>
        <v>39895</v>
      </c>
    </row>
    <row r="2137" spans="1:21" ht="12" customHeight="1">
      <c r="A2137" s="4">
        <v>5042</v>
      </c>
      <c r="B2137" s="4">
        <v>35936</v>
      </c>
      <c r="C2137" s="5">
        <f t="shared" ref="C2137:C2138" si="901">DATE(2012,12,31)-1440</f>
        <v>39834</v>
      </c>
      <c r="D2137" s="4" t="s">
        <v>63</v>
      </c>
      <c r="E2137" s="4">
        <v>41</v>
      </c>
      <c r="F2137" s="4">
        <v>312.26</v>
      </c>
      <c r="G2137" s="4">
        <v>0.08</v>
      </c>
      <c r="H2137" s="4" t="s">
        <v>22</v>
      </c>
      <c r="I2137" s="6">
        <v>-10.384499999999999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2">C2137+1</f>
        <v>39835</v>
      </c>
    </row>
    <row r="2138" spans="1:21" ht="12" customHeight="1">
      <c r="A2138" s="4">
        <v>5043</v>
      </c>
      <c r="B2138" s="4">
        <v>35936</v>
      </c>
      <c r="C2138" s="5">
        <f t="shared" si="901"/>
        <v>39834</v>
      </c>
      <c r="D2138" s="4" t="s">
        <v>63</v>
      </c>
      <c r="E2138" s="4">
        <v>40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2"/>
        <v>39835</v>
      </c>
    </row>
    <row r="2139" spans="1:21" ht="12" customHeight="1">
      <c r="A2139" s="4">
        <v>5213</v>
      </c>
      <c r="B2139" s="4">
        <v>37095</v>
      </c>
      <c r="C2139" s="5">
        <f>DATE(2012,12,31)-1392</f>
        <v>39882</v>
      </c>
      <c r="D2139" s="4" t="s">
        <v>21</v>
      </c>
      <c r="E2139" s="4">
        <v>3</v>
      </c>
      <c r="F2139" s="4">
        <v>18888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spans="1:21" ht="12" customHeight="1">
      <c r="A2140" s="4">
        <v>5248</v>
      </c>
      <c r="B2140" s="4">
        <v>37319</v>
      </c>
      <c r="C2140" s="5">
        <f>DATE(2012,12,31)-1245</f>
        <v>40029</v>
      </c>
      <c r="D2140" s="4" t="s">
        <v>78</v>
      </c>
      <c r="E2140" s="4">
        <v>37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3">C2140+2</f>
        <v>40031</v>
      </c>
    </row>
    <row r="2141" spans="1:21" ht="12" customHeight="1">
      <c r="A2141" s="4">
        <v>5474</v>
      </c>
      <c r="B2141" s="4">
        <v>38886</v>
      </c>
      <c r="C2141" s="5">
        <f>DATE(2012,12,31)-1242</f>
        <v>40032</v>
      </c>
      <c r="D2141" s="4" t="s">
        <v>30</v>
      </c>
      <c r="E2141" s="4">
        <v>26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3"/>
        <v>40034</v>
      </c>
    </row>
    <row r="2142" spans="1:21" ht="12" customHeight="1">
      <c r="A2142" s="4">
        <v>5673</v>
      </c>
      <c r="B2142" s="4">
        <v>40128</v>
      </c>
      <c r="C2142" s="5">
        <f>DATE(2012,12,31)-1421</f>
        <v>39853</v>
      </c>
      <c r="D2142" s="4" t="s">
        <v>21</v>
      </c>
      <c r="E2142" s="4">
        <v>43</v>
      </c>
      <c r="F2142" s="4">
        <v>10318.719999999999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0.56000000000000005</v>
      </c>
      <c r="U2142" s="5">
        <f>C2142+7</f>
        <v>39860</v>
      </c>
    </row>
    <row r="2143" spans="1:21" ht="12" customHeight="1">
      <c r="A2143" s="4">
        <v>5811</v>
      </c>
      <c r="B2143" s="4">
        <v>41189</v>
      </c>
      <c r="C2143" s="5">
        <f>DATE(2012,12,31)-1266</f>
        <v>40008</v>
      </c>
      <c r="D2143" s="4" t="s">
        <v>21</v>
      </c>
      <c r="E2143" s="4">
        <v>30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spans="1:21" ht="12" customHeight="1">
      <c r="A2144" s="4">
        <v>5818</v>
      </c>
      <c r="B2144" s="4">
        <v>41255</v>
      </c>
      <c r="C2144" s="5">
        <f>DATE(2012,12,31)-1170</f>
        <v>40104</v>
      </c>
      <c r="D2144" s="4" t="s">
        <v>21</v>
      </c>
      <c r="E2144" s="4">
        <v>22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spans="1:21" ht="12" customHeight="1">
      <c r="A2145" s="4">
        <v>6046</v>
      </c>
      <c r="B2145" s="4">
        <v>42852</v>
      </c>
      <c r="C2145" s="5">
        <f>DATE(2012,12,31)-1107</f>
        <v>40167</v>
      </c>
      <c r="D2145" s="4" t="s">
        <v>45</v>
      </c>
      <c r="E2145" s="4">
        <v>13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4">C2145+2</f>
        <v>40169</v>
      </c>
    </row>
    <row r="2146" spans="1:21" ht="12" customHeight="1">
      <c r="A2146" s="4">
        <v>6790</v>
      </c>
      <c r="B2146" s="4">
        <v>48385</v>
      </c>
      <c r="C2146" s="5">
        <f>DATE(2012,12,31)-1200</f>
        <v>40074</v>
      </c>
      <c r="D2146" s="4" t="s">
        <v>63</v>
      </c>
      <c r="E2146" s="4">
        <v>16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4.9800000000000004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4"/>
        <v>40076</v>
      </c>
    </row>
    <row r="2147" spans="1:21" ht="12" customHeight="1">
      <c r="A2147" s="4">
        <v>7549</v>
      </c>
      <c r="B2147" s="4">
        <v>54019</v>
      </c>
      <c r="C2147" s="5">
        <f>DATE(2012,12,31)-1279</f>
        <v>39995</v>
      </c>
      <c r="D2147" s="4" t="s">
        <v>21</v>
      </c>
      <c r="E2147" s="4">
        <v>35</v>
      </c>
      <c r="F2147" s="4">
        <v>4233.1499999999996</v>
      </c>
      <c r="G2147" s="4">
        <v>0.08</v>
      </c>
      <c r="H2147" s="4" t="s">
        <v>31</v>
      </c>
      <c r="I2147" s="6">
        <v>1219.8699999999999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spans="1:21" ht="12" customHeight="1">
      <c r="A2148" s="4">
        <v>7812</v>
      </c>
      <c r="B2148" s="4">
        <v>55874</v>
      </c>
      <c r="C2148" s="5">
        <f>DATE(2012,12,31)-1414</f>
        <v>39860</v>
      </c>
      <c r="D2148" s="4" t="s">
        <v>63</v>
      </c>
      <c r="E2148" s="4">
        <v>24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spans="1:21" ht="12" customHeight="1">
      <c r="A2149" s="4">
        <v>7933</v>
      </c>
      <c r="B2149" s="4">
        <v>56706</v>
      </c>
      <c r="C2149" s="5">
        <f>DATE(2012,12,31)-1147</f>
        <v>40127</v>
      </c>
      <c r="D2149" s="4" t="s">
        <v>30</v>
      </c>
      <c r="E2149" s="4">
        <v>7</v>
      </c>
      <c r="F2149" s="4">
        <v>754.92</v>
      </c>
      <c r="G2149" s="4">
        <v>0</v>
      </c>
      <c r="H2149" s="4" t="s">
        <v>22</v>
      </c>
      <c r="I2149" s="6">
        <v>-129.56909999999999</v>
      </c>
      <c r="J2149" s="4">
        <v>99.99</v>
      </c>
      <c r="K2149" s="4">
        <v>19.989999999999998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spans="1:21" ht="12" customHeight="1">
      <c r="A2150" s="4">
        <v>8102</v>
      </c>
      <c r="B2150" s="4">
        <v>57827</v>
      </c>
      <c r="C2150" s="5">
        <f t="shared" ref="C2150:C2151" si="905">DATE(2012,12,31)-1278</f>
        <v>39996</v>
      </c>
      <c r="D2150" s="4" t="s">
        <v>63</v>
      </c>
      <c r="E2150" s="4">
        <v>24</v>
      </c>
      <c r="F2150" s="4">
        <v>2453.3000000000002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35.840000000000003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spans="1:21" ht="12" customHeight="1">
      <c r="A2151" s="4">
        <v>8103</v>
      </c>
      <c r="B2151" s="4">
        <v>57827</v>
      </c>
      <c r="C2151" s="5">
        <f t="shared" si="905"/>
        <v>39996</v>
      </c>
      <c r="D2151" s="4" t="s">
        <v>63</v>
      </c>
      <c r="E2151" s="4">
        <v>29</v>
      </c>
      <c r="F2151" s="4">
        <v>147.02000000000001</v>
      </c>
      <c r="G2151" s="4">
        <v>0.02</v>
      </c>
      <c r="H2151" s="4" t="s">
        <v>22</v>
      </c>
      <c r="I2151" s="6">
        <v>-77.03</v>
      </c>
      <c r="J2151" s="4">
        <v>4.9800000000000004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spans="1:21" ht="12" customHeight="1">
      <c r="A2152" s="4">
        <v>1617</v>
      </c>
      <c r="B2152" s="4">
        <v>11712</v>
      </c>
      <c r="C2152" s="5">
        <f>DATE(2012,12,31)-1345</f>
        <v>39929</v>
      </c>
      <c r="D2152" s="4" t="s">
        <v>21</v>
      </c>
      <c r="E2152" s="4">
        <v>9</v>
      </c>
      <c r="F2152" s="4">
        <v>38.96</v>
      </c>
      <c r="G2152" s="4">
        <v>0.06</v>
      </c>
      <c r="H2152" s="4" t="s">
        <v>22</v>
      </c>
      <c r="I2152" s="6">
        <v>0.36999999999999922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0.56000000000000005</v>
      </c>
      <c r="U2152" s="5">
        <f t="shared" ref="U2152:U2153" si="906">C2152+2</f>
        <v>39931</v>
      </c>
    </row>
    <row r="2153" spans="1:21" ht="12" customHeight="1">
      <c r="A2153" s="4">
        <v>6526</v>
      </c>
      <c r="B2153" s="4">
        <v>46437</v>
      </c>
      <c r="C2153" s="5">
        <f>DATE(2012,12,31)-1203</f>
        <v>40071</v>
      </c>
      <c r="D2153" s="4" t="s">
        <v>63</v>
      </c>
      <c r="E2153" s="4">
        <v>49</v>
      </c>
      <c r="F2153" s="4">
        <v>1488.66</v>
      </c>
      <c r="G2153" s="4">
        <v>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6"/>
        <v>40073</v>
      </c>
    </row>
    <row r="2154" spans="1:21" ht="12" customHeight="1">
      <c r="A2154" s="4">
        <v>7914</v>
      </c>
      <c r="B2154" s="4">
        <v>56581</v>
      </c>
      <c r="C2154" s="5">
        <f>DATE(2012,12,31)-1422</f>
        <v>39852</v>
      </c>
      <c r="D2154" s="4" t="s">
        <v>30</v>
      </c>
      <c r="E2154" s="4">
        <v>20</v>
      </c>
      <c r="F2154" s="4">
        <v>2026.01</v>
      </c>
      <c r="G2154" s="4">
        <v>0.1</v>
      </c>
      <c r="H2154" s="4" t="s">
        <v>56</v>
      </c>
      <c r="I2154" s="6">
        <v>580.42999999999995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A1:U2154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2578125" defaultRowHeight="15" customHeight="1"/>
  <cols>
    <col min="1" max="26" width="8" customWidth="1"/>
  </cols>
  <sheetData>
    <row r="1" spans="1:2" ht="12" customHeight="1">
      <c r="A1" s="7" t="s">
        <v>1</v>
      </c>
      <c r="B1" s="7" t="s">
        <v>2134</v>
      </c>
    </row>
    <row r="2" spans="1:2" ht="12" customHeight="1">
      <c r="A2" s="7">
        <v>65</v>
      </c>
      <c r="B2" s="7" t="s">
        <v>2135</v>
      </c>
    </row>
    <row r="3" spans="1:2" ht="12" customHeight="1">
      <c r="A3" s="7">
        <v>69</v>
      </c>
      <c r="B3" s="7" t="s">
        <v>2135</v>
      </c>
    </row>
    <row r="4" spans="1:2" ht="12" customHeight="1">
      <c r="A4" s="7">
        <v>134</v>
      </c>
      <c r="B4" s="7" t="s">
        <v>2135</v>
      </c>
    </row>
    <row r="5" spans="1:2" ht="12" customHeight="1">
      <c r="A5" s="7">
        <v>135</v>
      </c>
      <c r="B5" s="7" t="s">
        <v>2135</v>
      </c>
    </row>
    <row r="6" spans="1:2" ht="12" customHeight="1">
      <c r="A6" s="7">
        <v>230</v>
      </c>
      <c r="B6" s="7" t="s">
        <v>2135</v>
      </c>
    </row>
    <row r="7" spans="1:2" ht="12" customHeight="1">
      <c r="A7" s="7">
        <v>324</v>
      </c>
      <c r="B7" s="7" t="s">
        <v>2135</v>
      </c>
    </row>
    <row r="8" spans="1:2" ht="12" customHeight="1">
      <c r="A8" s="7">
        <v>359</v>
      </c>
      <c r="B8" s="7" t="s">
        <v>2135</v>
      </c>
    </row>
    <row r="9" spans="1:2" ht="12" customHeight="1">
      <c r="A9" s="7">
        <v>612</v>
      </c>
      <c r="B9" s="7" t="s">
        <v>2135</v>
      </c>
    </row>
    <row r="10" spans="1:2" ht="12" customHeight="1">
      <c r="A10" s="7">
        <v>614</v>
      </c>
      <c r="B10" s="7" t="s">
        <v>2135</v>
      </c>
    </row>
    <row r="11" spans="1:2" ht="12" customHeight="1">
      <c r="A11" s="7">
        <v>678</v>
      </c>
      <c r="B11" s="7" t="s">
        <v>2135</v>
      </c>
    </row>
    <row r="12" spans="1:2" ht="12" customHeight="1">
      <c r="A12" s="7">
        <v>710</v>
      </c>
      <c r="B12" s="7" t="s">
        <v>2135</v>
      </c>
    </row>
    <row r="13" spans="1:2" ht="12" customHeight="1">
      <c r="A13" s="7">
        <v>740</v>
      </c>
      <c r="B13" s="7" t="s">
        <v>2135</v>
      </c>
    </row>
    <row r="14" spans="1:2" ht="12" customHeight="1">
      <c r="A14" s="7">
        <v>775</v>
      </c>
      <c r="B14" s="7" t="s">
        <v>2135</v>
      </c>
    </row>
    <row r="15" spans="1:2" ht="12" customHeight="1">
      <c r="A15" s="7">
        <v>833</v>
      </c>
      <c r="B15" s="7" t="s">
        <v>2135</v>
      </c>
    </row>
    <row r="16" spans="1:2" ht="12" customHeight="1">
      <c r="A16" s="7">
        <v>902</v>
      </c>
      <c r="B16" s="7" t="s">
        <v>2135</v>
      </c>
    </row>
    <row r="17" spans="1:2" ht="12" customHeight="1">
      <c r="A17" s="7">
        <v>928</v>
      </c>
      <c r="B17" s="7" t="s">
        <v>2135</v>
      </c>
    </row>
    <row r="18" spans="1:2" ht="12" customHeight="1">
      <c r="A18" s="7">
        <v>930</v>
      </c>
      <c r="B18" s="7" t="s">
        <v>2135</v>
      </c>
    </row>
    <row r="19" spans="1:2" ht="12" customHeight="1">
      <c r="A19" s="7">
        <v>1060</v>
      </c>
      <c r="B19" s="7" t="s">
        <v>2135</v>
      </c>
    </row>
    <row r="20" spans="1:2" ht="12" customHeight="1">
      <c r="A20" s="7">
        <v>1127</v>
      </c>
      <c r="B20" s="7" t="s">
        <v>2135</v>
      </c>
    </row>
    <row r="21" spans="1:2" ht="12" customHeight="1">
      <c r="A21" s="7">
        <v>1285</v>
      </c>
      <c r="B21" s="7" t="s">
        <v>2135</v>
      </c>
    </row>
    <row r="22" spans="1:2" ht="12" customHeight="1">
      <c r="A22" s="7">
        <v>1317</v>
      </c>
      <c r="B22" s="7" t="s">
        <v>2135</v>
      </c>
    </row>
    <row r="23" spans="1:2" ht="12" customHeight="1">
      <c r="A23" s="7">
        <v>1382</v>
      </c>
      <c r="B23" s="7" t="s">
        <v>2135</v>
      </c>
    </row>
    <row r="24" spans="1:2" ht="12" customHeight="1">
      <c r="A24" s="7">
        <v>1538</v>
      </c>
      <c r="B24" s="7" t="s">
        <v>2135</v>
      </c>
    </row>
    <row r="25" spans="1:2" ht="12" customHeight="1">
      <c r="A25" s="7">
        <v>1665</v>
      </c>
      <c r="B25" s="7" t="s">
        <v>2135</v>
      </c>
    </row>
    <row r="26" spans="1:2" ht="12" customHeight="1">
      <c r="A26" s="7">
        <v>1921</v>
      </c>
      <c r="B26" s="7" t="s">
        <v>2135</v>
      </c>
    </row>
    <row r="27" spans="1:2" ht="12" customHeight="1">
      <c r="A27" s="7">
        <v>2050</v>
      </c>
      <c r="B27" s="7" t="s">
        <v>2135</v>
      </c>
    </row>
    <row r="28" spans="1:2" ht="12" customHeight="1">
      <c r="A28" s="7">
        <v>2052</v>
      </c>
      <c r="B28" s="7" t="s">
        <v>2135</v>
      </c>
    </row>
    <row r="29" spans="1:2" ht="12" customHeight="1">
      <c r="A29" s="7">
        <v>2055</v>
      </c>
      <c r="B29" s="7" t="s">
        <v>2135</v>
      </c>
    </row>
    <row r="30" spans="1:2" ht="12" customHeight="1">
      <c r="A30" s="7">
        <v>2146</v>
      </c>
      <c r="B30" s="7" t="s">
        <v>2135</v>
      </c>
    </row>
    <row r="31" spans="1:2" ht="12" customHeight="1">
      <c r="A31" s="7">
        <v>2213</v>
      </c>
      <c r="B31" s="7" t="s">
        <v>2135</v>
      </c>
    </row>
    <row r="32" spans="1:2" ht="12" customHeight="1">
      <c r="A32" s="7">
        <v>2240</v>
      </c>
      <c r="B32" s="7" t="s">
        <v>2135</v>
      </c>
    </row>
    <row r="33" spans="1:2" ht="12" customHeight="1">
      <c r="A33" s="7">
        <v>2500</v>
      </c>
      <c r="B33" s="7" t="s">
        <v>2135</v>
      </c>
    </row>
    <row r="34" spans="1:2" ht="12" customHeight="1">
      <c r="A34" s="7">
        <v>2503</v>
      </c>
      <c r="B34" s="7" t="s">
        <v>2135</v>
      </c>
    </row>
    <row r="35" spans="1:2" ht="12" customHeight="1">
      <c r="A35" s="7">
        <v>2562</v>
      </c>
      <c r="B35" s="7" t="s">
        <v>2135</v>
      </c>
    </row>
    <row r="36" spans="1:2" ht="12" customHeight="1">
      <c r="A36" s="7">
        <v>2823</v>
      </c>
      <c r="B36" s="7" t="s">
        <v>2135</v>
      </c>
    </row>
    <row r="37" spans="1:2" ht="12" customHeight="1">
      <c r="A37" s="7">
        <v>2915</v>
      </c>
      <c r="B37" s="7" t="s">
        <v>2135</v>
      </c>
    </row>
    <row r="38" spans="1:2" ht="12" customHeight="1">
      <c r="A38" s="7">
        <v>3300</v>
      </c>
      <c r="B38" s="7" t="s">
        <v>2135</v>
      </c>
    </row>
    <row r="39" spans="1:2" ht="12" customHeight="1">
      <c r="A39" s="7">
        <v>3456</v>
      </c>
      <c r="B39" s="7" t="s">
        <v>2135</v>
      </c>
    </row>
    <row r="40" spans="1:2" ht="12" customHeight="1">
      <c r="A40" s="7">
        <v>3525</v>
      </c>
      <c r="B40" s="7" t="s">
        <v>2135</v>
      </c>
    </row>
    <row r="41" spans="1:2" ht="12" customHeight="1">
      <c r="A41" s="7">
        <v>3589</v>
      </c>
      <c r="B41" s="7" t="s">
        <v>2135</v>
      </c>
    </row>
    <row r="42" spans="1:2" ht="12" customHeight="1">
      <c r="A42" s="7">
        <v>3687</v>
      </c>
      <c r="B42" s="7" t="s">
        <v>2135</v>
      </c>
    </row>
    <row r="43" spans="1:2" ht="12" customHeight="1">
      <c r="A43" s="7">
        <v>3777</v>
      </c>
      <c r="B43" s="7" t="s">
        <v>2135</v>
      </c>
    </row>
    <row r="44" spans="1:2" ht="12" customHeight="1">
      <c r="A44" s="7">
        <v>3783</v>
      </c>
      <c r="B44" s="7" t="s">
        <v>2135</v>
      </c>
    </row>
    <row r="45" spans="1:2" ht="12" customHeight="1">
      <c r="A45" s="7">
        <v>4006</v>
      </c>
      <c r="B45" s="7" t="s">
        <v>2135</v>
      </c>
    </row>
    <row r="46" spans="1:2" ht="12" customHeight="1">
      <c r="A46" s="7">
        <v>4037</v>
      </c>
      <c r="B46" s="7" t="s">
        <v>2135</v>
      </c>
    </row>
    <row r="47" spans="1:2" ht="12" customHeight="1">
      <c r="A47" s="7">
        <v>4230</v>
      </c>
      <c r="B47" s="7" t="s">
        <v>2135</v>
      </c>
    </row>
    <row r="48" spans="1:2" ht="12" customHeight="1">
      <c r="A48" s="7">
        <v>4261</v>
      </c>
      <c r="B48" s="7" t="s">
        <v>2135</v>
      </c>
    </row>
    <row r="49" spans="1:2" ht="12" customHeight="1">
      <c r="A49" s="7">
        <v>4391</v>
      </c>
      <c r="B49" s="7" t="s">
        <v>2135</v>
      </c>
    </row>
    <row r="50" spans="1:2" ht="12" customHeight="1">
      <c r="A50" s="7">
        <v>4610</v>
      </c>
      <c r="B50" s="7" t="s">
        <v>2135</v>
      </c>
    </row>
    <row r="51" spans="1:2" ht="12" customHeight="1">
      <c r="A51" s="7">
        <v>4738</v>
      </c>
      <c r="B51" s="7" t="s">
        <v>2135</v>
      </c>
    </row>
    <row r="52" spans="1:2" ht="12" customHeight="1">
      <c r="A52" s="7">
        <v>4864</v>
      </c>
      <c r="B52" s="7" t="s">
        <v>2135</v>
      </c>
    </row>
    <row r="53" spans="1:2" ht="12" customHeight="1">
      <c r="A53" s="7">
        <v>4960</v>
      </c>
      <c r="B53" s="7" t="s">
        <v>2135</v>
      </c>
    </row>
    <row r="54" spans="1:2" ht="12" customHeight="1">
      <c r="A54" s="7">
        <v>5028</v>
      </c>
      <c r="B54" s="7" t="s">
        <v>2135</v>
      </c>
    </row>
    <row r="55" spans="1:2" ht="12" customHeight="1">
      <c r="A55" s="7">
        <v>5059</v>
      </c>
      <c r="B55" s="7" t="s">
        <v>2135</v>
      </c>
    </row>
    <row r="56" spans="1:2" ht="12" customHeight="1">
      <c r="A56" s="7">
        <v>5061</v>
      </c>
      <c r="B56" s="7" t="s">
        <v>2135</v>
      </c>
    </row>
    <row r="57" spans="1:2" ht="12" customHeight="1">
      <c r="A57" s="7">
        <v>5189</v>
      </c>
      <c r="B57" s="7" t="s">
        <v>2135</v>
      </c>
    </row>
    <row r="58" spans="1:2" ht="12" customHeight="1">
      <c r="A58" s="7">
        <v>5381</v>
      </c>
      <c r="B58" s="7" t="s">
        <v>2135</v>
      </c>
    </row>
    <row r="59" spans="1:2" ht="12" customHeight="1">
      <c r="A59" s="7">
        <v>5414</v>
      </c>
      <c r="B59" s="7" t="s">
        <v>2135</v>
      </c>
    </row>
    <row r="60" spans="1:2" ht="12" customHeight="1">
      <c r="A60" s="7">
        <v>5511</v>
      </c>
      <c r="B60" s="7" t="s">
        <v>2135</v>
      </c>
    </row>
    <row r="61" spans="1:2" ht="12" customHeight="1">
      <c r="A61" s="7">
        <v>5699</v>
      </c>
      <c r="B61" s="7" t="s">
        <v>2135</v>
      </c>
    </row>
    <row r="62" spans="1:2" ht="12" customHeight="1">
      <c r="A62" s="7">
        <v>6054</v>
      </c>
      <c r="B62" s="7" t="s">
        <v>2135</v>
      </c>
    </row>
    <row r="63" spans="1:2" ht="12" customHeight="1">
      <c r="A63" s="7">
        <v>6241</v>
      </c>
      <c r="B63" s="7" t="s">
        <v>2135</v>
      </c>
    </row>
    <row r="64" spans="1:2" ht="12" customHeight="1">
      <c r="A64" s="7">
        <v>6272</v>
      </c>
      <c r="B64" s="7" t="s">
        <v>2135</v>
      </c>
    </row>
    <row r="65" spans="1:2" ht="12" customHeight="1">
      <c r="A65" s="7">
        <v>6498</v>
      </c>
      <c r="B65" s="7" t="s">
        <v>2135</v>
      </c>
    </row>
    <row r="66" spans="1:2" ht="12" customHeight="1">
      <c r="A66" s="7">
        <v>6500</v>
      </c>
      <c r="B66" s="7" t="s">
        <v>2135</v>
      </c>
    </row>
    <row r="67" spans="1:2" ht="12" customHeight="1">
      <c r="A67" s="7">
        <v>6502</v>
      </c>
      <c r="B67" s="7" t="s">
        <v>2135</v>
      </c>
    </row>
    <row r="68" spans="1:2" ht="12" customHeight="1">
      <c r="A68" s="7">
        <v>6661</v>
      </c>
      <c r="B68" s="7" t="s">
        <v>2135</v>
      </c>
    </row>
    <row r="69" spans="1:2" ht="12" customHeight="1">
      <c r="A69" s="7">
        <v>6695</v>
      </c>
      <c r="B69" s="7" t="s">
        <v>2135</v>
      </c>
    </row>
    <row r="70" spans="1:2" ht="12" customHeight="1">
      <c r="A70" s="7">
        <v>6757</v>
      </c>
      <c r="B70" s="7" t="s">
        <v>2135</v>
      </c>
    </row>
    <row r="71" spans="1:2" ht="12" customHeight="1">
      <c r="A71" s="7">
        <v>6978</v>
      </c>
      <c r="B71" s="7" t="s">
        <v>2135</v>
      </c>
    </row>
    <row r="72" spans="1:2" ht="12" customHeight="1">
      <c r="A72" s="7">
        <v>6979</v>
      </c>
      <c r="B72" s="7" t="s">
        <v>2135</v>
      </c>
    </row>
    <row r="73" spans="1:2" ht="12" customHeight="1">
      <c r="A73" s="7">
        <v>7079</v>
      </c>
      <c r="B73" s="7" t="s">
        <v>2135</v>
      </c>
    </row>
    <row r="74" spans="1:2" ht="12" customHeight="1">
      <c r="A74" s="7">
        <v>7107</v>
      </c>
      <c r="B74" s="7" t="s">
        <v>2135</v>
      </c>
    </row>
    <row r="75" spans="1:2" ht="12" customHeight="1">
      <c r="A75" s="7">
        <v>7203</v>
      </c>
      <c r="B75" s="7" t="s">
        <v>2135</v>
      </c>
    </row>
    <row r="76" spans="1:2" ht="12" customHeight="1">
      <c r="A76" s="7">
        <v>7269</v>
      </c>
      <c r="B76" s="7" t="s">
        <v>2135</v>
      </c>
    </row>
    <row r="77" spans="1:2" ht="12" customHeight="1">
      <c r="A77" s="7">
        <v>7364</v>
      </c>
      <c r="B77" s="7" t="s">
        <v>2135</v>
      </c>
    </row>
    <row r="78" spans="1:2" ht="12" customHeight="1">
      <c r="A78" s="7">
        <v>7521</v>
      </c>
      <c r="B78" s="7" t="s">
        <v>2135</v>
      </c>
    </row>
    <row r="79" spans="1:2" ht="12" customHeight="1">
      <c r="A79" s="7">
        <v>7744</v>
      </c>
      <c r="B79" s="7" t="s">
        <v>2135</v>
      </c>
    </row>
    <row r="80" spans="1:2" ht="12" customHeight="1">
      <c r="A80" s="7">
        <v>7812</v>
      </c>
      <c r="B80" s="7" t="s">
        <v>2135</v>
      </c>
    </row>
    <row r="81" spans="1:2" ht="12" customHeight="1">
      <c r="A81" s="7">
        <v>7815</v>
      </c>
      <c r="B81" s="7" t="s">
        <v>2135</v>
      </c>
    </row>
    <row r="82" spans="1:2" ht="12" customHeight="1">
      <c r="A82" s="7">
        <v>7841</v>
      </c>
      <c r="B82" s="7" t="s">
        <v>2135</v>
      </c>
    </row>
    <row r="83" spans="1:2" ht="12" customHeight="1">
      <c r="A83" s="7">
        <v>7845</v>
      </c>
      <c r="B83" s="7" t="s">
        <v>2135</v>
      </c>
    </row>
    <row r="84" spans="1:2" ht="12" customHeight="1">
      <c r="A84" s="7">
        <v>8034</v>
      </c>
      <c r="B84" s="7" t="s">
        <v>2135</v>
      </c>
    </row>
    <row r="85" spans="1:2" ht="12" customHeight="1">
      <c r="A85" s="7">
        <v>8133</v>
      </c>
      <c r="B85" s="7" t="s">
        <v>2135</v>
      </c>
    </row>
    <row r="86" spans="1:2" ht="12" customHeight="1">
      <c r="A86" s="7">
        <v>8292</v>
      </c>
      <c r="B86" s="7" t="s">
        <v>2135</v>
      </c>
    </row>
    <row r="87" spans="1:2" ht="12" customHeight="1">
      <c r="A87" s="7">
        <v>8293</v>
      </c>
      <c r="B87" s="7" t="s">
        <v>2135</v>
      </c>
    </row>
    <row r="88" spans="1:2" ht="12" customHeight="1">
      <c r="A88" s="7">
        <v>8353</v>
      </c>
      <c r="B88" s="7" t="s">
        <v>2135</v>
      </c>
    </row>
    <row r="89" spans="1:2" ht="12" customHeight="1">
      <c r="A89" s="7">
        <v>8961</v>
      </c>
      <c r="B89" s="7" t="s">
        <v>2135</v>
      </c>
    </row>
    <row r="90" spans="1:2" ht="12" customHeight="1">
      <c r="A90" s="7">
        <v>9027</v>
      </c>
      <c r="B90" s="7" t="s">
        <v>2135</v>
      </c>
    </row>
    <row r="91" spans="1:2" ht="12" customHeight="1">
      <c r="A91" s="7">
        <v>9093</v>
      </c>
      <c r="B91" s="7" t="s">
        <v>2135</v>
      </c>
    </row>
    <row r="92" spans="1:2" ht="12" customHeight="1">
      <c r="A92" s="7">
        <v>9152</v>
      </c>
      <c r="B92" s="7" t="s">
        <v>2135</v>
      </c>
    </row>
    <row r="93" spans="1:2" ht="12" customHeight="1">
      <c r="A93" s="7">
        <v>9219</v>
      </c>
      <c r="B93" s="7" t="s">
        <v>2135</v>
      </c>
    </row>
    <row r="94" spans="1:2" ht="12" customHeight="1">
      <c r="A94" s="7">
        <v>9472</v>
      </c>
      <c r="B94" s="7" t="s">
        <v>2135</v>
      </c>
    </row>
    <row r="95" spans="1:2" ht="12" customHeight="1">
      <c r="A95" s="7">
        <v>9574</v>
      </c>
      <c r="B95" s="7" t="s">
        <v>2135</v>
      </c>
    </row>
    <row r="96" spans="1:2" ht="12" customHeight="1">
      <c r="A96" s="7">
        <v>9696</v>
      </c>
      <c r="B96" s="7" t="s">
        <v>2135</v>
      </c>
    </row>
    <row r="97" spans="1:2" ht="12" customHeight="1">
      <c r="A97" s="7">
        <v>9701</v>
      </c>
      <c r="B97" s="7" t="s">
        <v>2135</v>
      </c>
    </row>
    <row r="98" spans="1:2" ht="12" customHeight="1">
      <c r="A98" s="7">
        <v>9762</v>
      </c>
      <c r="B98" s="7" t="s">
        <v>2135</v>
      </c>
    </row>
    <row r="99" spans="1:2" ht="12" customHeight="1">
      <c r="A99" s="7">
        <v>9829</v>
      </c>
      <c r="B99" s="7" t="s">
        <v>2135</v>
      </c>
    </row>
    <row r="100" spans="1:2" ht="12" customHeight="1">
      <c r="A100" s="7">
        <v>9895</v>
      </c>
      <c r="B100" s="7" t="s">
        <v>2135</v>
      </c>
    </row>
    <row r="101" spans="1:2" ht="12" customHeight="1">
      <c r="A101" s="7">
        <v>9923</v>
      </c>
      <c r="B101" s="7" t="s">
        <v>2135</v>
      </c>
    </row>
    <row r="102" spans="1:2" ht="12" customHeight="1">
      <c r="A102" s="7">
        <v>9927</v>
      </c>
      <c r="B102" s="7" t="s">
        <v>2135</v>
      </c>
    </row>
    <row r="103" spans="1:2" ht="12" customHeight="1">
      <c r="A103" s="7">
        <v>10054</v>
      </c>
      <c r="B103" s="7" t="s">
        <v>2135</v>
      </c>
    </row>
    <row r="104" spans="1:2" ht="12" customHeight="1">
      <c r="A104" s="7">
        <v>10183</v>
      </c>
      <c r="B104" s="7" t="s">
        <v>2135</v>
      </c>
    </row>
    <row r="105" spans="1:2" ht="12" customHeight="1">
      <c r="A105" s="7">
        <v>10498</v>
      </c>
      <c r="B105" s="7" t="s">
        <v>2135</v>
      </c>
    </row>
    <row r="106" spans="1:2" ht="12" customHeight="1">
      <c r="A106" s="7">
        <v>10662</v>
      </c>
      <c r="B106" s="7" t="s">
        <v>2135</v>
      </c>
    </row>
    <row r="107" spans="1:2" ht="12" customHeight="1">
      <c r="A107" s="7">
        <v>10917</v>
      </c>
      <c r="B107" s="7" t="s">
        <v>2135</v>
      </c>
    </row>
    <row r="108" spans="1:2" ht="12" customHeight="1">
      <c r="A108" s="7">
        <v>11271</v>
      </c>
      <c r="B108" s="7" t="s">
        <v>2135</v>
      </c>
    </row>
    <row r="109" spans="1:2" ht="12" customHeight="1">
      <c r="A109" s="7">
        <v>11396</v>
      </c>
      <c r="B109" s="7" t="s">
        <v>2135</v>
      </c>
    </row>
    <row r="110" spans="1:2" ht="12" customHeight="1">
      <c r="A110" s="7">
        <v>11425</v>
      </c>
      <c r="B110" s="7" t="s">
        <v>2135</v>
      </c>
    </row>
    <row r="111" spans="1:2" ht="12" customHeight="1">
      <c r="A111" s="7">
        <v>11426</v>
      </c>
      <c r="B111" s="7" t="s">
        <v>2135</v>
      </c>
    </row>
    <row r="112" spans="1:2" ht="12" customHeight="1">
      <c r="A112" s="7">
        <v>11648</v>
      </c>
      <c r="B112" s="7" t="s">
        <v>2135</v>
      </c>
    </row>
    <row r="113" spans="1:2" ht="12" customHeight="1">
      <c r="A113" s="7">
        <v>11652</v>
      </c>
      <c r="B113" s="7" t="s">
        <v>2135</v>
      </c>
    </row>
    <row r="114" spans="1:2" ht="12" customHeight="1">
      <c r="A114" s="7">
        <v>11682</v>
      </c>
      <c r="B114" s="7" t="s">
        <v>2135</v>
      </c>
    </row>
    <row r="115" spans="1:2" ht="12" customHeight="1">
      <c r="A115" s="7">
        <v>11748</v>
      </c>
      <c r="B115" s="7" t="s">
        <v>2135</v>
      </c>
    </row>
    <row r="116" spans="1:2" ht="12" customHeight="1">
      <c r="A116" s="7">
        <v>11909</v>
      </c>
      <c r="B116" s="7" t="s">
        <v>2135</v>
      </c>
    </row>
    <row r="117" spans="1:2" ht="12" customHeight="1">
      <c r="A117" s="7">
        <v>11911</v>
      </c>
      <c r="B117" s="7" t="s">
        <v>2135</v>
      </c>
    </row>
    <row r="118" spans="1:2" ht="12" customHeight="1">
      <c r="A118" s="7">
        <v>12005</v>
      </c>
      <c r="B118" s="7" t="s">
        <v>2135</v>
      </c>
    </row>
    <row r="119" spans="1:2" ht="12" customHeight="1">
      <c r="A119" s="7">
        <v>12067</v>
      </c>
      <c r="B119" s="7" t="s">
        <v>2135</v>
      </c>
    </row>
    <row r="120" spans="1:2" ht="12" customHeight="1">
      <c r="A120" s="7">
        <v>12096</v>
      </c>
      <c r="B120" s="7" t="s">
        <v>2135</v>
      </c>
    </row>
    <row r="121" spans="1:2" ht="12" customHeight="1">
      <c r="A121" s="7">
        <v>12262</v>
      </c>
      <c r="B121" s="7" t="s">
        <v>2135</v>
      </c>
    </row>
    <row r="122" spans="1:2" ht="12" customHeight="1">
      <c r="A122" s="7">
        <v>12263</v>
      </c>
      <c r="B122" s="7" t="s">
        <v>2135</v>
      </c>
    </row>
    <row r="123" spans="1:2" ht="12" customHeight="1">
      <c r="A123" s="7">
        <v>12389</v>
      </c>
      <c r="B123" s="7" t="s">
        <v>2135</v>
      </c>
    </row>
    <row r="124" spans="1:2" ht="12" customHeight="1">
      <c r="A124" s="7">
        <v>12451</v>
      </c>
      <c r="B124" s="7" t="s">
        <v>2135</v>
      </c>
    </row>
    <row r="125" spans="1:2" ht="12" customHeight="1">
      <c r="A125" s="7">
        <v>12483</v>
      </c>
      <c r="B125" s="7" t="s">
        <v>2135</v>
      </c>
    </row>
    <row r="126" spans="1:2" ht="12" customHeight="1">
      <c r="A126" s="7">
        <v>12580</v>
      </c>
      <c r="B126" s="7" t="s">
        <v>2135</v>
      </c>
    </row>
    <row r="127" spans="1:2" ht="12" customHeight="1">
      <c r="A127" s="7">
        <v>12613</v>
      </c>
      <c r="B127" s="7" t="s">
        <v>2135</v>
      </c>
    </row>
    <row r="128" spans="1:2" ht="12" customHeight="1">
      <c r="A128" s="7">
        <v>12704</v>
      </c>
      <c r="B128" s="7" t="s">
        <v>2135</v>
      </c>
    </row>
    <row r="129" spans="1:2" ht="12" customHeight="1">
      <c r="A129" s="7">
        <v>12706</v>
      </c>
      <c r="B129" s="7" t="s">
        <v>2135</v>
      </c>
    </row>
    <row r="130" spans="1:2" ht="12" customHeight="1">
      <c r="A130" s="7">
        <v>12710</v>
      </c>
      <c r="B130" s="7" t="s">
        <v>2135</v>
      </c>
    </row>
    <row r="131" spans="1:2" ht="12" customHeight="1">
      <c r="A131" s="7">
        <v>12806</v>
      </c>
      <c r="B131" s="7" t="s">
        <v>2135</v>
      </c>
    </row>
    <row r="132" spans="1:2" ht="12" customHeight="1">
      <c r="A132" s="7">
        <v>12900</v>
      </c>
      <c r="B132" s="7" t="s">
        <v>2135</v>
      </c>
    </row>
    <row r="133" spans="1:2" ht="12" customHeight="1">
      <c r="A133" s="7">
        <v>12903</v>
      </c>
      <c r="B133" s="7" t="s">
        <v>2135</v>
      </c>
    </row>
    <row r="134" spans="1:2" ht="12" customHeight="1">
      <c r="A134" s="7">
        <v>13091</v>
      </c>
      <c r="B134" s="7" t="s">
        <v>2135</v>
      </c>
    </row>
    <row r="135" spans="1:2" ht="12" customHeight="1">
      <c r="A135" s="7">
        <v>13158</v>
      </c>
      <c r="B135" s="7" t="s">
        <v>2135</v>
      </c>
    </row>
    <row r="136" spans="1:2" ht="12" customHeight="1">
      <c r="A136" s="7">
        <v>13218</v>
      </c>
      <c r="B136" s="7" t="s">
        <v>2135</v>
      </c>
    </row>
    <row r="137" spans="1:2" ht="12" customHeight="1">
      <c r="A137" s="7">
        <v>13284</v>
      </c>
      <c r="B137" s="7" t="s">
        <v>2135</v>
      </c>
    </row>
    <row r="138" spans="1:2" ht="12" customHeight="1">
      <c r="A138" s="7">
        <v>13410</v>
      </c>
      <c r="B138" s="7" t="s">
        <v>2135</v>
      </c>
    </row>
    <row r="139" spans="1:2" ht="12" customHeight="1">
      <c r="A139" s="7">
        <v>13444</v>
      </c>
      <c r="B139" s="7" t="s">
        <v>2135</v>
      </c>
    </row>
    <row r="140" spans="1:2" ht="12" customHeight="1">
      <c r="A140" s="7">
        <v>13638</v>
      </c>
      <c r="B140" s="7" t="s">
        <v>2135</v>
      </c>
    </row>
    <row r="141" spans="1:2" ht="12" customHeight="1">
      <c r="A141" s="7">
        <v>13729</v>
      </c>
      <c r="B141" s="7" t="s">
        <v>2135</v>
      </c>
    </row>
    <row r="142" spans="1:2" ht="12" customHeight="1">
      <c r="A142" s="7">
        <v>13765</v>
      </c>
      <c r="B142" s="7" t="s">
        <v>2135</v>
      </c>
    </row>
    <row r="143" spans="1:2" ht="12" customHeight="1">
      <c r="A143" s="7">
        <v>13959</v>
      </c>
      <c r="B143" s="7" t="s">
        <v>2135</v>
      </c>
    </row>
    <row r="144" spans="1:2" ht="12" customHeight="1">
      <c r="A144" s="7">
        <v>13984</v>
      </c>
      <c r="B144" s="7" t="s">
        <v>2135</v>
      </c>
    </row>
    <row r="145" spans="1:2" ht="12" customHeight="1">
      <c r="A145" s="7">
        <v>13986</v>
      </c>
      <c r="B145" s="7" t="s">
        <v>2135</v>
      </c>
    </row>
    <row r="146" spans="1:2" ht="12" customHeight="1">
      <c r="A146" s="7">
        <v>14176</v>
      </c>
      <c r="B146" s="7" t="s">
        <v>2135</v>
      </c>
    </row>
    <row r="147" spans="1:2" ht="12" customHeight="1">
      <c r="A147" s="7">
        <v>14242</v>
      </c>
      <c r="B147" s="7" t="s">
        <v>2135</v>
      </c>
    </row>
    <row r="148" spans="1:2" ht="12" customHeight="1">
      <c r="A148" s="7">
        <v>14406</v>
      </c>
      <c r="B148" s="7" t="s">
        <v>2135</v>
      </c>
    </row>
    <row r="149" spans="1:2" ht="12" customHeight="1">
      <c r="A149" s="7">
        <v>14497</v>
      </c>
      <c r="B149" s="7" t="s">
        <v>2135</v>
      </c>
    </row>
    <row r="150" spans="1:2" ht="12" customHeight="1">
      <c r="A150" s="7">
        <v>14528</v>
      </c>
      <c r="B150" s="7" t="s">
        <v>2135</v>
      </c>
    </row>
    <row r="151" spans="1:2" ht="12" customHeight="1">
      <c r="A151" s="7">
        <v>14534</v>
      </c>
      <c r="B151" s="7" t="s">
        <v>2135</v>
      </c>
    </row>
    <row r="152" spans="1:2" ht="12" customHeight="1">
      <c r="A152" s="7">
        <v>14820</v>
      </c>
      <c r="B152" s="7" t="s">
        <v>2135</v>
      </c>
    </row>
    <row r="153" spans="1:2" ht="12" customHeight="1">
      <c r="A153" s="7">
        <v>14951</v>
      </c>
      <c r="B153" s="7" t="s">
        <v>2135</v>
      </c>
    </row>
    <row r="154" spans="1:2" ht="12" customHeight="1">
      <c r="A154" s="7">
        <v>15009</v>
      </c>
      <c r="B154" s="7" t="s">
        <v>2135</v>
      </c>
    </row>
    <row r="155" spans="1:2" ht="12" customHeight="1">
      <c r="A155" s="7">
        <v>15106</v>
      </c>
      <c r="B155" s="7" t="s">
        <v>2135</v>
      </c>
    </row>
    <row r="156" spans="1:2" ht="12" customHeight="1">
      <c r="A156" s="7">
        <v>15202</v>
      </c>
      <c r="B156" s="7" t="s">
        <v>2135</v>
      </c>
    </row>
    <row r="157" spans="1:2" ht="12" customHeight="1">
      <c r="A157" s="7">
        <v>15206</v>
      </c>
      <c r="B157" s="7" t="s">
        <v>2135</v>
      </c>
    </row>
    <row r="158" spans="1:2" ht="12" customHeight="1">
      <c r="A158" s="7">
        <v>15303</v>
      </c>
      <c r="B158" s="7" t="s">
        <v>2135</v>
      </c>
    </row>
    <row r="159" spans="1:2" ht="12" customHeight="1">
      <c r="A159" s="7">
        <v>15712</v>
      </c>
      <c r="B159" s="7" t="s">
        <v>2135</v>
      </c>
    </row>
    <row r="160" spans="1:2" ht="12" customHeight="1">
      <c r="A160" s="7">
        <v>15718</v>
      </c>
      <c r="B160" s="7" t="s">
        <v>2135</v>
      </c>
    </row>
    <row r="161" spans="1:2" ht="12" customHeight="1">
      <c r="A161" s="7">
        <v>15778</v>
      </c>
      <c r="B161" s="7" t="s">
        <v>2135</v>
      </c>
    </row>
    <row r="162" spans="1:2" ht="12" customHeight="1">
      <c r="A162" s="7">
        <v>15872</v>
      </c>
      <c r="B162" s="7" t="s">
        <v>2135</v>
      </c>
    </row>
    <row r="163" spans="1:2" ht="12" customHeight="1">
      <c r="A163" s="7">
        <v>15904</v>
      </c>
      <c r="B163" s="7" t="s">
        <v>2135</v>
      </c>
    </row>
    <row r="164" spans="1:2" ht="12" customHeight="1">
      <c r="A164" s="7">
        <v>16134</v>
      </c>
      <c r="B164" s="7" t="s">
        <v>2135</v>
      </c>
    </row>
    <row r="165" spans="1:2" ht="12" customHeight="1">
      <c r="A165" s="7">
        <v>16582</v>
      </c>
      <c r="B165" s="7" t="s">
        <v>2135</v>
      </c>
    </row>
    <row r="166" spans="1:2" ht="12" customHeight="1">
      <c r="A166" s="7">
        <v>16641</v>
      </c>
      <c r="B166" s="7" t="s">
        <v>2135</v>
      </c>
    </row>
    <row r="167" spans="1:2" ht="12" customHeight="1">
      <c r="A167" s="7">
        <v>16679</v>
      </c>
      <c r="B167" s="7" t="s">
        <v>2135</v>
      </c>
    </row>
    <row r="168" spans="1:2" ht="12" customHeight="1">
      <c r="A168" s="7">
        <v>16864</v>
      </c>
      <c r="B168" s="7" t="s">
        <v>2135</v>
      </c>
    </row>
    <row r="169" spans="1:2" ht="12" customHeight="1">
      <c r="A169" s="7">
        <v>16961</v>
      </c>
      <c r="B169" s="7" t="s">
        <v>2135</v>
      </c>
    </row>
    <row r="170" spans="1:2" ht="12" customHeight="1">
      <c r="A170" s="7">
        <v>17058</v>
      </c>
      <c r="B170" s="7" t="s">
        <v>2135</v>
      </c>
    </row>
    <row r="171" spans="1:2" ht="12" customHeight="1">
      <c r="A171" s="7">
        <v>17155</v>
      </c>
      <c r="B171" s="7" t="s">
        <v>2135</v>
      </c>
    </row>
    <row r="172" spans="1:2" ht="12" customHeight="1">
      <c r="A172" s="7">
        <v>17255</v>
      </c>
      <c r="B172" s="7" t="s">
        <v>2135</v>
      </c>
    </row>
    <row r="173" spans="1:2" ht="12" customHeight="1">
      <c r="A173" s="7">
        <v>17282</v>
      </c>
      <c r="B173" s="7" t="s">
        <v>2135</v>
      </c>
    </row>
    <row r="174" spans="1:2" ht="12" customHeight="1">
      <c r="A174" s="7">
        <v>17313</v>
      </c>
      <c r="B174" s="7" t="s">
        <v>2135</v>
      </c>
    </row>
    <row r="175" spans="1:2" ht="12" customHeight="1">
      <c r="A175" s="7">
        <v>17508</v>
      </c>
      <c r="B175" s="7" t="s">
        <v>2135</v>
      </c>
    </row>
    <row r="176" spans="1:2" ht="12" customHeight="1">
      <c r="A176" s="7">
        <v>17668</v>
      </c>
      <c r="B176" s="7" t="s">
        <v>2135</v>
      </c>
    </row>
    <row r="177" spans="1:2" ht="12" customHeight="1">
      <c r="A177" s="7">
        <v>17858</v>
      </c>
      <c r="B177" s="7" t="s">
        <v>2135</v>
      </c>
    </row>
    <row r="178" spans="1:2" ht="12" customHeight="1">
      <c r="A178" s="7">
        <v>17985</v>
      </c>
      <c r="B178" s="7" t="s">
        <v>2135</v>
      </c>
    </row>
    <row r="179" spans="1:2" ht="12" customHeight="1">
      <c r="A179" s="7">
        <v>17988</v>
      </c>
      <c r="B179" s="7" t="s">
        <v>2135</v>
      </c>
    </row>
    <row r="180" spans="1:2" ht="12" customHeight="1">
      <c r="A180" s="7">
        <v>18119</v>
      </c>
      <c r="B180" s="7" t="s">
        <v>2135</v>
      </c>
    </row>
    <row r="181" spans="1:2" ht="12" customHeight="1">
      <c r="A181" s="7">
        <v>18215</v>
      </c>
      <c r="B181" s="7" t="s">
        <v>2135</v>
      </c>
    </row>
    <row r="182" spans="1:2" ht="12" customHeight="1">
      <c r="A182" s="7">
        <v>18336</v>
      </c>
      <c r="B182" s="7" t="s">
        <v>2135</v>
      </c>
    </row>
    <row r="183" spans="1:2" ht="12" customHeight="1">
      <c r="A183" s="7">
        <v>18496</v>
      </c>
      <c r="B183" s="7" t="s">
        <v>2135</v>
      </c>
    </row>
    <row r="184" spans="1:2" ht="12" customHeight="1">
      <c r="A184" s="7">
        <v>18533</v>
      </c>
      <c r="B184" s="7" t="s">
        <v>2135</v>
      </c>
    </row>
    <row r="185" spans="1:2" ht="12" customHeight="1">
      <c r="A185" s="7">
        <v>18593</v>
      </c>
      <c r="B185" s="7" t="s">
        <v>2135</v>
      </c>
    </row>
    <row r="186" spans="1:2" ht="12" customHeight="1">
      <c r="A186" s="7">
        <v>18661</v>
      </c>
      <c r="B186" s="7" t="s">
        <v>2135</v>
      </c>
    </row>
    <row r="187" spans="1:2" ht="12" customHeight="1">
      <c r="A187" s="7">
        <v>18689</v>
      </c>
      <c r="B187" s="7" t="s">
        <v>2135</v>
      </c>
    </row>
    <row r="188" spans="1:2" ht="12" customHeight="1">
      <c r="A188" s="7">
        <v>18753</v>
      </c>
      <c r="B188" s="7" t="s">
        <v>2135</v>
      </c>
    </row>
    <row r="189" spans="1:2" ht="12" customHeight="1">
      <c r="A189" s="7">
        <v>18822</v>
      </c>
      <c r="B189" s="7" t="s">
        <v>2135</v>
      </c>
    </row>
    <row r="190" spans="1:2" ht="12" customHeight="1">
      <c r="A190" s="7">
        <v>18919</v>
      </c>
      <c r="B190" s="7" t="s">
        <v>2135</v>
      </c>
    </row>
    <row r="191" spans="1:2" ht="12" customHeight="1">
      <c r="A191" s="7">
        <v>19010</v>
      </c>
      <c r="B191" s="7" t="s">
        <v>2135</v>
      </c>
    </row>
    <row r="192" spans="1:2" ht="12" customHeight="1">
      <c r="A192" s="7">
        <v>19078</v>
      </c>
      <c r="B192" s="7" t="s">
        <v>2135</v>
      </c>
    </row>
    <row r="193" spans="1:2" ht="12" customHeight="1">
      <c r="A193" s="7">
        <v>19138</v>
      </c>
      <c r="B193" s="7" t="s">
        <v>2135</v>
      </c>
    </row>
    <row r="194" spans="1:2" ht="12" customHeight="1">
      <c r="A194" s="7">
        <v>19523</v>
      </c>
      <c r="B194" s="7" t="s">
        <v>2135</v>
      </c>
    </row>
    <row r="195" spans="1:2" ht="12" customHeight="1">
      <c r="A195" s="7">
        <v>19616</v>
      </c>
      <c r="B195" s="7" t="s">
        <v>2135</v>
      </c>
    </row>
    <row r="196" spans="1:2" ht="12" customHeight="1">
      <c r="A196" s="7">
        <v>19718</v>
      </c>
      <c r="B196" s="7" t="s">
        <v>2135</v>
      </c>
    </row>
    <row r="197" spans="1:2" ht="12" customHeight="1">
      <c r="A197" s="7">
        <v>20036</v>
      </c>
      <c r="B197" s="7" t="s">
        <v>2135</v>
      </c>
    </row>
    <row r="198" spans="1:2" ht="12" customHeight="1">
      <c r="A198" s="7">
        <v>20134</v>
      </c>
      <c r="B198" s="7" t="s">
        <v>2135</v>
      </c>
    </row>
    <row r="199" spans="1:2" ht="12" customHeight="1">
      <c r="A199" s="7">
        <v>20389</v>
      </c>
      <c r="B199" s="7" t="s">
        <v>2135</v>
      </c>
    </row>
    <row r="200" spans="1:2" ht="12" customHeight="1">
      <c r="A200" s="7">
        <v>20453</v>
      </c>
      <c r="B200" s="7" t="s">
        <v>2135</v>
      </c>
    </row>
    <row r="201" spans="1:2" ht="12" customHeight="1">
      <c r="A201" s="7">
        <v>20480</v>
      </c>
      <c r="B201" s="7" t="s">
        <v>2135</v>
      </c>
    </row>
    <row r="202" spans="1:2" ht="12" customHeight="1">
      <c r="A202" s="7">
        <v>20486</v>
      </c>
      <c r="B202" s="7" t="s">
        <v>2135</v>
      </c>
    </row>
    <row r="203" spans="1:2" ht="12" customHeight="1">
      <c r="A203" s="7">
        <v>20704</v>
      </c>
      <c r="B203" s="7" t="s">
        <v>2135</v>
      </c>
    </row>
    <row r="204" spans="1:2" ht="12" customHeight="1">
      <c r="A204" s="7">
        <v>20743</v>
      </c>
      <c r="B204" s="7" t="s">
        <v>2135</v>
      </c>
    </row>
    <row r="205" spans="1:2" ht="12" customHeight="1">
      <c r="A205" s="7">
        <v>20864</v>
      </c>
      <c r="B205" s="7" t="s">
        <v>2135</v>
      </c>
    </row>
    <row r="206" spans="1:2" ht="12" customHeight="1">
      <c r="A206" s="7">
        <v>20899</v>
      </c>
      <c r="B206" s="7" t="s">
        <v>2135</v>
      </c>
    </row>
    <row r="207" spans="1:2" ht="12" customHeight="1">
      <c r="A207" s="7">
        <v>20934</v>
      </c>
      <c r="B207" s="7" t="s">
        <v>2135</v>
      </c>
    </row>
    <row r="208" spans="1:2" ht="12" customHeight="1">
      <c r="A208" s="7">
        <v>21222</v>
      </c>
      <c r="B208" s="7" t="s">
        <v>2135</v>
      </c>
    </row>
    <row r="209" spans="1:2" ht="12" customHeight="1">
      <c r="A209" s="7">
        <v>21286</v>
      </c>
      <c r="B209" s="7" t="s">
        <v>2135</v>
      </c>
    </row>
    <row r="210" spans="1:2" ht="12" customHeight="1">
      <c r="A210" s="7">
        <v>21346</v>
      </c>
      <c r="B210" s="7" t="s">
        <v>2135</v>
      </c>
    </row>
    <row r="211" spans="1:2" ht="12" customHeight="1">
      <c r="A211" s="7">
        <v>21383</v>
      </c>
      <c r="B211" s="7" t="s">
        <v>2135</v>
      </c>
    </row>
    <row r="212" spans="1:2" ht="12" customHeight="1">
      <c r="A212" s="7">
        <v>21729</v>
      </c>
      <c r="B212" s="7" t="s">
        <v>2135</v>
      </c>
    </row>
    <row r="213" spans="1:2" ht="12" customHeight="1">
      <c r="A213" s="7">
        <v>21824</v>
      </c>
      <c r="B213" s="7" t="s">
        <v>2135</v>
      </c>
    </row>
    <row r="214" spans="1:2" ht="12" customHeight="1">
      <c r="A214" s="7">
        <v>21890</v>
      </c>
      <c r="B214" s="7" t="s">
        <v>2135</v>
      </c>
    </row>
    <row r="215" spans="1:2" ht="12" customHeight="1">
      <c r="A215" s="7">
        <v>22181</v>
      </c>
      <c r="B215" s="7" t="s">
        <v>2135</v>
      </c>
    </row>
    <row r="216" spans="1:2" ht="12" customHeight="1">
      <c r="A216" s="7">
        <v>22402</v>
      </c>
      <c r="B216" s="7" t="s">
        <v>2135</v>
      </c>
    </row>
    <row r="217" spans="1:2" ht="12" customHeight="1">
      <c r="A217" s="7">
        <v>22627</v>
      </c>
      <c r="B217" s="7" t="s">
        <v>2135</v>
      </c>
    </row>
    <row r="218" spans="1:2" ht="12" customHeight="1">
      <c r="A218" s="7">
        <v>22656</v>
      </c>
      <c r="B218" s="7" t="s">
        <v>2135</v>
      </c>
    </row>
    <row r="219" spans="1:2" ht="12" customHeight="1">
      <c r="A219" s="7">
        <v>22661</v>
      </c>
      <c r="B219" s="7" t="s">
        <v>2135</v>
      </c>
    </row>
    <row r="220" spans="1:2" ht="12" customHeight="1">
      <c r="A220" s="7">
        <v>22787</v>
      </c>
      <c r="B220" s="7" t="s">
        <v>2135</v>
      </c>
    </row>
    <row r="221" spans="1:2" ht="12" customHeight="1">
      <c r="A221" s="7">
        <v>22820</v>
      </c>
      <c r="B221" s="7" t="s">
        <v>2135</v>
      </c>
    </row>
    <row r="222" spans="1:2" ht="12" customHeight="1">
      <c r="A222" s="7">
        <v>22947</v>
      </c>
      <c r="B222" s="7" t="s">
        <v>2135</v>
      </c>
    </row>
    <row r="223" spans="1:2" ht="12" customHeight="1">
      <c r="A223" s="7">
        <v>22950</v>
      </c>
      <c r="B223" s="7" t="s">
        <v>2135</v>
      </c>
    </row>
    <row r="224" spans="1:2" ht="12" customHeight="1">
      <c r="A224" s="7">
        <v>23076</v>
      </c>
      <c r="B224" s="7" t="s">
        <v>2135</v>
      </c>
    </row>
    <row r="225" spans="1:2" ht="12" customHeight="1">
      <c r="A225" s="7">
        <v>23168</v>
      </c>
      <c r="B225" s="7" t="s">
        <v>2135</v>
      </c>
    </row>
    <row r="226" spans="1:2" ht="12" customHeight="1">
      <c r="A226" s="7">
        <v>23488</v>
      </c>
      <c r="B226" s="7" t="s">
        <v>2135</v>
      </c>
    </row>
    <row r="227" spans="1:2" ht="12" customHeight="1">
      <c r="A227" s="7">
        <v>23557</v>
      </c>
      <c r="B227" s="7" t="s">
        <v>2135</v>
      </c>
    </row>
    <row r="228" spans="1:2" ht="12" customHeight="1">
      <c r="A228" s="7">
        <v>23559</v>
      </c>
      <c r="B228" s="7" t="s">
        <v>2135</v>
      </c>
    </row>
    <row r="229" spans="1:2" ht="12" customHeight="1">
      <c r="A229" s="7">
        <v>23616</v>
      </c>
      <c r="B229" s="7" t="s">
        <v>2135</v>
      </c>
    </row>
    <row r="230" spans="1:2" ht="12" customHeight="1">
      <c r="A230" s="7">
        <v>23619</v>
      </c>
      <c r="B230" s="7" t="s">
        <v>2135</v>
      </c>
    </row>
    <row r="231" spans="1:2" ht="12" customHeight="1">
      <c r="A231" s="7">
        <v>23748</v>
      </c>
      <c r="B231" s="7" t="s">
        <v>2135</v>
      </c>
    </row>
    <row r="232" spans="1:2" ht="12" customHeight="1">
      <c r="A232" s="7">
        <v>24066</v>
      </c>
      <c r="B232" s="7" t="s">
        <v>2135</v>
      </c>
    </row>
    <row r="233" spans="1:2" ht="12" customHeight="1">
      <c r="A233" s="7">
        <v>24519</v>
      </c>
      <c r="B233" s="7" t="s">
        <v>2135</v>
      </c>
    </row>
    <row r="234" spans="1:2" ht="12" customHeight="1">
      <c r="A234" s="7">
        <v>24707</v>
      </c>
      <c r="B234" s="7" t="s">
        <v>2135</v>
      </c>
    </row>
    <row r="235" spans="1:2" ht="12" customHeight="1">
      <c r="A235" s="7">
        <v>24902</v>
      </c>
      <c r="B235" s="7" t="s">
        <v>2135</v>
      </c>
    </row>
    <row r="236" spans="1:2" ht="12" customHeight="1">
      <c r="A236" s="7">
        <v>25095</v>
      </c>
      <c r="B236" s="7" t="s">
        <v>2135</v>
      </c>
    </row>
    <row r="237" spans="1:2" ht="12" customHeight="1">
      <c r="A237" s="7">
        <v>25152</v>
      </c>
      <c r="B237" s="7" t="s">
        <v>2135</v>
      </c>
    </row>
    <row r="238" spans="1:2" ht="12" customHeight="1">
      <c r="A238" s="7">
        <v>25157</v>
      </c>
      <c r="B238" s="7" t="s">
        <v>2135</v>
      </c>
    </row>
    <row r="239" spans="1:2" ht="12" customHeight="1">
      <c r="A239" s="7">
        <v>25478</v>
      </c>
      <c r="B239" s="7" t="s">
        <v>2135</v>
      </c>
    </row>
    <row r="240" spans="1:2" ht="12" customHeight="1">
      <c r="A240" s="7">
        <v>25479</v>
      </c>
      <c r="B240" s="7" t="s">
        <v>2135</v>
      </c>
    </row>
    <row r="241" spans="1:2" ht="12" customHeight="1">
      <c r="A241" s="7">
        <v>25735</v>
      </c>
      <c r="B241" s="7" t="s">
        <v>2135</v>
      </c>
    </row>
    <row r="242" spans="1:2" ht="12" customHeight="1">
      <c r="A242" s="7">
        <v>25799</v>
      </c>
      <c r="B242" s="7" t="s">
        <v>2135</v>
      </c>
    </row>
    <row r="243" spans="1:2" ht="12" customHeight="1">
      <c r="A243" s="7">
        <v>25828</v>
      </c>
      <c r="B243" s="7" t="s">
        <v>2135</v>
      </c>
    </row>
    <row r="244" spans="1:2" ht="12" customHeight="1">
      <c r="A244" s="7">
        <v>25952</v>
      </c>
      <c r="B244" s="7" t="s">
        <v>2135</v>
      </c>
    </row>
    <row r="245" spans="1:2" ht="12" customHeight="1">
      <c r="A245" s="7">
        <v>26240</v>
      </c>
      <c r="B245" s="7" t="s">
        <v>2135</v>
      </c>
    </row>
    <row r="246" spans="1:2" ht="12" customHeight="1">
      <c r="A246" s="7">
        <v>26372</v>
      </c>
      <c r="B246" s="7" t="s">
        <v>2135</v>
      </c>
    </row>
    <row r="247" spans="1:2" ht="12" customHeight="1">
      <c r="A247" s="7">
        <v>26784</v>
      </c>
      <c r="B247" s="7" t="s">
        <v>2135</v>
      </c>
    </row>
    <row r="248" spans="1:2" ht="12" customHeight="1">
      <c r="A248" s="7">
        <v>26852</v>
      </c>
      <c r="B248" s="7" t="s">
        <v>2135</v>
      </c>
    </row>
    <row r="249" spans="1:2" ht="12" customHeight="1">
      <c r="A249" s="7">
        <v>26881</v>
      </c>
      <c r="B249" s="7" t="s">
        <v>2135</v>
      </c>
    </row>
    <row r="250" spans="1:2" ht="12" customHeight="1">
      <c r="A250" s="7">
        <v>26982</v>
      </c>
      <c r="B250" s="7" t="s">
        <v>2135</v>
      </c>
    </row>
    <row r="251" spans="1:2" ht="12" customHeight="1">
      <c r="A251" s="7">
        <v>27137</v>
      </c>
      <c r="B251" s="7" t="s">
        <v>2135</v>
      </c>
    </row>
    <row r="252" spans="1:2" ht="12" customHeight="1">
      <c r="A252" s="7">
        <v>27490</v>
      </c>
      <c r="B252" s="7" t="s">
        <v>2135</v>
      </c>
    </row>
    <row r="253" spans="1:2" ht="12" customHeight="1">
      <c r="A253" s="7">
        <v>27712</v>
      </c>
      <c r="B253" s="7" t="s">
        <v>2135</v>
      </c>
    </row>
    <row r="254" spans="1:2" ht="12" customHeight="1">
      <c r="A254" s="7">
        <v>27744</v>
      </c>
      <c r="B254" s="7" t="s">
        <v>2135</v>
      </c>
    </row>
    <row r="255" spans="1:2" ht="12" customHeight="1">
      <c r="A255" s="7">
        <v>27750</v>
      </c>
      <c r="B255" s="7" t="s">
        <v>2135</v>
      </c>
    </row>
    <row r="256" spans="1:2" ht="12" customHeight="1">
      <c r="A256" s="7">
        <v>28003</v>
      </c>
      <c r="B256" s="7" t="s">
        <v>2135</v>
      </c>
    </row>
    <row r="257" spans="1:2" ht="12" customHeight="1">
      <c r="A257" s="7">
        <v>28037</v>
      </c>
      <c r="B257" s="7" t="s">
        <v>2135</v>
      </c>
    </row>
    <row r="258" spans="1:2" ht="12" customHeight="1">
      <c r="A258" s="7">
        <v>28291</v>
      </c>
      <c r="B258" s="7" t="s">
        <v>2135</v>
      </c>
    </row>
    <row r="259" spans="1:2" ht="12" customHeight="1">
      <c r="A259" s="7">
        <v>28387</v>
      </c>
      <c r="B259" s="7" t="s">
        <v>2135</v>
      </c>
    </row>
    <row r="260" spans="1:2" ht="12" customHeight="1">
      <c r="A260" s="7">
        <v>28419</v>
      </c>
      <c r="B260" s="7" t="s">
        <v>2135</v>
      </c>
    </row>
    <row r="261" spans="1:2" ht="12" customHeight="1">
      <c r="A261" s="7">
        <v>28455</v>
      </c>
      <c r="B261" s="7" t="s">
        <v>2135</v>
      </c>
    </row>
    <row r="262" spans="1:2" ht="12" customHeight="1">
      <c r="A262" s="7">
        <v>28544</v>
      </c>
      <c r="B262" s="7" t="s">
        <v>2135</v>
      </c>
    </row>
    <row r="263" spans="1:2" ht="12" customHeight="1">
      <c r="A263" s="7">
        <v>28928</v>
      </c>
      <c r="B263" s="7" t="s">
        <v>2135</v>
      </c>
    </row>
    <row r="264" spans="1:2" ht="12" customHeight="1">
      <c r="A264" s="7">
        <v>29095</v>
      </c>
      <c r="B264" s="7" t="s">
        <v>2135</v>
      </c>
    </row>
    <row r="265" spans="1:2" ht="12" customHeight="1">
      <c r="A265" s="7">
        <v>29318</v>
      </c>
      <c r="B265" s="7" t="s">
        <v>2135</v>
      </c>
    </row>
    <row r="266" spans="1:2" ht="12" customHeight="1">
      <c r="A266" s="7">
        <v>29376</v>
      </c>
      <c r="B266" s="7" t="s">
        <v>2135</v>
      </c>
    </row>
    <row r="267" spans="1:2" ht="12" customHeight="1">
      <c r="A267" s="7">
        <v>29380</v>
      </c>
      <c r="B267" s="7" t="s">
        <v>2135</v>
      </c>
    </row>
    <row r="268" spans="1:2" ht="12" customHeight="1">
      <c r="A268" s="7">
        <v>29410</v>
      </c>
      <c r="B268" s="7" t="s">
        <v>2135</v>
      </c>
    </row>
    <row r="269" spans="1:2" ht="12" customHeight="1">
      <c r="A269" s="7">
        <v>29505</v>
      </c>
      <c r="B269" s="7" t="s">
        <v>2135</v>
      </c>
    </row>
    <row r="270" spans="1:2" ht="12" customHeight="1">
      <c r="A270" s="7">
        <v>29506</v>
      </c>
      <c r="B270" s="7" t="s">
        <v>2135</v>
      </c>
    </row>
    <row r="271" spans="1:2" ht="12" customHeight="1">
      <c r="A271" s="7">
        <v>29861</v>
      </c>
      <c r="B271" s="7" t="s">
        <v>2135</v>
      </c>
    </row>
    <row r="272" spans="1:2" ht="12" customHeight="1">
      <c r="A272" s="7">
        <v>29991</v>
      </c>
      <c r="B272" s="7" t="s">
        <v>2135</v>
      </c>
    </row>
    <row r="273" spans="1:2" ht="12" customHeight="1">
      <c r="A273" s="7">
        <v>30176</v>
      </c>
      <c r="B273" s="7" t="s">
        <v>2135</v>
      </c>
    </row>
    <row r="274" spans="1:2" ht="12" customHeight="1">
      <c r="A274" s="7">
        <v>30403</v>
      </c>
      <c r="B274" s="7" t="s">
        <v>2135</v>
      </c>
    </row>
    <row r="275" spans="1:2" ht="12" customHeight="1">
      <c r="A275" s="7">
        <v>30469</v>
      </c>
      <c r="B275" s="7" t="s">
        <v>2135</v>
      </c>
    </row>
    <row r="276" spans="1:2" ht="12" customHeight="1">
      <c r="A276" s="7">
        <v>31073</v>
      </c>
      <c r="B276" s="7" t="s">
        <v>2135</v>
      </c>
    </row>
    <row r="277" spans="1:2" ht="12" customHeight="1">
      <c r="A277" s="7">
        <v>31232</v>
      </c>
      <c r="B277" s="7" t="s">
        <v>2135</v>
      </c>
    </row>
    <row r="278" spans="1:2" ht="12" customHeight="1">
      <c r="A278" s="7">
        <v>31303</v>
      </c>
      <c r="B278" s="7" t="s">
        <v>2135</v>
      </c>
    </row>
    <row r="279" spans="1:2" ht="12" customHeight="1">
      <c r="A279" s="7">
        <v>31682</v>
      </c>
      <c r="B279" s="7" t="s">
        <v>2135</v>
      </c>
    </row>
    <row r="280" spans="1:2" ht="12" customHeight="1">
      <c r="A280" s="7">
        <v>31844</v>
      </c>
      <c r="B280" s="7" t="s">
        <v>2135</v>
      </c>
    </row>
    <row r="281" spans="1:2" ht="12" customHeight="1">
      <c r="A281" s="7">
        <v>31907</v>
      </c>
      <c r="B281" s="7" t="s">
        <v>2135</v>
      </c>
    </row>
    <row r="282" spans="1:2" ht="12" customHeight="1">
      <c r="A282" s="7">
        <v>32036</v>
      </c>
      <c r="B282" s="7" t="s">
        <v>2135</v>
      </c>
    </row>
    <row r="283" spans="1:2" ht="12" customHeight="1">
      <c r="A283" s="7">
        <v>32582</v>
      </c>
      <c r="B283" s="7" t="s">
        <v>2135</v>
      </c>
    </row>
    <row r="284" spans="1:2" ht="12" customHeight="1">
      <c r="A284" s="7">
        <v>32901</v>
      </c>
      <c r="B284" s="7" t="s">
        <v>2135</v>
      </c>
    </row>
    <row r="285" spans="1:2" ht="12" customHeight="1">
      <c r="A285" s="7">
        <v>32931</v>
      </c>
      <c r="B285" s="7" t="s">
        <v>2135</v>
      </c>
    </row>
    <row r="286" spans="1:2" ht="12" customHeight="1">
      <c r="A286" s="7">
        <v>32966</v>
      </c>
      <c r="B286" s="7" t="s">
        <v>2135</v>
      </c>
    </row>
    <row r="287" spans="1:2" ht="12" customHeight="1">
      <c r="A287" s="7">
        <v>32996</v>
      </c>
      <c r="B287" s="7" t="s">
        <v>2135</v>
      </c>
    </row>
    <row r="288" spans="1:2" ht="12" customHeight="1">
      <c r="A288" s="7">
        <v>32998</v>
      </c>
      <c r="B288" s="7" t="s">
        <v>2135</v>
      </c>
    </row>
    <row r="289" spans="1:2" ht="12" customHeight="1">
      <c r="A289" s="7">
        <v>33283</v>
      </c>
      <c r="B289" s="7" t="s">
        <v>2135</v>
      </c>
    </row>
    <row r="290" spans="1:2" ht="12" customHeight="1">
      <c r="A290" s="7">
        <v>33317</v>
      </c>
      <c r="B290" s="7" t="s">
        <v>2135</v>
      </c>
    </row>
    <row r="291" spans="1:2" ht="12" customHeight="1">
      <c r="A291" s="7">
        <v>33477</v>
      </c>
      <c r="B291" s="7" t="s">
        <v>2135</v>
      </c>
    </row>
    <row r="292" spans="1:2" ht="12" customHeight="1">
      <c r="A292" s="7">
        <v>33510</v>
      </c>
      <c r="B292" s="7" t="s">
        <v>2135</v>
      </c>
    </row>
    <row r="293" spans="1:2" ht="12" customHeight="1">
      <c r="A293" s="7">
        <v>33541</v>
      </c>
      <c r="B293" s="7" t="s">
        <v>2135</v>
      </c>
    </row>
    <row r="294" spans="1:2" ht="12" customHeight="1">
      <c r="A294" s="7">
        <v>33637</v>
      </c>
      <c r="B294" s="7" t="s">
        <v>2135</v>
      </c>
    </row>
    <row r="295" spans="1:2" ht="12" customHeight="1">
      <c r="A295" s="7">
        <v>33921</v>
      </c>
      <c r="B295" s="7" t="s">
        <v>2135</v>
      </c>
    </row>
    <row r="296" spans="1:2" ht="12" customHeight="1">
      <c r="A296" s="7">
        <v>34117</v>
      </c>
      <c r="B296" s="7" t="s">
        <v>2135</v>
      </c>
    </row>
    <row r="297" spans="1:2" ht="12" customHeight="1">
      <c r="A297" s="7">
        <v>34209</v>
      </c>
      <c r="B297" s="7" t="s">
        <v>2135</v>
      </c>
    </row>
    <row r="298" spans="1:2" ht="12" customHeight="1">
      <c r="A298" s="7">
        <v>34338</v>
      </c>
      <c r="B298" s="7" t="s">
        <v>2135</v>
      </c>
    </row>
    <row r="299" spans="1:2" ht="12" customHeight="1">
      <c r="A299" s="7">
        <v>34532</v>
      </c>
      <c r="B299" s="7" t="s">
        <v>2135</v>
      </c>
    </row>
    <row r="300" spans="1:2" ht="12" customHeight="1">
      <c r="A300" s="7">
        <v>34658</v>
      </c>
      <c r="B300" s="7" t="s">
        <v>2135</v>
      </c>
    </row>
    <row r="301" spans="1:2" ht="12" customHeight="1">
      <c r="A301" s="7">
        <v>34661</v>
      </c>
      <c r="B301" s="7" t="s">
        <v>2135</v>
      </c>
    </row>
    <row r="302" spans="1:2" ht="12" customHeight="1">
      <c r="A302" s="7">
        <v>34689</v>
      </c>
      <c r="B302" s="7" t="s">
        <v>2135</v>
      </c>
    </row>
    <row r="303" spans="1:2" ht="12" customHeight="1">
      <c r="A303" s="7">
        <v>34916</v>
      </c>
      <c r="B303" s="7" t="s">
        <v>2135</v>
      </c>
    </row>
    <row r="304" spans="1:2" ht="12" customHeight="1">
      <c r="A304" s="7">
        <v>35047</v>
      </c>
      <c r="B304" s="7" t="s">
        <v>2135</v>
      </c>
    </row>
    <row r="305" spans="1:2" ht="12" customHeight="1">
      <c r="A305" s="7">
        <v>35110</v>
      </c>
      <c r="B305" s="7" t="s">
        <v>2135</v>
      </c>
    </row>
    <row r="306" spans="1:2" ht="12" customHeight="1">
      <c r="A306" s="7">
        <v>35111</v>
      </c>
      <c r="B306" s="7" t="s">
        <v>2135</v>
      </c>
    </row>
    <row r="307" spans="1:2" ht="12" customHeight="1">
      <c r="A307" s="7">
        <v>35137</v>
      </c>
      <c r="B307" s="7" t="s">
        <v>2135</v>
      </c>
    </row>
    <row r="308" spans="1:2" ht="12" customHeight="1">
      <c r="A308" s="7">
        <v>35366</v>
      </c>
      <c r="B308" s="7" t="s">
        <v>2135</v>
      </c>
    </row>
    <row r="309" spans="1:2" ht="12" customHeight="1">
      <c r="A309" s="7">
        <v>35492</v>
      </c>
      <c r="B309" s="7" t="s">
        <v>2135</v>
      </c>
    </row>
    <row r="310" spans="1:2" ht="12" customHeight="1">
      <c r="A310" s="7">
        <v>35554</v>
      </c>
      <c r="B310" s="7" t="s">
        <v>2135</v>
      </c>
    </row>
    <row r="311" spans="1:2" ht="12" customHeight="1">
      <c r="A311" s="7">
        <v>35588</v>
      </c>
      <c r="B311" s="7" t="s">
        <v>2135</v>
      </c>
    </row>
    <row r="312" spans="1:2" ht="12" customHeight="1">
      <c r="A312" s="7">
        <v>35687</v>
      </c>
      <c r="B312" s="7" t="s">
        <v>2135</v>
      </c>
    </row>
    <row r="313" spans="1:2" ht="12" customHeight="1">
      <c r="A313" s="7">
        <v>35744</v>
      </c>
      <c r="B313" s="7" t="s">
        <v>2135</v>
      </c>
    </row>
    <row r="314" spans="1:2" ht="12" customHeight="1">
      <c r="A314" s="7">
        <v>35877</v>
      </c>
      <c r="B314" s="7" t="s">
        <v>2135</v>
      </c>
    </row>
    <row r="315" spans="1:2" ht="12" customHeight="1">
      <c r="A315" s="7">
        <v>35910</v>
      </c>
      <c r="B315" s="7" t="s">
        <v>2135</v>
      </c>
    </row>
    <row r="316" spans="1:2" ht="12" customHeight="1">
      <c r="A316" s="7">
        <v>35936</v>
      </c>
      <c r="B316" s="7" t="s">
        <v>2135</v>
      </c>
    </row>
    <row r="317" spans="1:2" ht="12" customHeight="1">
      <c r="A317" s="7">
        <v>36038</v>
      </c>
      <c r="B317" s="7" t="s">
        <v>2135</v>
      </c>
    </row>
    <row r="318" spans="1:2" ht="12" customHeight="1">
      <c r="A318" s="7">
        <v>36067</v>
      </c>
      <c r="B318" s="7" t="s">
        <v>2135</v>
      </c>
    </row>
    <row r="319" spans="1:2" ht="12" customHeight="1">
      <c r="A319" s="7">
        <v>36160</v>
      </c>
      <c r="B319" s="7" t="s">
        <v>2135</v>
      </c>
    </row>
    <row r="320" spans="1:2" ht="12" customHeight="1">
      <c r="A320" s="7">
        <v>36262</v>
      </c>
      <c r="B320" s="7" t="s">
        <v>2135</v>
      </c>
    </row>
    <row r="321" spans="1:2" ht="12" customHeight="1">
      <c r="A321" s="7">
        <v>36449</v>
      </c>
      <c r="B321" s="7" t="s">
        <v>2135</v>
      </c>
    </row>
    <row r="322" spans="1:2" ht="12" customHeight="1">
      <c r="A322" s="7">
        <v>36609</v>
      </c>
      <c r="B322" s="7" t="s">
        <v>2135</v>
      </c>
    </row>
    <row r="323" spans="1:2" ht="12" customHeight="1">
      <c r="A323" s="7">
        <v>36676</v>
      </c>
      <c r="B323" s="7" t="s">
        <v>2135</v>
      </c>
    </row>
    <row r="324" spans="1:2" ht="12" customHeight="1">
      <c r="A324" s="7">
        <v>36679</v>
      </c>
      <c r="B324" s="7" t="s">
        <v>2135</v>
      </c>
    </row>
    <row r="325" spans="1:2" ht="12" customHeight="1">
      <c r="A325" s="7">
        <v>36705</v>
      </c>
      <c r="B325" s="7" t="s">
        <v>2135</v>
      </c>
    </row>
    <row r="326" spans="1:2" ht="12" customHeight="1">
      <c r="A326" s="7">
        <v>36707</v>
      </c>
      <c r="B326" s="7" t="s">
        <v>2135</v>
      </c>
    </row>
    <row r="327" spans="1:2" ht="12" customHeight="1">
      <c r="A327" s="7">
        <v>36743</v>
      </c>
      <c r="B327" s="7" t="s">
        <v>2135</v>
      </c>
    </row>
    <row r="328" spans="1:2" ht="12" customHeight="1">
      <c r="A328" s="7">
        <v>36772</v>
      </c>
      <c r="B328" s="7" t="s">
        <v>2135</v>
      </c>
    </row>
    <row r="329" spans="1:2" ht="12" customHeight="1">
      <c r="A329" s="7">
        <v>36773</v>
      </c>
      <c r="B329" s="7" t="s">
        <v>2135</v>
      </c>
    </row>
    <row r="330" spans="1:2" ht="12" customHeight="1">
      <c r="A330" s="7">
        <v>36932</v>
      </c>
      <c r="B330" s="7" t="s">
        <v>2135</v>
      </c>
    </row>
    <row r="331" spans="1:2" ht="12" customHeight="1">
      <c r="A331" s="7">
        <v>36934</v>
      </c>
      <c r="B331" s="7" t="s">
        <v>2135</v>
      </c>
    </row>
    <row r="332" spans="1:2" ht="12" customHeight="1">
      <c r="A332" s="7">
        <v>36992</v>
      </c>
      <c r="B332" s="7" t="s">
        <v>2135</v>
      </c>
    </row>
    <row r="333" spans="1:2" ht="12" customHeight="1">
      <c r="A333" s="7">
        <v>36994</v>
      </c>
      <c r="B333" s="7" t="s">
        <v>2135</v>
      </c>
    </row>
    <row r="334" spans="1:2" ht="12" customHeight="1">
      <c r="A334" s="7">
        <v>36998</v>
      </c>
      <c r="B334" s="7" t="s">
        <v>2135</v>
      </c>
    </row>
    <row r="335" spans="1:2" ht="12" customHeight="1">
      <c r="A335" s="7">
        <v>36999</v>
      </c>
      <c r="B335" s="7" t="s">
        <v>2135</v>
      </c>
    </row>
    <row r="336" spans="1:2" ht="12" customHeight="1">
      <c r="A336" s="7">
        <v>37250</v>
      </c>
      <c r="B336" s="7" t="s">
        <v>2135</v>
      </c>
    </row>
    <row r="337" spans="1:2" ht="12" customHeight="1">
      <c r="A337" s="7">
        <v>37380</v>
      </c>
      <c r="B337" s="7" t="s">
        <v>2135</v>
      </c>
    </row>
    <row r="338" spans="1:2" ht="12" customHeight="1">
      <c r="A338" s="7">
        <v>37414</v>
      </c>
      <c r="B338" s="7" t="s">
        <v>2135</v>
      </c>
    </row>
    <row r="339" spans="1:2" ht="12" customHeight="1">
      <c r="A339" s="7">
        <v>37572</v>
      </c>
      <c r="B339" s="7" t="s">
        <v>2135</v>
      </c>
    </row>
    <row r="340" spans="1:2" ht="12" customHeight="1">
      <c r="A340" s="7">
        <v>37760</v>
      </c>
      <c r="B340" s="7" t="s">
        <v>2135</v>
      </c>
    </row>
    <row r="341" spans="1:2" ht="12" customHeight="1">
      <c r="A341" s="7">
        <v>37860</v>
      </c>
      <c r="B341" s="7" t="s">
        <v>2135</v>
      </c>
    </row>
    <row r="342" spans="1:2" ht="12" customHeight="1">
      <c r="A342" s="7">
        <v>37862</v>
      </c>
      <c r="B342" s="7" t="s">
        <v>2135</v>
      </c>
    </row>
    <row r="343" spans="1:2" ht="12" customHeight="1">
      <c r="A343" s="7">
        <v>37924</v>
      </c>
      <c r="B343" s="7" t="s">
        <v>2135</v>
      </c>
    </row>
    <row r="344" spans="1:2" ht="12" customHeight="1">
      <c r="A344" s="7">
        <v>38050</v>
      </c>
      <c r="B344" s="7" t="s">
        <v>2135</v>
      </c>
    </row>
    <row r="345" spans="1:2" ht="12" customHeight="1">
      <c r="A345" s="7">
        <v>38210</v>
      </c>
      <c r="B345" s="7" t="s">
        <v>2135</v>
      </c>
    </row>
    <row r="346" spans="1:2" ht="12" customHeight="1">
      <c r="A346" s="7">
        <v>38240</v>
      </c>
      <c r="B346" s="7" t="s">
        <v>2135</v>
      </c>
    </row>
    <row r="347" spans="1:2" ht="12" customHeight="1">
      <c r="A347" s="7">
        <v>38272</v>
      </c>
      <c r="B347" s="7" t="s">
        <v>2135</v>
      </c>
    </row>
    <row r="348" spans="1:2" ht="12" customHeight="1">
      <c r="A348" s="7">
        <v>38400</v>
      </c>
      <c r="B348" s="7" t="s">
        <v>2135</v>
      </c>
    </row>
    <row r="349" spans="1:2" ht="12" customHeight="1">
      <c r="A349" s="7">
        <v>38530</v>
      </c>
      <c r="B349" s="7" t="s">
        <v>2135</v>
      </c>
    </row>
    <row r="350" spans="1:2" ht="12" customHeight="1">
      <c r="A350" s="7">
        <v>38596</v>
      </c>
      <c r="B350" s="7" t="s">
        <v>2135</v>
      </c>
    </row>
    <row r="351" spans="1:2" ht="12" customHeight="1">
      <c r="A351" s="7">
        <v>38661</v>
      </c>
      <c r="B351" s="7" t="s">
        <v>2135</v>
      </c>
    </row>
    <row r="352" spans="1:2" ht="12" customHeight="1">
      <c r="A352" s="7">
        <v>38787</v>
      </c>
      <c r="B352" s="7" t="s">
        <v>2135</v>
      </c>
    </row>
    <row r="353" spans="1:2" ht="12" customHeight="1">
      <c r="A353" s="7">
        <v>39043</v>
      </c>
      <c r="B353" s="7" t="s">
        <v>2135</v>
      </c>
    </row>
    <row r="354" spans="1:2" ht="12" customHeight="1">
      <c r="A354" s="7">
        <v>39075</v>
      </c>
      <c r="B354" s="7" t="s">
        <v>2135</v>
      </c>
    </row>
    <row r="355" spans="1:2" ht="12" customHeight="1">
      <c r="A355" s="7">
        <v>39169</v>
      </c>
      <c r="B355" s="7" t="s">
        <v>2135</v>
      </c>
    </row>
    <row r="356" spans="1:2" ht="12" customHeight="1">
      <c r="A356" s="7">
        <v>39333</v>
      </c>
      <c r="B356" s="7" t="s">
        <v>2135</v>
      </c>
    </row>
    <row r="357" spans="1:2" ht="12" customHeight="1">
      <c r="A357" s="7">
        <v>39490</v>
      </c>
      <c r="B357" s="7" t="s">
        <v>2135</v>
      </c>
    </row>
    <row r="358" spans="1:2" ht="12" customHeight="1">
      <c r="A358" s="7">
        <v>39555</v>
      </c>
      <c r="B358" s="7" t="s">
        <v>2135</v>
      </c>
    </row>
    <row r="359" spans="1:2" ht="12" customHeight="1">
      <c r="A359" s="7">
        <v>39619</v>
      </c>
      <c r="B359" s="7" t="s">
        <v>2135</v>
      </c>
    </row>
    <row r="360" spans="1:2" ht="12" customHeight="1">
      <c r="A360" s="7">
        <v>39872</v>
      </c>
      <c r="B360" s="7" t="s">
        <v>2135</v>
      </c>
    </row>
    <row r="361" spans="1:2" ht="12" customHeight="1">
      <c r="A361" s="7">
        <v>39904</v>
      </c>
      <c r="B361" s="7" t="s">
        <v>2135</v>
      </c>
    </row>
    <row r="362" spans="1:2" ht="12" customHeight="1">
      <c r="A362" s="7">
        <v>39943</v>
      </c>
      <c r="B362" s="7" t="s">
        <v>2135</v>
      </c>
    </row>
    <row r="363" spans="1:2" ht="12" customHeight="1">
      <c r="A363" s="7">
        <v>40097</v>
      </c>
      <c r="B363" s="7" t="s">
        <v>2135</v>
      </c>
    </row>
    <row r="364" spans="1:2" ht="12" customHeight="1">
      <c r="A364" s="7">
        <v>40132</v>
      </c>
      <c r="B364" s="7" t="s">
        <v>2135</v>
      </c>
    </row>
    <row r="365" spans="1:2" ht="12" customHeight="1">
      <c r="A365" s="7">
        <v>40134</v>
      </c>
      <c r="B365" s="7" t="s">
        <v>2135</v>
      </c>
    </row>
    <row r="366" spans="1:2" ht="12" customHeight="1">
      <c r="A366" s="7">
        <v>40160</v>
      </c>
      <c r="B366" s="7" t="s">
        <v>2135</v>
      </c>
    </row>
    <row r="367" spans="1:2" ht="12" customHeight="1">
      <c r="A367" s="7">
        <v>40354</v>
      </c>
      <c r="B367" s="7" t="s">
        <v>2135</v>
      </c>
    </row>
    <row r="368" spans="1:2" ht="12" customHeight="1">
      <c r="A368" s="7">
        <v>40802</v>
      </c>
      <c r="B368" s="7" t="s">
        <v>2135</v>
      </c>
    </row>
    <row r="369" spans="1:2" ht="12" customHeight="1">
      <c r="A369" s="7">
        <v>40806</v>
      </c>
      <c r="B369" s="7" t="s">
        <v>2135</v>
      </c>
    </row>
    <row r="370" spans="1:2" ht="12" customHeight="1">
      <c r="A370" s="7">
        <v>41059</v>
      </c>
      <c r="B370" s="7" t="s">
        <v>2135</v>
      </c>
    </row>
    <row r="371" spans="1:2" ht="12" customHeight="1">
      <c r="A371" s="7">
        <v>41120</v>
      </c>
      <c r="B371" s="7" t="s">
        <v>2135</v>
      </c>
    </row>
    <row r="372" spans="1:2" ht="12" customHeight="1">
      <c r="A372" s="7">
        <v>41186</v>
      </c>
      <c r="B372" s="7" t="s">
        <v>2135</v>
      </c>
    </row>
    <row r="373" spans="1:2" ht="12" customHeight="1">
      <c r="A373" s="7">
        <v>41216</v>
      </c>
      <c r="B373" s="7" t="s">
        <v>2135</v>
      </c>
    </row>
    <row r="374" spans="1:2" ht="12" customHeight="1">
      <c r="A374" s="7">
        <v>41508</v>
      </c>
      <c r="B374" s="7" t="s">
        <v>2135</v>
      </c>
    </row>
    <row r="375" spans="1:2" ht="12" customHeight="1">
      <c r="A375" s="7">
        <v>41760</v>
      </c>
      <c r="B375" s="7" t="s">
        <v>2135</v>
      </c>
    </row>
    <row r="376" spans="1:2" ht="12" customHeight="1">
      <c r="A376" s="7">
        <v>41861</v>
      </c>
      <c r="B376" s="7" t="s">
        <v>2135</v>
      </c>
    </row>
    <row r="377" spans="1:2" ht="12" customHeight="1">
      <c r="A377" s="7">
        <v>42342</v>
      </c>
      <c r="B377" s="7" t="s">
        <v>2135</v>
      </c>
    </row>
    <row r="378" spans="1:2" ht="12" customHeight="1">
      <c r="A378" s="7">
        <v>42375</v>
      </c>
      <c r="B378" s="7" t="s">
        <v>2135</v>
      </c>
    </row>
    <row r="379" spans="1:2" ht="12" customHeight="1">
      <c r="A379" s="7">
        <v>42436</v>
      </c>
      <c r="B379" s="7" t="s">
        <v>2135</v>
      </c>
    </row>
    <row r="380" spans="1:2" ht="12" customHeight="1">
      <c r="A380" s="7">
        <v>42563</v>
      </c>
      <c r="B380" s="7" t="s">
        <v>2135</v>
      </c>
    </row>
    <row r="381" spans="1:2" ht="12" customHeight="1">
      <c r="A381" s="7">
        <v>42628</v>
      </c>
      <c r="B381" s="7" t="s">
        <v>2135</v>
      </c>
    </row>
    <row r="382" spans="1:2" ht="12" customHeight="1">
      <c r="A382" s="7">
        <v>42788</v>
      </c>
      <c r="B382" s="7" t="s">
        <v>2135</v>
      </c>
    </row>
    <row r="383" spans="1:2" ht="12" customHeight="1">
      <c r="A383" s="7">
        <v>42823</v>
      </c>
      <c r="B383" s="7" t="s">
        <v>2135</v>
      </c>
    </row>
    <row r="384" spans="1:2" ht="12" customHeight="1">
      <c r="A384" s="7">
        <v>42850</v>
      </c>
      <c r="B384" s="7" t="s">
        <v>2135</v>
      </c>
    </row>
    <row r="385" spans="1:2" ht="12" customHeight="1">
      <c r="A385" s="7">
        <v>42912</v>
      </c>
      <c r="B385" s="7" t="s">
        <v>2135</v>
      </c>
    </row>
    <row r="386" spans="1:2" ht="12" customHeight="1">
      <c r="A386" s="7">
        <v>42945</v>
      </c>
      <c r="B386" s="7" t="s">
        <v>2135</v>
      </c>
    </row>
    <row r="387" spans="1:2" ht="12" customHeight="1">
      <c r="A387" s="7">
        <v>43138</v>
      </c>
      <c r="B387" s="7" t="s">
        <v>2135</v>
      </c>
    </row>
    <row r="388" spans="1:2" ht="12" customHeight="1">
      <c r="A388" s="7">
        <v>43140</v>
      </c>
      <c r="B388" s="7" t="s">
        <v>2135</v>
      </c>
    </row>
    <row r="389" spans="1:2" ht="12" customHeight="1">
      <c r="A389" s="7">
        <v>43203</v>
      </c>
      <c r="B389" s="7" t="s">
        <v>2135</v>
      </c>
    </row>
    <row r="390" spans="1:2" ht="12" customHeight="1">
      <c r="A390" s="7">
        <v>43269</v>
      </c>
      <c r="B390" s="7" t="s">
        <v>2135</v>
      </c>
    </row>
    <row r="391" spans="1:2" ht="12" customHeight="1">
      <c r="A391" s="7">
        <v>43488</v>
      </c>
      <c r="B391" s="7" t="s">
        <v>2135</v>
      </c>
    </row>
    <row r="392" spans="1:2" ht="12" customHeight="1">
      <c r="A392" s="7">
        <v>43494</v>
      </c>
      <c r="B392" s="7" t="s">
        <v>2135</v>
      </c>
    </row>
    <row r="393" spans="1:2" ht="12" customHeight="1">
      <c r="A393" s="7">
        <v>43585</v>
      </c>
      <c r="B393" s="7" t="s">
        <v>2135</v>
      </c>
    </row>
    <row r="394" spans="1:2" ht="12" customHeight="1">
      <c r="A394" s="7">
        <v>43713</v>
      </c>
      <c r="B394" s="7" t="s">
        <v>2135</v>
      </c>
    </row>
    <row r="395" spans="1:2" ht="12" customHeight="1">
      <c r="A395" s="7">
        <v>44098</v>
      </c>
      <c r="B395" s="7" t="s">
        <v>2135</v>
      </c>
    </row>
    <row r="396" spans="1:2" ht="12" customHeight="1">
      <c r="A396" s="7">
        <v>44292</v>
      </c>
      <c r="B396" s="7" t="s">
        <v>2135</v>
      </c>
    </row>
    <row r="397" spans="1:2" ht="12" customHeight="1">
      <c r="A397" s="7">
        <v>44486</v>
      </c>
      <c r="B397" s="7" t="s">
        <v>2135</v>
      </c>
    </row>
    <row r="398" spans="1:2" ht="12" customHeight="1">
      <c r="A398" s="7">
        <v>44579</v>
      </c>
      <c r="B398" s="7" t="s">
        <v>2135</v>
      </c>
    </row>
    <row r="399" spans="1:2" ht="12" customHeight="1">
      <c r="A399" s="7">
        <v>44583</v>
      </c>
      <c r="B399" s="7" t="s">
        <v>2135</v>
      </c>
    </row>
    <row r="400" spans="1:2" ht="12" customHeight="1">
      <c r="A400" s="7">
        <v>44869</v>
      </c>
      <c r="B400" s="7" t="s">
        <v>2135</v>
      </c>
    </row>
    <row r="401" spans="1:2" ht="12" customHeight="1">
      <c r="A401" s="7">
        <v>44962</v>
      </c>
      <c r="B401" s="7" t="s">
        <v>2135</v>
      </c>
    </row>
    <row r="402" spans="1:2" ht="12" customHeight="1">
      <c r="A402" s="7">
        <v>45127</v>
      </c>
      <c r="B402" s="7" t="s">
        <v>2135</v>
      </c>
    </row>
    <row r="403" spans="1:2" ht="12" customHeight="1">
      <c r="A403" s="7">
        <v>45605</v>
      </c>
      <c r="B403" s="7" t="s">
        <v>2135</v>
      </c>
    </row>
    <row r="404" spans="1:2" ht="12" customHeight="1">
      <c r="A404" s="7">
        <v>45632</v>
      </c>
      <c r="B404" s="7" t="s">
        <v>2135</v>
      </c>
    </row>
    <row r="405" spans="1:2" ht="12" customHeight="1">
      <c r="A405" s="7">
        <v>45698</v>
      </c>
      <c r="B405" s="7" t="s">
        <v>2135</v>
      </c>
    </row>
    <row r="406" spans="1:2" ht="12" customHeight="1">
      <c r="A406" s="7">
        <v>45767</v>
      </c>
      <c r="B406" s="7" t="s">
        <v>2135</v>
      </c>
    </row>
    <row r="407" spans="1:2" ht="12" customHeight="1">
      <c r="A407" s="7">
        <v>45794</v>
      </c>
      <c r="B407" s="7" t="s">
        <v>2135</v>
      </c>
    </row>
    <row r="408" spans="1:2" ht="12" customHeight="1">
      <c r="A408" s="7">
        <v>45863</v>
      </c>
      <c r="B408" s="7" t="s">
        <v>2135</v>
      </c>
    </row>
    <row r="409" spans="1:2" ht="12" customHeight="1">
      <c r="A409" s="7">
        <v>46052</v>
      </c>
      <c r="B409" s="7" t="s">
        <v>2135</v>
      </c>
    </row>
    <row r="410" spans="1:2" ht="12" customHeight="1">
      <c r="A410" s="7">
        <v>46276</v>
      </c>
      <c r="B410" s="7" t="s">
        <v>2135</v>
      </c>
    </row>
    <row r="411" spans="1:2" ht="12" customHeight="1">
      <c r="A411" s="7">
        <v>46311</v>
      </c>
      <c r="B411" s="7" t="s">
        <v>2135</v>
      </c>
    </row>
    <row r="412" spans="1:2" ht="12" customHeight="1">
      <c r="A412" s="7">
        <v>46341</v>
      </c>
      <c r="B412" s="7" t="s">
        <v>2135</v>
      </c>
    </row>
    <row r="413" spans="1:2" ht="12" customHeight="1">
      <c r="A413" s="7">
        <v>46375</v>
      </c>
      <c r="B413" s="7" t="s">
        <v>2135</v>
      </c>
    </row>
    <row r="414" spans="1:2" ht="12" customHeight="1">
      <c r="A414" s="7">
        <v>46497</v>
      </c>
      <c r="B414" s="7" t="s">
        <v>2135</v>
      </c>
    </row>
    <row r="415" spans="1:2" ht="12" customHeight="1">
      <c r="A415" s="7">
        <v>46662</v>
      </c>
      <c r="B415" s="7" t="s">
        <v>2135</v>
      </c>
    </row>
    <row r="416" spans="1:2" ht="12" customHeight="1">
      <c r="A416" s="7">
        <v>46852</v>
      </c>
      <c r="B416" s="7" t="s">
        <v>2135</v>
      </c>
    </row>
    <row r="417" spans="1:2" ht="12" customHeight="1">
      <c r="A417" s="7">
        <v>47078</v>
      </c>
      <c r="B417" s="7" t="s">
        <v>2135</v>
      </c>
    </row>
    <row r="418" spans="1:2" ht="12" customHeight="1">
      <c r="A418" s="7">
        <v>47079</v>
      </c>
      <c r="B418" s="7" t="s">
        <v>2135</v>
      </c>
    </row>
    <row r="419" spans="1:2" ht="12" customHeight="1">
      <c r="A419" s="7">
        <v>47109</v>
      </c>
      <c r="B419" s="7" t="s">
        <v>2135</v>
      </c>
    </row>
    <row r="420" spans="1:2" ht="12" customHeight="1">
      <c r="A420" s="7">
        <v>47138</v>
      </c>
      <c r="B420" s="7" t="s">
        <v>2135</v>
      </c>
    </row>
    <row r="421" spans="1:2" ht="12" customHeight="1">
      <c r="A421" s="7">
        <v>47174</v>
      </c>
      <c r="B421" s="7" t="s">
        <v>2135</v>
      </c>
    </row>
    <row r="422" spans="1:2" ht="12" customHeight="1">
      <c r="A422" s="7">
        <v>47265</v>
      </c>
      <c r="B422" s="7" t="s">
        <v>2135</v>
      </c>
    </row>
    <row r="423" spans="1:2" ht="12" customHeight="1">
      <c r="A423" s="7">
        <v>47271</v>
      </c>
      <c r="B423" s="7" t="s">
        <v>2135</v>
      </c>
    </row>
    <row r="424" spans="1:2" ht="12" customHeight="1">
      <c r="A424" s="7">
        <v>47457</v>
      </c>
      <c r="B424" s="7" t="s">
        <v>2135</v>
      </c>
    </row>
    <row r="425" spans="1:2" ht="12" customHeight="1">
      <c r="A425" s="7">
        <v>47494</v>
      </c>
      <c r="B425" s="7" t="s">
        <v>2135</v>
      </c>
    </row>
    <row r="426" spans="1:2" ht="12" customHeight="1">
      <c r="A426" s="7">
        <v>47620</v>
      </c>
      <c r="B426" s="7" t="s">
        <v>2135</v>
      </c>
    </row>
    <row r="427" spans="1:2" ht="12" customHeight="1">
      <c r="A427" s="7">
        <v>47621</v>
      </c>
      <c r="B427" s="7" t="s">
        <v>2135</v>
      </c>
    </row>
    <row r="428" spans="1:2" ht="12" customHeight="1">
      <c r="A428" s="7">
        <v>47813</v>
      </c>
      <c r="B428" s="7" t="s">
        <v>2135</v>
      </c>
    </row>
    <row r="429" spans="1:2" ht="12" customHeight="1">
      <c r="A429" s="7">
        <v>47876</v>
      </c>
      <c r="B429" s="7" t="s">
        <v>2135</v>
      </c>
    </row>
    <row r="430" spans="1:2" ht="12" customHeight="1">
      <c r="A430" s="7">
        <v>47910</v>
      </c>
      <c r="B430" s="7" t="s">
        <v>2135</v>
      </c>
    </row>
    <row r="431" spans="1:2" ht="12" customHeight="1">
      <c r="A431" s="7">
        <v>48293</v>
      </c>
      <c r="B431" s="7" t="s">
        <v>2135</v>
      </c>
    </row>
    <row r="432" spans="1:2" ht="12" customHeight="1">
      <c r="A432" s="7">
        <v>48295</v>
      </c>
      <c r="B432" s="7" t="s">
        <v>2135</v>
      </c>
    </row>
    <row r="433" spans="1:2" ht="12" customHeight="1">
      <c r="A433" s="7">
        <v>48321</v>
      </c>
      <c r="B433" s="7" t="s">
        <v>2135</v>
      </c>
    </row>
    <row r="434" spans="1:2" ht="12" customHeight="1">
      <c r="A434" s="7">
        <v>48353</v>
      </c>
      <c r="B434" s="7" t="s">
        <v>2135</v>
      </c>
    </row>
    <row r="435" spans="1:2" ht="12" customHeight="1">
      <c r="A435" s="7">
        <v>48391</v>
      </c>
      <c r="B435" s="7" t="s">
        <v>2135</v>
      </c>
    </row>
    <row r="436" spans="1:2" ht="12" customHeight="1">
      <c r="A436" s="7">
        <v>48448</v>
      </c>
      <c r="B436" s="7" t="s">
        <v>2135</v>
      </c>
    </row>
    <row r="437" spans="1:2" ht="12" customHeight="1">
      <c r="A437" s="7">
        <v>48486</v>
      </c>
      <c r="B437" s="7" t="s">
        <v>2135</v>
      </c>
    </row>
    <row r="438" spans="1:2" ht="12" customHeight="1">
      <c r="A438" s="7">
        <v>48487</v>
      </c>
      <c r="B438" s="7" t="s">
        <v>2135</v>
      </c>
    </row>
    <row r="439" spans="1:2" ht="12" customHeight="1">
      <c r="A439" s="7">
        <v>48615</v>
      </c>
      <c r="B439" s="7" t="s">
        <v>2135</v>
      </c>
    </row>
    <row r="440" spans="1:2" ht="12" customHeight="1">
      <c r="A440" s="7">
        <v>48710</v>
      </c>
      <c r="B440" s="7" t="s">
        <v>2135</v>
      </c>
    </row>
    <row r="441" spans="1:2" ht="12" customHeight="1">
      <c r="A441" s="7">
        <v>48773</v>
      </c>
      <c r="B441" s="7" t="s">
        <v>2135</v>
      </c>
    </row>
    <row r="442" spans="1:2" ht="12" customHeight="1">
      <c r="A442" s="7">
        <v>48775</v>
      </c>
      <c r="B442" s="7" t="s">
        <v>2135</v>
      </c>
    </row>
    <row r="443" spans="1:2" ht="12" customHeight="1">
      <c r="A443" s="7">
        <v>48931</v>
      </c>
      <c r="B443" s="7" t="s">
        <v>2135</v>
      </c>
    </row>
    <row r="444" spans="1:2" ht="12" customHeight="1">
      <c r="A444" s="7">
        <v>49026</v>
      </c>
      <c r="B444" s="7" t="s">
        <v>2135</v>
      </c>
    </row>
    <row r="445" spans="1:2" ht="12" customHeight="1">
      <c r="A445" s="7">
        <v>49027</v>
      </c>
      <c r="B445" s="7" t="s">
        <v>2135</v>
      </c>
    </row>
    <row r="446" spans="1:2" ht="12" customHeight="1">
      <c r="A446" s="7">
        <v>49123</v>
      </c>
      <c r="B446" s="7" t="s">
        <v>2135</v>
      </c>
    </row>
    <row r="447" spans="1:2" ht="12" customHeight="1">
      <c r="A447" s="7">
        <v>49255</v>
      </c>
      <c r="B447" s="7" t="s">
        <v>2135</v>
      </c>
    </row>
    <row r="448" spans="1:2" ht="12" customHeight="1">
      <c r="A448" s="7">
        <v>49349</v>
      </c>
      <c r="B448" s="7" t="s">
        <v>2135</v>
      </c>
    </row>
    <row r="449" spans="1:2" ht="12" customHeight="1">
      <c r="A449" s="7">
        <v>49412</v>
      </c>
      <c r="B449" s="7" t="s">
        <v>2135</v>
      </c>
    </row>
    <row r="450" spans="1:2" ht="12" customHeight="1">
      <c r="A450" s="7">
        <v>49510</v>
      </c>
      <c r="B450" s="7" t="s">
        <v>2135</v>
      </c>
    </row>
    <row r="451" spans="1:2" ht="12" customHeight="1">
      <c r="A451" s="7">
        <v>49668</v>
      </c>
      <c r="B451" s="7" t="s">
        <v>2135</v>
      </c>
    </row>
    <row r="452" spans="1:2" ht="12" customHeight="1">
      <c r="A452" s="7">
        <v>49762</v>
      </c>
      <c r="B452" s="7" t="s">
        <v>2135</v>
      </c>
    </row>
    <row r="453" spans="1:2" ht="12" customHeight="1">
      <c r="A453" s="7">
        <v>49797</v>
      </c>
      <c r="B453" s="7" t="s">
        <v>2135</v>
      </c>
    </row>
    <row r="454" spans="1:2" ht="12" customHeight="1">
      <c r="A454" s="7">
        <v>49830</v>
      </c>
      <c r="B454" s="7" t="s">
        <v>2135</v>
      </c>
    </row>
    <row r="455" spans="1:2" ht="12" customHeight="1">
      <c r="A455" s="7">
        <v>49924</v>
      </c>
      <c r="B455" s="7" t="s">
        <v>2135</v>
      </c>
    </row>
    <row r="456" spans="1:2" ht="12" customHeight="1">
      <c r="A456" s="7">
        <v>49988</v>
      </c>
      <c r="B456" s="7" t="s">
        <v>2135</v>
      </c>
    </row>
    <row r="457" spans="1:2" ht="12" customHeight="1">
      <c r="A457" s="7">
        <v>50048</v>
      </c>
      <c r="B457" s="7" t="s">
        <v>2135</v>
      </c>
    </row>
    <row r="458" spans="1:2" ht="12" customHeight="1">
      <c r="A458" s="7">
        <v>50081</v>
      </c>
      <c r="B458" s="7" t="s">
        <v>2135</v>
      </c>
    </row>
    <row r="459" spans="1:2" ht="12" customHeight="1">
      <c r="A459" s="7">
        <v>50083</v>
      </c>
      <c r="B459" s="7" t="s">
        <v>2135</v>
      </c>
    </row>
    <row r="460" spans="1:2" ht="12" customHeight="1">
      <c r="A460" s="7">
        <v>50087</v>
      </c>
      <c r="B460" s="7" t="s">
        <v>2135</v>
      </c>
    </row>
    <row r="461" spans="1:2" ht="12" customHeight="1">
      <c r="A461" s="7">
        <v>50147</v>
      </c>
      <c r="B461" s="7" t="s">
        <v>2135</v>
      </c>
    </row>
    <row r="462" spans="1:2" ht="12" customHeight="1">
      <c r="A462" s="7">
        <v>50246</v>
      </c>
      <c r="B462" s="7" t="s">
        <v>2135</v>
      </c>
    </row>
    <row r="463" spans="1:2" ht="12" customHeight="1">
      <c r="A463" s="7">
        <v>50307</v>
      </c>
      <c r="B463" s="7" t="s">
        <v>2135</v>
      </c>
    </row>
    <row r="464" spans="1:2" ht="12" customHeight="1">
      <c r="A464" s="7">
        <v>50374</v>
      </c>
      <c r="B464" s="7" t="s">
        <v>2135</v>
      </c>
    </row>
    <row r="465" spans="1:2" ht="12" customHeight="1">
      <c r="A465" s="7">
        <v>50432</v>
      </c>
      <c r="B465" s="7" t="s">
        <v>2135</v>
      </c>
    </row>
    <row r="466" spans="1:2" ht="12" customHeight="1">
      <c r="A466" s="7">
        <v>50501</v>
      </c>
      <c r="B466" s="7" t="s">
        <v>2135</v>
      </c>
    </row>
    <row r="467" spans="1:2" ht="12" customHeight="1">
      <c r="A467" s="7">
        <v>50564</v>
      </c>
      <c r="B467" s="7" t="s">
        <v>2135</v>
      </c>
    </row>
    <row r="468" spans="1:2" ht="12" customHeight="1">
      <c r="A468" s="7">
        <v>50566</v>
      </c>
      <c r="B468" s="7" t="s">
        <v>2135</v>
      </c>
    </row>
    <row r="469" spans="1:2" ht="12" customHeight="1">
      <c r="A469" s="7">
        <v>50663</v>
      </c>
      <c r="B469" s="7" t="s">
        <v>2135</v>
      </c>
    </row>
    <row r="470" spans="1:2" ht="12" customHeight="1">
      <c r="A470" s="7">
        <v>50721</v>
      </c>
      <c r="B470" s="7" t="s">
        <v>2135</v>
      </c>
    </row>
    <row r="471" spans="1:2" ht="12" customHeight="1">
      <c r="A471" s="7">
        <v>50789</v>
      </c>
      <c r="B471" s="7" t="s">
        <v>2135</v>
      </c>
    </row>
    <row r="472" spans="1:2" ht="12" customHeight="1">
      <c r="A472" s="7">
        <v>50818</v>
      </c>
      <c r="B472" s="7" t="s">
        <v>2135</v>
      </c>
    </row>
    <row r="473" spans="1:2" ht="12" customHeight="1">
      <c r="A473" s="7">
        <v>50823</v>
      </c>
      <c r="B473" s="7" t="s">
        <v>2135</v>
      </c>
    </row>
    <row r="474" spans="1:2" ht="12" customHeight="1">
      <c r="A474" s="7">
        <v>50850</v>
      </c>
      <c r="B474" s="7" t="s">
        <v>2135</v>
      </c>
    </row>
    <row r="475" spans="1:2" ht="12" customHeight="1">
      <c r="A475" s="7">
        <v>50914</v>
      </c>
      <c r="B475" s="7" t="s">
        <v>2135</v>
      </c>
    </row>
    <row r="476" spans="1:2" ht="12" customHeight="1">
      <c r="A476" s="7">
        <v>51075</v>
      </c>
      <c r="B476" s="7" t="s">
        <v>2135</v>
      </c>
    </row>
    <row r="477" spans="1:2" ht="12" customHeight="1">
      <c r="A477" s="7">
        <v>51239</v>
      </c>
      <c r="B477" s="7" t="s">
        <v>2135</v>
      </c>
    </row>
    <row r="478" spans="1:2" ht="12" customHeight="1">
      <c r="A478" s="7">
        <v>51271</v>
      </c>
      <c r="B478" s="7" t="s">
        <v>2135</v>
      </c>
    </row>
    <row r="479" spans="1:2" ht="12" customHeight="1">
      <c r="A479" s="7">
        <v>51302</v>
      </c>
      <c r="B479" s="7" t="s">
        <v>2135</v>
      </c>
    </row>
    <row r="480" spans="1:2" ht="12" customHeight="1">
      <c r="A480" s="7">
        <v>51553</v>
      </c>
      <c r="B480" s="7" t="s">
        <v>2135</v>
      </c>
    </row>
    <row r="481" spans="1:2" ht="12" customHeight="1">
      <c r="A481" s="7">
        <v>51554</v>
      </c>
      <c r="B481" s="7" t="s">
        <v>2135</v>
      </c>
    </row>
    <row r="482" spans="1:2" ht="12" customHeight="1">
      <c r="A482" s="7">
        <v>51559</v>
      </c>
      <c r="B482" s="7" t="s">
        <v>2135</v>
      </c>
    </row>
    <row r="483" spans="1:2" ht="12" customHeight="1">
      <c r="A483" s="7">
        <v>51876</v>
      </c>
      <c r="B483" s="7" t="s">
        <v>2135</v>
      </c>
    </row>
    <row r="484" spans="1:2" ht="12" customHeight="1">
      <c r="A484" s="7">
        <v>51879</v>
      </c>
      <c r="B484" s="7" t="s">
        <v>2135</v>
      </c>
    </row>
    <row r="485" spans="1:2" ht="12" customHeight="1">
      <c r="A485" s="7">
        <v>51940</v>
      </c>
      <c r="B485" s="7" t="s">
        <v>2135</v>
      </c>
    </row>
    <row r="486" spans="1:2" ht="12" customHeight="1">
      <c r="A486" s="7">
        <v>52035</v>
      </c>
      <c r="B486" s="7" t="s">
        <v>2135</v>
      </c>
    </row>
    <row r="487" spans="1:2" ht="12" customHeight="1">
      <c r="A487" s="7">
        <v>52068</v>
      </c>
      <c r="B487" s="7" t="s">
        <v>2135</v>
      </c>
    </row>
    <row r="488" spans="1:2" ht="12" customHeight="1">
      <c r="A488" s="7">
        <v>52258</v>
      </c>
      <c r="B488" s="7" t="s">
        <v>2135</v>
      </c>
    </row>
    <row r="489" spans="1:2" ht="12" customHeight="1">
      <c r="A489" s="7">
        <v>52288</v>
      </c>
      <c r="B489" s="7" t="s">
        <v>2135</v>
      </c>
    </row>
    <row r="490" spans="1:2" ht="12" customHeight="1">
      <c r="A490" s="7">
        <v>52327</v>
      </c>
      <c r="B490" s="7" t="s">
        <v>2135</v>
      </c>
    </row>
    <row r="491" spans="1:2" ht="12" customHeight="1">
      <c r="A491" s="7">
        <v>52518</v>
      </c>
      <c r="B491" s="7" t="s">
        <v>2135</v>
      </c>
    </row>
    <row r="492" spans="1:2" ht="12" customHeight="1">
      <c r="A492" s="7">
        <v>52608</v>
      </c>
      <c r="B492" s="7" t="s">
        <v>2135</v>
      </c>
    </row>
    <row r="493" spans="1:2" ht="12" customHeight="1">
      <c r="A493" s="7">
        <v>52611</v>
      </c>
      <c r="B493" s="7" t="s">
        <v>2135</v>
      </c>
    </row>
    <row r="494" spans="1:2" ht="12" customHeight="1">
      <c r="A494" s="7">
        <v>52678</v>
      </c>
      <c r="B494" s="7" t="s">
        <v>2135</v>
      </c>
    </row>
    <row r="495" spans="1:2" ht="12" customHeight="1">
      <c r="A495" s="7">
        <v>52805</v>
      </c>
      <c r="B495" s="7" t="s">
        <v>2135</v>
      </c>
    </row>
    <row r="496" spans="1:2" ht="12" customHeight="1">
      <c r="A496" s="7">
        <v>53285</v>
      </c>
      <c r="B496" s="7" t="s">
        <v>2135</v>
      </c>
    </row>
    <row r="497" spans="1:2" ht="12" customHeight="1">
      <c r="A497" s="7">
        <v>53536</v>
      </c>
      <c r="B497" s="7" t="s">
        <v>2135</v>
      </c>
    </row>
    <row r="498" spans="1:2" ht="12" customHeight="1">
      <c r="A498" s="7">
        <v>53600</v>
      </c>
      <c r="B498" s="7" t="s">
        <v>2135</v>
      </c>
    </row>
    <row r="499" spans="1:2" ht="12" customHeight="1">
      <c r="A499" s="7">
        <v>53767</v>
      </c>
      <c r="B499" s="7" t="s">
        <v>2135</v>
      </c>
    </row>
    <row r="500" spans="1:2" ht="12" customHeight="1">
      <c r="A500" s="7">
        <v>54086</v>
      </c>
      <c r="B500" s="7" t="s">
        <v>2135</v>
      </c>
    </row>
    <row r="501" spans="1:2" ht="12" customHeight="1">
      <c r="A501" s="7">
        <v>54119</v>
      </c>
      <c r="B501" s="7" t="s">
        <v>2135</v>
      </c>
    </row>
    <row r="502" spans="1:2" ht="12" customHeight="1">
      <c r="A502" s="7">
        <v>54151</v>
      </c>
      <c r="B502" s="7" t="s">
        <v>2135</v>
      </c>
    </row>
    <row r="503" spans="1:2" ht="12" customHeight="1">
      <c r="A503" s="7">
        <v>54215</v>
      </c>
      <c r="B503" s="7" t="s">
        <v>2135</v>
      </c>
    </row>
    <row r="504" spans="1:2" ht="12" customHeight="1">
      <c r="A504" s="7">
        <v>54243</v>
      </c>
      <c r="B504" s="7" t="s">
        <v>2135</v>
      </c>
    </row>
    <row r="505" spans="1:2" ht="12" customHeight="1">
      <c r="A505" s="7">
        <v>54245</v>
      </c>
      <c r="B505" s="7" t="s">
        <v>2135</v>
      </c>
    </row>
    <row r="506" spans="1:2" ht="12" customHeight="1">
      <c r="A506" s="7">
        <v>54339</v>
      </c>
      <c r="B506" s="7" t="s">
        <v>2135</v>
      </c>
    </row>
    <row r="507" spans="1:2" ht="12" customHeight="1">
      <c r="A507" s="7">
        <v>54368</v>
      </c>
      <c r="B507" s="7" t="s">
        <v>2135</v>
      </c>
    </row>
    <row r="508" spans="1:2" ht="12" customHeight="1">
      <c r="A508" s="7">
        <v>54371</v>
      </c>
      <c r="B508" s="7" t="s">
        <v>2135</v>
      </c>
    </row>
    <row r="509" spans="1:2" ht="12" customHeight="1">
      <c r="A509" s="7">
        <v>54563</v>
      </c>
      <c r="B509" s="7" t="s">
        <v>2135</v>
      </c>
    </row>
    <row r="510" spans="1:2" ht="12" customHeight="1">
      <c r="A510" s="7">
        <v>54595</v>
      </c>
      <c r="B510" s="7" t="s">
        <v>2135</v>
      </c>
    </row>
    <row r="511" spans="1:2" ht="12" customHeight="1">
      <c r="A511" s="7">
        <v>54721</v>
      </c>
      <c r="B511" s="7" t="s">
        <v>2135</v>
      </c>
    </row>
    <row r="512" spans="1:2" ht="12" customHeight="1">
      <c r="A512" s="7">
        <v>54755</v>
      </c>
      <c r="B512" s="7" t="s">
        <v>2135</v>
      </c>
    </row>
    <row r="513" spans="1:2" ht="12" customHeight="1">
      <c r="A513" s="7">
        <v>54787</v>
      </c>
      <c r="B513" s="7" t="s">
        <v>2135</v>
      </c>
    </row>
    <row r="514" spans="1:2" ht="12" customHeight="1">
      <c r="A514" s="7">
        <v>54914</v>
      </c>
      <c r="B514" s="7" t="s">
        <v>2135</v>
      </c>
    </row>
    <row r="515" spans="1:2" ht="12" customHeight="1">
      <c r="A515" s="7">
        <v>55172</v>
      </c>
      <c r="B515" s="7" t="s">
        <v>2135</v>
      </c>
    </row>
    <row r="516" spans="1:2" ht="12" customHeight="1">
      <c r="A516" s="7">
        <v>55203</v>
      </c>
      <c r="B516" s="7" t="s">
        <v>2135</v>
      </c>
    </row>
    <row r="517" spans="1:2" ht="12" customHeight="1">
      <c r="A517" s="7">
        <v>55235</v>
      </c>
      <c r="B517" s="7" t="s">
        <v>2135</v>
      </c>
    </row>
    <row r="518" spans="1:2" ht="12" customHeight="1">
      <c r="A518" s="7">
        <v>55330</v>
      </c>
      <c r="B518" s="7" t="s">
        <v>2135</v>
      </c>
    </row>
    <row r="519" spans="1:2" ht="12" customHeight="1">
      <c r="A519" s="7">
        <v>55526</v>
      </c>
      <c r="B519" s="7" t="s">
        <v>2135</v>
      </c>
    </row>
    <row r="520" spans="1:2" ht="12" customHeight="1">
      <c r="A520" s="7">
        <v>55616</v>
      </c>
      <c r="B520" s="7" t="s">
        <v>2135</v>
      </c>
    </row>
    <row r="521" spans="1:2" ht="12" customHeight="1">
      <c r="A521" s="7">
        <v>55618</v>
      </c>
      <c r="B521" s="7" t="s">
        <v>2135</v>
      </c>
    </row>
    <row r="522" spans="1:2" ht="12" customHeight="1">
      <c r="A522" s="7">
        <v>55623</v>
      </c>
      <c r="B522" s="7" t="s">
        <v>2135</v>
      </c>
    </row>
    <row r="523" spans="1:2" ht="12" customHeight="1">
      <c r="A523" s="7">
        <v>55747</v>
      </c>
      <c r="B523" s="7" t="s">
        <v>2135</v>
      </c>
    </row>
    <row r="524" spans="1:2" ht="12" customHeight="1">
      <c r="A524" s="7">
        <v>55776</v>
      </c>
      <c r="B524" s="7" t="s">
        <v>2135</v>
      </c>
    </row>
    <row r="525" spans="1:2" ht="12" customHeight="1">
      <c r="A525" s="7">
        <v>55808</v>
      </c>
      <c r="B525" s="7" t="s">
        <v>2135</v>
      </c>
    </row>
    <row r="526" spans="1:2" ht="12" customHeight="1">
      <c r="A526" s="7">
        <v>55874</v>
      </c>
      <c r="B526" s="7" t="s">
        <v>2135</v>
      </c>
    </row>
    <row r="527" spans="1:2" ht="12" customHeight="1">
      <c r="A527" s="7">
        <v>55877</v>
      </c>
      <c r="B527" s="7" t="s">
        <v>2135</v>
      </c>
    </row>
    <row r="528" spans="1:2" ht="12" customHeight="1">
      <c r="A528" s="7">
        <v>55968</v>
      </c>
      <c r="B528" s="7" t="s">
        <v>2135</v>
      </c>
    </row>
    <row r="529" spans="1:2" ht="12" customHeight="1">
      <c r="A529" s="7">
        <v>56101</v>
      </c>
      <c r="B529" s="7" t="s">
        <v>2135</v>
      </c>
    </row>
    <row r="530" spans="1:2" ht="12" customHeight="1">
      <c r="A530" s="7">
        <v>56128</v>
      </c>
      <c r="B530" s="7" t="s">
        <v>2135</v>
      </c>
    </row>
    <row r="531" spans="1:2" ht="12" customHeight="1">
      <c r="A531" s="7">
        <v>56257</v>
      </c>
      <c r="B531" s="7" t="s">
        <v>2135</v>
      </c>
    </row>
    <row r="532" spans="1:2" ht="12" customHeight="1">
      <c r="A532" s="7">
        <v>56387</v>
      </c>
      <c r="B532" s="7" t="s">
        <v>2135</v>
      </c>
    </row>
    <row r="533" spans="1:2" ht="12" customHeight="1">
      <c r="A533" s="7">
        <v>56452</v>
      </c>
      <c r="B533" s="7" t="s">
        <v>2135</v>
      </c>
    </row>
    <row r="534" spans="1:2" ht="12" customHeight="1">
      <c r="A534" s="7">
        <v>56514</v>
      </c>
      <c r="B534" s="7" t="s">
        <v>2135</v>
      </c>
    </row>
    <row r="535" spans="1:2" ht="12" customHeight="1">
      <c r="A535" s="7">
        <v>56582</v>
      </c>
      <c r="B535" s="7" t="s">
        <v>2135</v>
      </c>
    </row>
    <row r="536" spans="1:2" ht="12" customHeight="1">
      <c r="A536" s="7">
        <v>56612</v>
      </c>
      <c r="B536" s="7" t="s">
        <v>2135</v>
      </c>
    </row>
    <row r="537" spans="1:2" ht="12" customHeight="1">
      <c r="A537" s="7">
        <v>56768</v>
      </c>
      <c r="B537" s="7" t="s">
        <v>2135</v>
      </c>
    </row>
    <row r="538" spans="1:2" ht="12" customHeight="1">
      <c r="A538" s="7">
        <v>56769</v>
      </c>
      <c r="B538" s="7" t="s">
        <v>2135</v>
      </c>
    </row>
    <row r="539" spans="1:2" ht="12" customHeight="1">
      <c r="A539" s="7">
        <v>56868</v>
      </c>
      <c r="B539" s="7" t="s">
        <v>2135</v>
      </c>
    </row>
    <row r="540" spans="1:2" ht="12" customHeight="1">
      <c r="A540" s="7">
        <v>56901</v>
      </c>
      <c r="B540" s="7" t="s">
        <v>2135</v>
      </c>
    </row>
    <row r="541" spans="1:2" ht="12" customHeight="1">
      <c r="A541" s="7">
        <v>56930</v>
      </c>
      <c r="B541" s="7" t="s">
        <v>2135</v>
      </c>
    </row>
    <row r="542" spans="1:2" ht="12" customHeight="1">
      <c r="A542" s="7">
        <v>56931</v>
      </c>
      <c r="B542" s="7" t="s">
        <v>2135</v>
      </c>
    </row>
    <row r="543" spans="1:2" ht="12" customHeight="1">
      <c r="A543" s="7">
        <v>57157</v>
      </c>
      <c r="B543" s="7" t="s">
        <v>2135</v>
      </c>
    </row>
    <row r="544" spans="1:2" ht="12" customHeight="1">
      <c r="A544" s="7">
        <v>57190</v>
      </c>
      <c r="B544" s="7" t="s">
        <v>2135</v>
      </c>
    </row>
    <row r="545" spans="1:2" ht="12" customHeight="1">
      <c r="A545" s="7">
        <v>57248</v>
      </c>
      <c r="B545" s="7" t="s">
        <v>2135</v>
      </c>
    </row>
    <row r="546" spans="1:2" ht="12" customHeight="1">
      <c r="A546" s="7">
        <v>57253</v>
      </c>
      <c r="B546" s="7" t="s">
        <v>2135</v>
      </c>
    </row>
    <row r="547" spans="1:2" ht="12" customHeight="1">
      <c r="A547" s="7">
        <v>57440</v>
      </c>
      <c r="B547" s="7" t="s">
        <v>2135</v>
      </c>
    </row>
    <row r="548" spans="1:2" ht="12" customHeight="1">
      <c r="A548" s="7">
        <v>57510</v>
      </c>
      <c r="B548" s="7" t="s">
        <v>2135</v>
      </c>
    </row>
    <row r="549" spans="1:2" ht="12" customHeight="1">
      <c r="A549" s="7">
        <v>57600</v>
      </c>
      <c r="B549" s="7" t="s">
        <v>2135</v>
      </c>
    </row>
    <row r="550" spans="1:2" ht="12" customHeight="1">
      <c r="A550" s="7">
        <v>57638</v>
      </c>
      <c r="B550" s="7" t="s">
        <v>2135</v>
      </c>
    </row>
    <row r="551" spans="1:2" ht="12" customHeight="1">
      <c r="A551" s="7">
        <v>57986</v>
      </c>
      <c r="B551" s="7" t="s">
        <v>2135</v>
      </c>
    </row>
    <row r="552" spans="1:2" ht="12" customHeight="1">
      <c r="A552" s="7">
        <v>58368</v>
      </c>
      <c r="B552" s="7" t="s">
        <v>2135</v>
      </c>
    </row>
    <row r="553" spans="1:2" ht="12" customHeight="1">
      <c r="A553" s="7">
        <v>58372</v>
      </c>
      <c r="B553" s="7" t="s">
        <v>2135</v>
      </c>
    </row>
    <row r="554" spans="1:2" ht="12" customHeight="1">
      <c r="A554" s="7">
        <v>58470</v>
      </c>
      <c r="B554" s="7" t="s">
        <v>2135</v>
      </c>
    </row>
    <row r="555" spans="1:2" ht="12" customHeight="1">
      <c r="A555" s="7">
        <v>58500</v>
      </c>
      <c r="B555" s="7" t="s">
        <v>2135</v>
      </c>
    </row>
    <row r="556" spans="1:2" ht="12" customHeight="1">
      <c r="A556" s="7">
        <v>58566</v>
      </c>
      <c r="B556" s="7" t="s">
        <v>2135</v>
      </c>
    </row>
    <row r="557" spans="1:2" ht="12" customHeight="1">
      <c r="A557" s="7">
        <v>58688</v>
      </c>
      <c r="B557" s="7" t="s">
        <v>2135</v>
      </c>
    </row>
    <row r="558" spans="1:2" ht="12" customHeight="1">
      <c r="A558" s="7">
        <v>58720</v>
      </c>
      <c r="B558" s="7" t="s">
        <v>2135</v>
      </c>
    </row>
    <row r="559" spans="1:2" ht="12" customHeight="1">
      <c r="A559" s="7">
        <v>58725</v>
      </c>
      <c r="B559" s="7" t="s">
        <v>2135</v>
      </c>
    </row>
    <row r="560" spans="1:2" ht="12" customHeight="1">
      <c r="A560" s="7">
        <v>58818</v>
      </c>
      <c r="B560" s="7" t="s">
        <v>2135</v>
      </c>
    </row>
    <row r="561" spans="1:2" ht="12" customHeight="1">
      <c r="A561" s="7">
        <v>58949</v>
      </c>
      <c r="B561" s="7" t="s">
        <v>2135</v>
      </c>
    </row>
    <row r="562" spans="1:2" ht="12" customHeight="1">
      <c r="A562" s="7">
        <v>59009</v>
      </c>
      <c r="B562" s="7" t="s">
        <v>2135</v>
      </c>
    </row>
    <row r="563" spans="1:2" ht="12" customHeight="1">
      <c r="A563" s="7">
        <v>59047</v>
      </c>
      <c r="B563" s="7" t="s">
        <v>2135</v>
      </c>
    </row>
    <row r="564" spans="1:2" ht="12" customHeight="1">
      <c r="A564" s="7">
        <v>59072</v>
      </c>
      <c r="B564" s="7" t="s">
        <v>2135</v>
      </c>
    </row>
    <row r="565" spans="1:2" ht="12" customHeight="1">
      <c r="A565" s="7">
        <v>59139</v>
      </c>
      <c r="B565" s="7" t="s">
        <v>2135</v>
      </c>
    </row>
    <row r="566" spans="1:2" ht="12" customHeight="1">
      <c r="A566" s="7">
        <v>59171</v>
      </c>
      <c r="B566" s="7" t="s">
        <v>2135</v>
      </c>
    </row>
    <row r="567" spans="1:2" ht="12" customHeight="1">
      <c r="A567" s="7">
        <v>59585</v>
      </c>
      <c r="B567" s="7" t="s">
        <v>2135</v>
      </c>
    </row>
    <row r="568" spans="1:2" ht="12" customHeight="1">
      <c r="A568" s="7">
        <v>59652</v>
      </c>
      <c r="B568" s="7" t="s">
        <v>2135</v>
      </c>
    </row>
    <row r="569" spans="1:2" ht="12" customHeight="1">
      <c r="A569" s="7">
        <v>59680</v>
      </c>
      <c r="B569" s="7" t="s">
        <v>2135</v>
      </c>
    </row>
    <row r="570" spans="1:2" ht="12" customHeight="1">
      <c r="A570" s="7">
        <v>59683</v>
      </c>
      <c r="B570" s="7" t="s">
        <v>2135</v>
      </c>
    </row>
    <row r="571" spans="1:2" ht="12" customHeight="1">
      <c r="A571" s="7">
        <v>59776</v>
      </c>
      <c r="B571" s="7" t="s">
        <v>2135</v>
      </c>
    </row>
    <row r="572" spans="1:2" ht="12" customHeight="1">
      <c r="A572" s="7">
        <v>59879</v>
      </c>
      <c r="B572" s="7" t="s">
        <v>2135</v>
      </c>
    </row>
    <row r="573" spans="1:2" ht="12" customHeight="1">
      <c r="A573" s="7">
        <v>59937</v>
      </c>
      <c r="B573" s="7" t="s">
        <v>2135</v>
      </c>
    </row>
    <row r="574" spans="1:2" ht="12" customHeight="1"/>
    <row r="575" spans="1:2" ht="12" customHeight="1"/>
    <row r="576" spans="1:2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2578125" defaultRowHeight="15" customHeight="1"/>
  <cols>
    <col min="1" max="26" width="8" customWidth="1"/>
  </cols>
  <sheetData>
    <row r="1" spans="1:2" ht="12" customHeight="1">
      <c r="A1" s="8" t="s">
        <v>13</v>
      </c>
      <c r="B1" s="8" t="s">
        <v>2136</v>
      </c>
    </row>
    <row r="2" spans="1:2" ht="12" customHeight="1">
      <c r="A2" s="7" t="s">
        <v>2137</v>
      </c>
      <c r="B2" s="7" t="s">
        <v>2138</v>
      </c>
    </row>
    <row r="3" spans="1:2" ht="12" customHeight="1">
      <c r="A3" s="7" t="s">
        <v>2139</v>
      </c>
      <c r="B3" s="7" t="s">
        <v>2140</v>
      </c>
    </row>
    <row r="4" spans="1:2" ht="12" customHeight="1">
      <c r="A4" s="7" t="s">
        <v>2141</v>
      </c>
      <c r="B4" s="7" t="s">
        <v>2142</v>
      </c>
    </row>
    <row r="5" spans="1:2" ht="12" customHeight="1">
      <c r="A5" s="7" t="s">
        <v>704</v>
      </c>
      <c r="B5" s="7" t="s">
        <v>2143</v>
      </c>
    </row>
    <row r="6" spans="1:2" ht="12" customHeight="1">
      <c r="A6" s="7" t="s">
        <v>704</v>
      </c>
      <c r="B6" s="7" t="s">
        <v>2144</v>
      </c>
    </row>
    <row r="7" spans="1:2" ht="12" customHeight="1">
      <c r="A7" s="7" t="s">
        <v>2137</v>
      </c>
      <c r="B7" s="7" t="s">
        <v>2144</v>
      </c>
    </row>
    <row r="8" spans="1:2" ht="12" customHeight="1">
      <c r="A8" s="7" t="s">
        <v>2139</v>
      </c>
      <c r="B8" s="7" t="s">
        <v>2144</v>
      </c>
    </row>
    <row r="9" spans="1:2" ht="12" customHeight="1">
      <c r="A9" s="7" t="s">
        <v>2141</v>
      </c>
      <c r="B9" s="7" t="s">
        <v>2144</v>
      </c>
    </row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Rest of the Orders</vt:lpstr>
      <vt:lpstr>2009 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BC</cp:lastModifiedBy>
  <dcterms:created xsi:type="dcterms:W3CDTF">2009-03-27T23:19:14Z</dcterms:created>
  <dcterms:modified xsi:type="dcterms:W3CDTF">2022-09-24T22:57:02Z</dcterms:modified>
</cp:coreProperties>
</file>